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D:\Users\e2103002\Desktop\Рабочие\Продукты\Retail departmant\ЕП ПРОДУКТИ\2023\Відновлення кредитування\Оновлені\ЕПК\ЕПК_безналичный\"/>
    </mc:Choice>
  </mc:AlternateContent>
  <xr:revisionPtr revIDLastSave="0" documentId="13_ncr:1_{C8176FF6-D9ED-466D-99A4-58F09D961A67}" xr6:coauthVersionLast="47" xr6:coauthVersionMax="47" xr10:uidLastSave="{00000000-0000-0000-0000-000000000000}"/>
  <bookViews>
    <workbookView xWindow="-110" yWindow="-110" windowWidth="19420" windowHeight="10420" activeTab="5" xr2:uid="{00000000-000D-0000-FFFF-FFFF00000000}"/>
  </bookViews>
  <sheets>
    <sheet name="паспорт" sheetId="1" r:id="rId1"/>
    <sheet name="графік" sheetId="3" r:id="rId2"/>
    <sheet name="паспорт із підвищеною %" sheetId="8" state="hidden" r:id="rId3"/>
    <sheet name="графік із підвищеною %" sheetId="7" state="hidden" r:id="rId4"/>
    <sheet name="Таблиця обчислення" sheetId="4" r:id="rId5"/>
    <sheet name="Додаток 1" sheetId="10" r:id="rId6"/>
    <sheet name="Лист1" sheetId="9" state="hidden" r:id="rId7"/>
  </sheets>
  <definedNames>
    <definedName name="_xlnm.Print_Area" localSheetId="1">графік!$A$1:$U$268</definedName>
    <definedName name="_xlnm.Print_Area" localSheetId="0">паспорт!$A$1:$C$75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1" l="1"/>
  <c r="D9" i="10"/>
  <c r="D11" i="10" s="1"/>
  <c r="F50" i="1"/>
  <c r="E37" i="1"/>
  <c r="B36" i="1"/>
  <c r="F36" i="1"/>
  <c r="E36" i="1"/>
  <c r="C91" i="10"/>
  <c r="A91" i="10"/>
  <c r="C90" i="10"/>
  <c r="A90" i="10"/>
  <c r="C89" i="10"/>
  <c r="A89" i="10"/>
  <c r="C88" i="10"/>
  <c r="A88" i="10"/>
  <c r="C87" i="10"/>
  <c r="A87" i="10"/>
  <c r="C86" i="10"/>
  <c r="A86" i="10"/>
  <c r="C85" i="10"/>
  <c r="A85" i="10"/>
  <c r="C84" i="10"/>
  <c r="A84" i="10"/>
  <c r="C83" i="10"/>
  <c r="A83" i="10"/>
  <c r="C82" i="10"/>
  <c r="A82" i="10"/>
  <c r="C81" i="10"/>
  <c r="A81" i="10"/>
  <c r="C80" i="10"/>
  <c r="A80" i="10"/>
  <c r="C79" i="10"/>
  <c r="A79" i="10"/>
  <c r="C78" i="10"/>
  <c r="A78" i="10"/>
  <c r="C77" i="10"/>
  <c r="A77" i="10"/>
  <c r="C76" i="10"/>
  <c r="A76" i="10"/>
  <c r="C75" i="10"/>
  <c r="A75" i="10"/>
  <c r="C74" i="10"/>
  <c r="A74" i="10"/>
  <c r="C73" i="10"/>
  <c r="A73" i="10"/>
  <c r="C72" i="10"/>
  <c r="A72" i="10"/>
  <c r="C71" i="10"/>
  <c r="A71" i="10"/>
  <c r="C70" i="10"/>
  <c r="A70" i="10"/>
  <c r="C69" i="10"/>
  <c r="A69" i="10"/>
  <c r="C68" i="10"/>
  <c r="A68" i="10"/>
  <c r="C67" i="10"/>
  <c r="A67" i="10"/>
  <c r="C66" i="10"/>
  <c r="A66" i="10"/>
  <c r="C65" i="10"/>
  <c r="A65" i="10"/>
  <c r="C64" i="10"/>
  <c r="A64" i="10"/>
  <c r="C63" i="10"/>
  <c r="A63" i="10"/>
  <c r="C62" i="10"/>
  <c r="A62" i="10"/>
  <c r="C61" i="10"/>
  <c r="A61" i="10"/>
  <c r="C60" i="10"/>
  <c r="A60" i="10"/>
  <c r="C59" i="10"/>
  <c r="A59" i="10"/>
  <c r="C58" i="10"/>
  <c r="A58" i="10"/>
  <c r="C57" i="10"/>
  <c r="A57" i="10"/>
  <c r="C56" i="10"/>
  <c r="A56" i="10"/>
  <c r="C55" i="10"/>
  <c r="A55" i="10"/>
  <c r="C54" i="10"/>
  <c r="A54" i="10"/>
  <c r="C53" i="10"/>
  <c r="A53" i="10"/>
  <c r="C52" i="10"/>
  <c r="A52" i="10"/>
  <c r="C51" i="10"/>
  <c r="A51" i="10"/>
  <c r="C50" i="10"/>
  <c r="A50" i="10"/>
  <c r="C49" i="10"/>
  <c r="A49" i="10"/>
  <c r="C48" i="10"/>
  <c r="A48" i="10"/>
  <c r="C47" i="10"/>
  <c r="A47" i="10"/>
  <c r="C46" i="10"/>
  <c r="A46" i="10"/>
  <c r="C45" i="10"/>
  <c r="A45" i="10"/>
  <c r="C44" i="10"/>
  <c r="A44" i="10"/>
  <c r="C43" i="10"/>
  <c r="A43" i="10"/>
  <c r="C42" i="10"/>
  <c r="A42" i="10"/>
  <c r="C41" i="10"/>
  <c r="A41" i="10"/>
  <c r="C40" i="10"/>
  <c r="A40" i="10"/>
  <c r="C39" i="10"/>
  <c r="A39" i="10"/>
  <c r="C38" i="10"/>
  <c r="A38" i="10"/>
  <c r="C37" i="10"/>
  <c r="A37" i="10"/>
  <c r="C36" i="10"/>
  <c r="A36" i="10"/>
  <c r="C35" i="10"/>
  <c r="A35" i="10"/>
  <c r="C34" i="10"/>
  <c r="A34" i="10"/>
  <c r="C33" i="10"/>
  <c r="A33" i="10"/>
  <c r="C32" i="10"/>
  <c r="A32" i="10"/>
  <c r="C31" i="10"/>
  <c r="A31" i="10"/>
  <c r="D8" i="10"/>
  <c r="D7" i="10"/>
  <c r="D6" i="10"/>
  <c r="B8" i="1"/>
  <c r="G27" i="3"/>
  <c r="D13" i="10" l="1"/>
  <c r="D10" i="10"/>
  <c r="D12" i="10"/>
  <c r="E21" i="4"/>
  <c r="A9" i="4"/>
  <c r="K11" i="4"/>
  <c r="M11" i="4"/>
  <c r="AI21" i="3"/>
  <c r="AI20" i="3"/>
  <c r="AI19" i="3"/>
  <c r="AI18" i="3"/>
  <c r="AI17" i="3"/>
  <c r="AI16" i="3"/>
  <c r="AI15" i="3"/>
  <c r="AI14" i="3"/>
  <c r="AI13" i="3"/>
  <c r="AI12" i="3"/>
  <c r="AI11" i="3"/>
  <c r="AI10" i="3"/>
  <c r="AI9" i="3"/>
  <c r="AI8" i="3"/>
  <c r="AI7" i="3"/>
  <c r="AI5" i="3"/>
  <c r="AI2" i="3"/>
  <c r="L76" i="3"/>
  <c r="AI6" i="3" s="1"/>
  <c r="L64" i="3"/>
  <c r="L52" i="3"/>
  <c r="AI4" i="3" s="1"/>
  <c r="L40" i="3"/>
  <c r="AI3" i="3" s="1"/>
  <c r="R27" i="3"/>
  <c r="P27" i="3"/>
  <c r="O27" i="3"/>
  <c r="L27" i="3"/>
  <c r="J27" i="3"/>
  <c r="AE4" i="3" l="1"/>
  <c r="S16" i="3"/>
  <c r="L21" i="4"/>
  <c r="P21" i="4"/>
  <c r="K21" i="4"/>
  <c r="J21" i="4"/>
  <c r="G21" i="4"/>
  <c r="F10" i="4"/>
  <c r="D9" i="4"/>
  <c r="E10" i="4"/>
  <c r="AE2" i="3" l="1"/>
  <c r="AE3" i="3" s="1"/>
  <c r="F3" i="3"/>
  <c r="C9" i="10" s="1"/>
  <c r="F6" i="3"/>
  <c r="R9" i="4"/>
  <c r="Q9" i="4"/>
  <c r="P12" i="4"/>
  <c r="O12" i="4"/>
  <c r="N12" i="4"/>
  <c r="M12" i="4"/>
  <c r="L12" i="4"/>
  <c r="K12" i="4"/>
  <c r="J12" i="4"/>
  <c r="I12" i="4"/>
  <c r="H12" i="4"/>
  <c r="G12" i="4"/>
  <c r="G11" i="4"/>
  <c r="G10" i="4"/>
  <c r="E9" i="4"/>
  <c r="N21" i="4"/>
  <c r="M21" i="4"/>
  <c r="B9" i="4"/>
  <c r="F10" i="3" l="1"/>
  <c r="C6" i="10"/>
  <c r="AE5" i="3"/>
  <c r="R17" i="3" s="1"/>
  <c r="D48" i="1"/>
  <c r="E48" i="1" s="1"/>
  <c r="C7" i="10" l="1"/>
  <c r="C8" i="10"/>
  <c r="D49" i="1"/>
  <c r="E49" i="1" s="1"/>
  <c r="D67" i="1" l="1"/>
  <c r="A66" i="1" l="1"/>
  <c r="D68" i="1"/>
  <c r="B66" i="1" s="1"/>
  <c r="H8" i="3"/>
  <c r="T7" i="3" l="1"/>
  <c r="T3" i="3" l="1"/>
  <c r="E12" i="3" l="1"/>
  <c r="S8" i="3"/>
  <c r="R9" i="3" l="1"/>
  <c r="B48" i="1" l="1"/>
  <c r="B49" i="1"/>
  <c r="E23" i="1"/>
  <c r="B23" i="1" s="1"/>
  <c r="T4" i="3" l="1"/>
  <c r="R4" i="3"/>
  <c r="S10" i="3"/>
  <c r="Q27" i="3" s="1"/>
  <c r="V268" i="3"/>
  <c r="H21" i="4" l="1"/>
  <c r="K27" i="3"/>
  <c r="AD2" i="3"/>
  <c r="O21" i="4"/>
  <c r="B45" i="8"/>
  <c r="F27" i="3" l="1"/>
  <c r="I21" i="4"/>
  <c r="F9" i="7"/>
  <c r="K7" i="7"/>
  <c r="F8" i="7"/>
  <c r="F7" i="7"/>
  <c r="U27" i="3" l="1"/>
  <c r="D21" i="4"/>
  <c r="J17" i="7"/>
  <c r="B25" i="8" l="1"/>
  <c r="B29" i="8" l="1"/>
  <c r="F13" i="7"/>
  <c r="F12" i="7"/>
  <c r="B17" i="8"/>
  <c r="K12" i="7"/>
  <c r="W10" i="7"/>
  <c r="W15" i="7" s="1"/>
  <c r="D9" i="7"/>
  <c r="F6" i="7"/>
  <c r="D6" i="7" s="1"/>
  <c r="D5" i="7"/>
  <c r="D4" i="7"/>
  <c r="G9" i="7" l="1"/>
  <c r="D7" i="7"/>
  <c r="E18" i="7" s="1"/>
  <c r="B16" i="8"/>
  <c r="K8" i="7"/>
  <c r="I18" i="7" s="1"/>
  <c r="F15" i="7"/>
  <c r="D8" i="7"/>
  <c r="L19" i="7" l="1"/>
  <c r="L20" i="7"/>
  <c r="F19" i="7"/>
  <c r="K19" i="7"/>
  <c r="K20" i="7"/>
  <c r="F20" i="7"/>
  <c r="A20" i="7"/>
  <c r="L21" i="7" s="1"/>
  <c r="T12" i="3"/>
  <c r="D10" i="3" l="1"/>
  <c r="T8" i="3"/>
  <c r="F3" i="7"/>
  <c r="K21" i="7"/>
  <c r="E19" i="7"/>
  <c r="E20" i="7" s="1"/>
  <c r="A21" i="7"/>
  <c r="L22" i="7" s="1"/>
  <c r="D8" i="3"/>
  <c r="G29" i="3" s="1"/>
  <c r="D9" i="3"/>
  <c r="D6" i="3"/>
  <c r="A22" i="4"/>
  <c r="AG10" i="3"/>
  <c r="AG15" i="3" s="1"/>
  <c r="B32" i="1"/>
  <c r="H9" i="3"/>
  <c r="B22" i="1"/>
  <c r="D5" i="3"/>
  <c r="D4" i="3"/>
  <c r="T29" i="3" l="1"/>
  <c r="R23" i="4" s="1"/>
  <c r="T28" i="3"/>
  <c r="R22" i="4" s="1"/>
  <c r="S28" i="3"/>
  <c r="Q22" i="4" s="1"/>
  <c r="S29" i="3"/>
  <c r="Q23" i="4" s="1"/>
  <c r="A22" i="7"/>
  <c r="K22" i="7"/>
  <c r="I22" i="7"/>
  <c r="D3" i="7"/>
  <c r="D10" i="7" s="1"/>
  <c r="F14" i="7"/>
  <c r="E5" i="4"/>
  <c r="F5" i="4"/>
  <c r="D5" i="4"/>
  <c r="D7" i="3"/>
  <c r="E27" i="3" s="1"/>
  <c r="D3" i="3"/>
  <c r="A29" i="3"/>
  <c r="T30" i="3" l="1"/>
  <c r="R24" i="4" s="1"/>
  <c r="G28" i="3"/>
  <c r="E28" i="3"/>
  <c r="E29" i="3" s="1"/>
  <c r="D11" i="3"/>
  <c r="D11" i="7" s="1"/>
  <c r="B27" i="3"/>
  <c r="C27" i="3" s="1"/>
  <c r="S30" i="3"/>
  <c r="Q24" i="4" s="1"/>
  <c r="A23" i="7"/>
  <c r="L24" i="7" s="1"/>
  <c r="F21" i="7"/>
  <c r="I23" i="7"/>
  <c r="B18" i="7"/>
  <c r="B88" i="7" s="1"/>
  <c r="C88" i="7" s="1"/>
  <c r="A5" i="4"/>
  <c r="A23" i="4"/>
  <c r="A30" i="3"/>
  <c r="B36" i="3" l="1"/>
  <c r="L37" i="3" s="1"/>
  <c r="B44" i="3"/>
  <c r="L45" i="3" s="1"/>
  <c r="B52" i="3"/>
  <c r="L53" i="3" s="1"/>
  <c r="B60" i="3"/>
  <c r="L61" i="3" s="1"/>
  <c r="B68" i="3"/>
  <c r="L69" i="3" s="1"/>
  <c r="B76" i="3"/>
  <c r="L77" i="3" s="1"/>
  <c r="B84" i="3"/>
  <c r="L85" i="3" s="1"/>
  <c r="B92" i="3"/>
  <c r="B100" i="3"/>
  <c r="B108" i="3"/>
  <c r="B116" i="3"/>
  <c r="B124" i="3"/>
  <c r="B132" i="3"/>
  <c r="B140" i="3"/>
  <c r="B148" i="3"/>
  <c r="B156" i="3"/>
  <c r="B164" i="3"/>
  <c r="B172" i="3"/>
  <c r="B180" i="3"/>
  <c r="B188" i="3"/>
  <c r="B196" i="3"/>
  <c r="B212" i="3"/>
  <c r="B244" i="3"/>
  <c r="B37" i="3"/>
  <c r="L38" i="3" s="1"/>
  <c r="B77" i="3"/>
  <c r="L78" i="3" s="1"/>
  <c r="B93" i="3"/>
  <c r="B109" i="3"/>
  <c r="B133" i="3"/>
  <c r="B165" i="3"/>
  <c r="B205" i="3"/>
  <c r="B245" i="3"/>
  <c r="B261" i="3"/>
  <c r="B38" i="3"/>
  <c r="L39" i="3" s="1"/>
  <c r="B46" i="3"/>
  <c r="L47" i="3" s="1"/>
  <c r="B54" i="3"/>
  <c r="L55" i="3" s="1"/>
  <c r="B62" i="3"/>
  <c r="L63" i="3" s="1"/>
  <c r="B70" i="3"/>
  <c r="L71" i="3" s="1"/>
  <c r="B78" i="3"/>
  <c r="L79" i="3" s="1"/>
  <c r="B86" i="3"/>
  <c r="L87" i="3" s="1"/>
  <c r="B94" i="3"/>
  <c r="B102" i="3"/>
  <c r="B110" i="3"/>
  <c r="B118" i="3"/>
  <c r="B126" i="3"/>
  <c r="B134" i="3"/>
  <c r="B142" i="3"/>
  <c r="B150" i="3"/>
  <c r="B158" i="3"/>
  <c r="B166" i="3"/>
  <c r="B174" i="3"/>
  <c r="B182" i="3"/>
  <c r="B190" i="3"/>
  <c r="B198" i="3"/>
  <c r="B206" i="3"/>
  <c r="B214" i="3"/>
  <c r="B222" i="3"/>
  <c r="B230" i="3"/>
  <c r="B238" i="3"/>
  <c r="B246" i="3"/>
  <c r="B254" i="3"/>
  <c r="B262" i="3"/>
  <c r="B57" i="3"/>
  <c r="L58" i="3" s="1"/>
  <c r="B113" i="3"/>
  <c r="B145" i="3"/>
  <c r="B177" i="3"/>
  <c r="B201" i="3"/>
  <c r="B225" i="3"/>
  <c r="B249" i="3"/>
  <c r="B58" i="3"/>
  <c r="L59" i="3" s="1"/>
  <c r="B98" i="3"/>
  <c r="B138" i="3"/>
  <c r="B178" i="3"/>
  <c r="B218" i="3"/>
  <c r="B258" i="3"/>
  <c r="B51" i="3"/>
  <c r="B91" i="3"/>
  <c r="B115" i="3"/>
  <c r="B139" i="3"/>
  <c r="B163" i="3"/>
  <c r="B195" i="3"/>
  <c r="B235" i="3"/>
  <c r="B259" i="3"/>
  <c r="B220" i="3"/>
  <c r="B260" i="3"/>
  <c r="B53" i="3"/>
  <c r="L54" i="3" s="1"/>
  <c r="B149" i="3"/>
  <c r="B197" i="3"/>
  <c r="B237" i="3"/>
  <c r="B39" i="3"/>
  <c r="B47" i="3"/>
  <c r="L48" i="3" s="1"/>
  <c r="B55" i="3"/>
  <c r="L56" i="3" s="1"/>
  <c r="B63" i="3"/>
  <c r="B71" i="3"/>
  <c r="L72" i="3" s="1"/>
  <c r="B79" i="3"/>
  <c r="L80" i="3" s="1"/>
  <c r="B87" i="3"/>
  <c r="B95" i="3"/>
  <c r="B103" i="3"/>
  <c r="B111" i="3"/>
  <c r="B119" i="3"/>
  <c r="B127" i="3"/>
  <c r="B135" i="3"/>
  <c r="B143" i="3"/>
  <c r="B151" i="3"/>
  <c r="B159" i="3"/>
  <c r="B167" i="3"/>
  <c r="B175" i="3"/>
  <c r="B183" i="3"/>
  <c r="B191" i="3"/>
  <c r="B199" i="3"/>
  <c r="B207" i="3"/>
  <c r="B215" i="3"/>
  <c r="B223" i="3"/>
  <c r="B231" i="3"/>
  <c r="B239" i="3"/>
  <c r="B247" i="3"/>
  <c r="B255" i="3"/>
  <c r="B263" i="3"/>
  <c r="B49" i="3"/>
  <c r="L50" i="3" s="1"/>
  <c r="B65" i="3"/>
  <c r="L66" i="3" s="1"/>
  <c r="B81" i="3"/>
  <c r="L82" i="3" s="1"/>
  <c r="B97" i="3"/>
  <c r="B121" i="3"/>
  <c r="B137" i="3"/>
  <c r="B161" i="3"/>
  <c r="B185" i="3"/>
  <c r="B217" i="3"/>
  <c r="B241" i="3"/>
  <c r="B265" i="3"/>
  <c r="B42" i="3"/>
  <c r="L43" i="3" s="1"/>
  <c r="B74" i="3"/>
  <c r="L75" i="3" s="1"/>
  <c r="B90" i="3"/>
  <c r="B114" i="3"/>
  <c r="B130" i="3"/>
  <c r="B154" i="3"/>
  <c r="B170" i="3"/>
  <c r="B194" i="3"/>
  <c r="B210" i="3"/>
  <c r="B234" i="3"/>
  <c r="B250" i="3"/>
  <c r="B43" i="3"/>
  <c r="L44" i="3" s="1"/>
  <c r="B75" i="3"/>
  <c r="B107" i="3"/>
  <c r="B131" i="3"/>
  <c r="B155" i="3"/>
  <c r="B171" i="3"/>
  <c r="B203" i="3"/>
  <c r="B219" i="3"/>
  <c r="B251" i="3"/>
  <c r="B204" i="3"/>
  <c r="B252" i="3"/>
  <c r="B61" i="3"/>
  <c r="L62" i="3" s="1"/>
  <c r="B125" i="3"/>
  <c r="B173" i="3"/>
  <c r="B213" i="3"/>
  <c r="B253" i="3"/>
  <c r="B40" i="3"/>
  <c r="L41" i="3" s="1"/>
  <c r="B48" i="3"/>
  <c r="L49" i="3" s="1"/>
  <c r="B56" i="3"/>
  <c r="L57" i="3" s="1"/>
  <c r="B64" i="3"/>
  <c r="L65" i="3" s="1"/>
  <c r="B72" i="3"/>
  <c r="L73" i="3" s="1"/>
  <c r="B80" i="3"/>
  <c r="L81" i="3" s="1"/>
  <c r="B88" i="3"/>
  <c r="B96" i="3"/>
  <c r="B104" i="3"/>
  <c r="B112" i="3"/>
  <c r="B120" i="3"/>
  <c r="B128" i="3"/>
  <c r="B136" i="3"/>
  <c r="B144" i="3"/>
  <c r="B152" i="3"/>
  <c r="B160" i="3"/>
  <c r="B168" i="3"/>
  <c r="B176" i="3"/>
  <c r="B184" i="3"/>
  <c r="B192" i="3"/>
  <c r="B200" i="3"/>
  <c r="B208" i="3"/>
  <c r="B216" i="3"/>
  <c r="B224" i="3"/>
  <c r="B232" i="3"/>
  <c r="B240" i="3"/>
  <c r="B248" i="3"/>
  <c r="B256" i="3"/>
  <c r="B264" i="3"/>
  <c r="B41" i="3"/>
  <c r="L42" i="3" s="1"/>
  <c r="B73" i="3"/>
  <c r="L74" i="3" s="1"/>
  <c r="B89" i="3"/>
  <c r="B105" i="3"/>
  <c r="B129" i="3"/>
  <c r="B153" i="3"/>
  <c r="B169" i="3"/>
  <c r="B193" i="3"/>
  <c r="B209" i="3"/>
  <c r="B233" i="3"/>
  <c r="B257" i="3"/>
  <c r="B50" i="3"/>
  <c r="L51" i="3" s="1"/>
  <c r="B66" i="3"/>
  <c r="L67" i="3" s="1"/>
  <c r="B82" i="3"/>
  <c r="L83" i="3" s="1"/>
  <c r="B106" i="3"/>
  <c r="B122" i="3"/>
  <c r="B146" i="3"/>
  <c r="B162" i="3"/>
  <c r="B186" i="3"/>
  <c r="B202" i="3"/>
  <c r="B226" i="3"/>
  <c r="B242" i="3"/>
  <c r="B266" i="3"/>
  <c r="B59" i="3"/>
  <c r="L60" i="3" s="1"/>
  <c r="B67" i="3"/>
  <c r="L68" i="3" s="1"/>
  <c r="B83" i="3"/>
  <c r="L84" i="3" s="1"/>
  <c r="B99" i="3"/>
  <c r="B123" i="3"/>
  <c r="B147" i="3"/>
  <c r="B187" i="3"/>
  <c r="B211" i="3"/>
  <c r="B227" i="3"/>
  <c r="B243" i="3"/>
  <c r="B267" i="3"/>
  <c r="B228" i="3"/>
  <c r="B45" i="3"/>
  <c r="L46" i="3" s="1"/>
  <c r="B141" i="3"/>
  <c r="B181" i="3"/>
  <c r="B221" i="3"/>
  <c r="B179" i="3"/>
  <c r="B236" i="3"/>
  <c r="B69" i="3"/>
  <c r="L70" i="3" s="1"/>
  <c r="B85" i="3"/>
  <c r="L86" i="3" s="1"/>
  <c r="B101" i="3"/>
  <c r="B117" i="3"/>
  <c r="B157" i="3"/>
  <c r="B189" i="3"/>
  <c r="B229" i="3"/>
  <c r="B29" i="3"/>
  <c r="C29" i="3" s="1"/>
  <c r="B30" i="3"/>
  <c r="C30" i="3" s="1"/>
  <c r="B33" i="3"/>
  <c r="L34" i="3" s="1"/>
  <c r="B34" i="3"/>
  <c r="L35" i="3" s="1"/>
  <c r="B31" i="3"/>
  <c r="L32" i="3" s="1"/>
  <c r="B32" i="3"/>
  <c r="L33" i="3" s="1"/>
  <c r="B35" i="3"/>
  <c r="L36" i="3" s="1"/>
  <c r="B28" i="3"/>
  <c r="C28" i="3" s="1"/>
  <c r="T31" i="3"/>
  <c r="R25" i="4" s="1"/>
  <c r="O30" i="3"/>
  <c r="M24" i="4" s="1"/>
  <c r="R31" i="3"/>
  <c r="P25" i="4" s="1"/>
  <c r="P31" i="3"/>
  <c r="S31" i="3"/>
  <c r="Q25" i="4" s="1"/>
  <c r="A24" i="7"/>
  <c r="L25" i="7" s="1"/>
  <c r="F22" i="7"/>
  <c r="K24" i="7"/>
  <c r="I24" i="7"/>
  <c r="E21" i="7"/>
  <c r="C18" i="7"/>
  <c r="B25" i="7"/>
  <c r="C25" i="7" s="1"/>
  <c r="B50" i="7"/>
  <c r="C50" i="7" s="1"/>
  <c r="B56" i="7"/>
  <c r="C56" i="7" s="1"/>
  <c r="B94" i="7"/>
  <c r="C94" i="7" s="1"/>
  <c r="B37" i="7"/>
  <c r="C37" i="7" s="1"/>
  <c r="B93" i="7"/>
  <c r="C93" i="7" s="1"/>
  <c r="B70" i="7"/>
  <c r="C70" i="7" s="1"/>
  <c r="B32" i="7"/>
  <c r="C32" i="7" s="1"/>
  <c r="B92" i="7"/>
  <c r="C92" i="7" s="1"/>
  <c r="B19" i="7"/>
  <c r="C19" i="7" s="1"/>
  <c r="B26" i="7"/>
  <c r="B57" i="7"/>
  <c r="C57" i="7" s="1"/>
  <c r="B34" i="7"/>
  <c r="C34" i="7" s="1"/>
  <c r="B31" i="7"/>
  <c r="C31" i="7" s="1"/>
  <c r="B72" i="7"/>
  <c r="C72" i="7" s="1"/>
  <c r="B74" i="7"/>
  <c r="C74" i="7" s="1"/>
  <c r="B83" i="7"/>
  <c r="C83" i="7" s="1"/>
  <c r="B30" i="7"/>
  <c r="C30" i="7" s="1"/>
  <c r="B63" i="7"/>
  <c r="C63" i="7" s="1"/>
  <c r="B73" i="7"/>
  <c r="C73" i="7" s="1"/>
  <c r="B60" i="7"/>
  <c r="C60" i="7" s="1"/>
  <c r="B49" i="7"/>
  <c r="C49" i="7" s="1"/>
  <c r="B81" i="7"/>
  <c r="C81" i="7" s="1"/>
  <c r="B61" i="7"/>
  <c r="C61" i="7" s="1"/>
  <c r="B66" i="7"/>
  <c r="C66" i="7" s="1"/>
  <c r="B46" i="7"/>
  <c r="C46" i="7" s="1"/>
  <c r="B82" i="7"/>
  <c r="C82" i="7" s="1"/>
  <c r="B47" i="7"/>
  <c r="C47" i="7" s="1"/>
  <c r="B100" i="7"/>
  <c r="C100" i="7" s="1"/>
  <c r="B98" i="7"/>
  <c r="C98" i="7" s="1"/>
  <c r="B48" i="7"/>
  <c r="C48" i="7" s="1"/>
  <c r="B102" i="7"/>
  <c r="C102" i="7" s="1"/>
  <c r="B58" i="7"/>
  <c r="C58" i="7" s="1"/>
  <c r="B89" i="7"/>
  <c r="C89" i="7" s="1"/>
  <c r="B59" i="7"/>
  <c r="C59" i="7" s="1"/>
  <c r="B23" i="7"/>
  <c r="C23" i="7" s="1"/>
  <c r="B43" i="7"/>
  <c r="C43" i="7" s="1"/>
  <c r="B80" i="7"/>
  <c r="C80" i="7" s="1"/>
  <c r="B41" i="7"/>
  <c r="C41" i="7" s="1"/>
  <c r="B24" i="7"/>
  <c r="C24" i="7" s="1"/>
  <c r="B44" i="7"/>
  <c r="C44" i="7" s="1"/>
  <c r="B87" i="7"/>
  <c r="C87" i="7" s="1"/>
  <c r="B28" i="7"/>
  <c r="C28" i="7" s="1"/>
  <c r="B45" i="7"/>
  <c r="C45" i="7" s="1"/>
  <c r="B90" i="7"/>
  <c r="C90" i="7" s="1"/>
  <c r="B71" i="7"/>
  <c r="C71" i="7" s="1"/>
  <c r="B38" i="7"/>
  <c r="C38" i="7" s="1"/>
  <c r="B54" i="7"/>
  <c r="C54" i="7" s="1"/>
  <c r="B67" i="7"/>
  <c r="C67" i="7" s="1"/>
  <c r="B101" i="7"/>
  <c r="C101" i="7" s="1"/>
  <c r="B75" i="7"/>
  <c r="C75" i="7" s="1"/>
  <c r="B35" i="7"/>
  <c r="C35" i="7" s="1"/>
  <c r="B51" i="7"/>
  <c r="C51" i="7" s="1"/>
  <c r="B64" i="7"/>
  <c r="C64" i="7" s="1"/>
  <c r="B85" i="7"/>
  <c r="C85" i="7" s="1"/>
  <c r="O85" i="7" s="1"/>
  <c r="P85" i="7" s="1"/>
  <c r="B27" i="7"/>
  <c r="B86" i="7"/>
  <c r="C86" i="7" s="1"/>
  <c r="B21" i="7"/>
  <c r="B22" i="7"/>
  <c r="B36" i="7"/>
  <c r="C36" i="7" s="1"/>
  <c r="B52" i="7"/>
  <c r="C52" i="7" s="1"/>
  <c r="B65" i="7"/>
  <c r="C65" i="7" s="1"/>
  <c r="B95" i="7"/>
  <c r="C95" i="7" s="1"/>
  <c r="B97" i="7"/>
  <c r="C97" i="7" s="1"/>
  <c r="O97" i="7" s="1"/>
  <c r="P97" i="7" s="1"/>
  <c r="B53" i="7"/>
  <c r="C53" i="7" s="1"/>
  <c r="B78" i="7"/>
  <c r="C78" i="7" s="1"/>
  <c r="B20" i="7"/>
  <c r="C20" i="7" s="1"/>
  <c r="B42" i="7"/>
  <c r="C42" i="7" s="1"/>
  <c r="M42" i="7" s="1"/>
  <c r="N42" i="7" s="1"/>
  <c r="B99" i="7"/>
  <c r="C99" i="7" s="1"/>
  <c r="B76" i="7"/>
  <c r="C76" i="7" s="1"/>
  <c r="B96" i="7"/>
  <c r="C96" i="7" s="1"/>
  <c r="B79" i="7"/>
  <c r="C79" i="7" s="1"/>
  <c r="B39" i="7"/>
  <c r="C39" i="7" s="1"/>
  <c r="B55" i="7"/>
  <c r="C55" i="7" s="1"/>
  <c r="B68" i="7"/>
  <c r="C68" i="7" s="1"/>
  <c r="B84" i="7"/>
  <c r="C84" i="7" s="1"/>
  <c r="M84" i="7" s="1"/>
  <c r="N84" i="7" s="1"/>
  <c r="B33" i="7"/>
  <c r="C33" i="7" s="1"/>
  <c r="B62" i="7"/>
  <c r="C62" i="7" s="1"/>
  <c r="B29" i="7"/>
  <c r="C29" i="7" s="1"/>
  <c r="B91" i="7"/>
  <c r="C91" i="7" s="1"/>
  <c r="B40" i="7"/>
  <c r="C40" i="7" s="1"/>
  <c r="B77" i="7"/>
  <c r="C77" i="7" s="1"/>
  <c r="B69" i="7"/>
  <c r="C69" i="7" s="1"/>
  <c r="O88" i="7"/>
  <c r="P88" i="7" s="1"/>
  <c r="M88" i="7"/>
  <c r="N88" i="7" s="1"/>
  <c r="A31" i="3"/>
  <c r="A24" i="4"/>
  <c r="K32" i="3" l="1"/>
  <c r="G30" i="3"/>
  <c r="E30" i="3" s="1"/>
  <c r="R32" i="3"/>
  <c r="P26" i="4" s="1"/>
  <c r="O31" i="3"/>
  <c r="M25" i="4" s="1"/>
  <c r="M31" i="3"/>
  <c r="K25" i="4" s="1"/>
  <c r="N31" i="3"/>
  <c r="L25" i="4" s="1"/>
  <c r="I26" i="4"/>
  <c r="K25" i="7"/>
  <c r="F23" i="7"/>
  <c r="A25" i="7"/>
  <c r="L26" i="7" s="1"/>
  <c r="P32" i="3"/>
  <c r="Q32" i="3"/>
  <c r="O26" i="4" s="1"/>
  <c r="V29" i="3"/>
  <c r="W29" i="3" s="1"/>
  <c r="V30" i="3"/>
  <c r="W30" i="3" s="1"/>
  <c r="C31" i="3"/>
  <c r="V28" i="3"/>
  <c r="D28" i="3"/>
  <c r="B21" i="4"/>
  <c r="D29" i="3"/>
  <c r="D30" i="3"/>
  <c r="E22" i="7"/>
  <c r="D26" i="7"/>
  <c r="O56" i="7"/>
  <c r="P56" i="7" s="1"/>
  <c r="M56" i="7"/>
  <c r="N56" i="7" s="1"/>
  <c r="O94" i="7"/>
  <c r="P94" i="7" s="1"/>
  <c r="M94" i="7"/>
  <c r="N94" i="7" s="1"/>
  <c r="D19" i="7"/>
  <c r="O89" i="7"/>
  <c r="P89" i="7" s="1"/>
  <c r="M92" i="7"/>
  <c r="N92" i="7" s="1"/>
  <c r="O50" i="7"/>
  <c r="P50" i="7" s="1"/>
  <c r="M87" i="7"/>
  <c r="N87" i="7" s="1"/>
  <c r="M50" i="7"/>
  <c r="N50" i="7" s="1"/>
  <c r="M98" i="7"/>
  <c r="N98" i="7" s="1"/>
  <c r="O66" i="7"/>
  <c r="P66" i="7" s="1"/>
  <c r="M43" i="7"/>
  <c r="N43" i="7" s="1"/>
  <c r="O83" i="7"/>
  <c r="P83" i="7" s="1"/>
  <c r="O60" i="7"/>
  <c r="P60" i="7" s="1"/>
  <c r="M66" i="7"/>
  <c r="N66" i="7" s="1"/>
  <c r="M100" i="7"/>
  <c r="N100" i="7" s="1"/>
  <c r="M60" i="7"/>
  <c r="N60" i="7" s="1"/>
  <c r="O34" i="7"/>
  <c r="P34" i="7" s="1"/>
  <c r="M37" i="7"/>
  <c r="N37" i="7" s="1"/>
  <c r="O92" i="7"/>
  <c r="P92" i="7" s="1"/>
  <c r="O98" i="7"/>
  <c r="P98" i="7" s="1"/>
  <c r="O80" i="7"/>
  <c r="P80" i="7" s="1"/>
  <c r="O93" i="7"/>
  <c r="P93" i="7" s="1"/>
  <c r="O32" i="7"/>
  <c r="P32" i="7" s="1"/>
  <c r="O57" i="7"/>
  <c r="P57" i="7" s="1"/>
  <c r="O74" i="7"/>
  <c r="P74" i="7" s="1"/>
  <c r="M32" i="7"/>
  <c r="N32" i="7" s="1"/>
  <c r="M73" i="7"/>
  <c r="N73" i="7" s="1"/>
  <c r="M74" i="7"/>
  <c r="N74" i="7" s="1"/>
  <c r="C26" i="7"/>
  <c r="M57" i="7"/>
  <c r="N57" i="7" s="1"/>
  <c r="O61" i="7"/>
  <c r="P61" i="7" s="1"/>
  <c r="M102" i="7"/>
  <c r="N102" i="7" s="1"/>
  <c r="D24" i="7"/>
  <c r="O46" i="7"/>
  <c r="P46" i="7" s="1"/>
  <c r="O72" i="7"/>
  <c r="P72" i="7" s="1"/>
  <c r="O49" i="7"/>
  <c r="P49" i="7" s="1"/>
  <c r="O70" i="7"/>
  <c r="P70" i="7" s="1"/>
  <c r="O31" i="7"/>
  <c r="P31" i="7" s="1"/>
  <c r="O82" i="7"/>
  <c r="P82" i="7" s="1"/>
  <c r="M72" i="7"/>
  <c r="N72" i="7" s="1"/>
  <c r="M80" i="7"/>
  <c r="N80" i="7" s="1"/>
  <c r="M46" i="7"/>
  <c r="N46" i="7" s="1"/>
  <c r="M49" i="7"/>
  <c r="N49" i="7" s="1"/>
  <c r="M70" i="7"/>
  <c r="N70" i="7" s="1"/>
  <c r="M31" i="7"/>
  <c r="N31" i="7" s="1"/>
  <c r="M82" i="7"/>
  <c r="N82" i="7" s="1"/>
  <c r="M34" i="7"/>
  <c r="N34" i="7" s="1"/>
  <c r="O37" i="7"/>
  <c r="P37" i="7" s="1"/>
  <c r="O87" i="7"/>
  <c r="P87" i="7" s="1"/>
  <c r="M44" i="7"/>
  <c r="N44" i="7" s="1"/>
  <c r="O100" i="7"/>
  <c r="P100" i="7" s="1"/>
  <c r="M93" i="7"/>
  <c r="N93" i="7" s="1"/>
  <c r="M89" i="7"/>
  <c r="N89" i="7" s="1"/>
  <c r="M83" i="7"/>
  <c r="N83" i="7" s="1"/>
  <c r="D27" i="7"/>
  <c r="O48" i="7"/>
  <c r="P48" i="7" s="1"/>
  <c r="O47" i="7"/>
  <c r="P47" i="7" s="1"/>
  <c r="O63" i="7"/>
  <c r="P63" i="7" s="1"/>
  <c r="O81" i="7"/>
  <c r="P81" i="7" s="1"/>
  <c r="M61" i="7"/>
  <c r="N61" i="7" s="1"/>
  <c r="M48" i="7"/>
  <c r="N48" i="7" s="1"/>
  <c r="M47" i="7"/>
  <c r="N47" i="7" s="1"/>
  <c r="M63" i="7"/>
  <c r="N63" i="7" s="1"/>
  <c r="O102" i="7"/>
  <c r="P102" i="7" s="1"/>
  <c r="M81" i="7"/>
  <c r="N81" i="7" s="1"/>
  <c r="M41" i="7"/>
  <c r="N41" i="7" s="1"/>
  <c r="O73" i="7"/>
  <c r="P73" i="7" s="1"/>
  <c r="O59" i="7"/>
  <c r="P59" i="7" s="1"/>
  <c r="D25" i="7"/>
  <c r="O58" i="7"/>
  <c r="P58" i="7" s="1"/>
  <c r="D23" i="7"/>
  <c r="O44" i="7"/>
  <c r="P44" i="7" s="1"/>
  <c r="O41" i="7"/>
  <c r="P41" i="7" s="1"/>
  <c r="O43" i="7"/>
  <c r="P43" i="7" s="1"/>
  <c r="M59" i="7"/>
  <c r="N59" i="7" s="1"/>
  <c r="M58" i="7"/>
  <c r="N58" i="7" s="1"/>
  <c r="M77" i="7"/>
  <c r="N77" i="7" s="1"/>
  <c r="O62" i="7"/>
  <c r="P62" i="7" s="1"/>
  <c r="M55" i="7"/>
  <c r="N55" i="7" s="1"/>
  <c r="O76" i="7"/>
  <c r="P76" i="7" s="1"/>
  <c r="M78" i="7"/>
  <c r="N78" i="7" s="1"/>
  <c r="O65" i="7"/>
  <c r="P65" i="7" s="1"/>
  <c r="O64" i="7"/>
  <c r="P64" i="7" s="1"/>
  <c r="M101" i="7"/>
  <c r="N101" i="7" s="1"/>
  <c r="O71" i="7"/>
  <c r="P71" i="7" s="1"/>
  <c r="M40" i="7"/>
  <c r="N40" i="7" s="1"/>
  <c r="O33" i="7"/>
  <c r="P33" i="7" s="1"/>
  <c r="M39" i="7"/>
  <c r="N39" i="7" s="1"/>
  <c r="O99" i="7"/>
  <c r="P99" i="7" s="1"/>
  <c r="M53" i="7"/>
  <c r="N53" i="7" s="1"/>
  <c r="O52" i="7"/>
  <c r="P52" i="7" s="1"/>
  <c r="O86" i="7"/>
  <c r="P86" i="7" s="1"/>
  <c r="O51" i="7"/>
  <c r="P51" i="7" s="1"/>
  <c r="M67" i="7"/>
  <c r="N67" i="7" s="1"/>
  <c r="M90" i="7"/>
  <c r="N90" i="7" s="1"/>
  <c r="M91" i="7"/>
  <c r="N91" i="7" s="1"/>
  <c r="O84" i="7"/>
  <c r="P84" i="7" s="1"/>
  <c r="O79" i="7"/>
  <c r="P79" i="7" s="1"/>
  <c r="O42" i="7"/>
  <c r="P42" i="7" s="1"/>
  <c r="M97" i="7"/>
  <c r="N97" i="7" s="1"/>
  <c r="M36" i="7"/>
  <c r="N36" i="7" s="1"/>
  <c r="M35" i="7"/>
  <c r="N35" i="7" s="1"/>
  <c r="M54" i="7"/>
  <c r="N54" i="7" s="1"/>
  <c r="M45" i="7"/>
  <c r="N45" i="7" s="1"/>
  <c r="O91" i="7"/>
  <c r="P91" i="7" s="1"/>
  <c r="O69" i="7"/>
  <c r="P69" i="7" s="1"/>
  <c r="O68" i="7"/>
  <c r="P68" i="7" s="1"/>
  <c r="M96" i="7"/>
  <c r="N96" i="7" s="1"/>
  <c r="M95" i="7"/>
  <c r="N95" i="7" s="1"/>
  <c r="M85" i="7"/>
  <c r="N85" i="7" s="1"/>
  <c r="M75" i="7"/>
  <c r="N75" i="7" s="1"/>
  <c r="M38" i="7"/>
  <c r="N38" i="7" s="1"/>
  <c r="M79" i="7"/>
  <c r="N79" i="7" s="1"/>
  <c r="O96" i="7"/>
  <c r="P96" i="7" s="1"/>
  <c r="D30" i="7"/>
  <c r="O95" i="7"/>
  <c r="P95" i="7" s="1"/>
  <c r="M68" i="7"/>
  <c r="N68" i="7" s="1"/>
  <c r="C22" i="7"/>
  <c r="D29" i="7"/>
  <c r="O78" i="7"/>
  <c r="P78" i="7" s="1"/>
  <c r="O75" i="7"/>
  <c r="P75" i="7" s="1"/>
  <c r="D28" i="7"/>
  <c r="D20" i="7"/>
  <c r="D21" i="7"/>
  <c r="M69" i="7"/>
  <c r="N69" i="7" s="1"/>
  <c r="O38" i="7"/>
  <c r="P38" i="7" s="1"/>
  <c r="M33" i="7"/>
  <c r="N33" i="7" s="1"/>
  <c r="O53" i="7"/>
  <c r="P53" i="7" s="1"/>
  <c r="O40" i="7"/>
  <c r="P40" i="7" s="1"/>
  <c r="M52" i="7"/>
  <c r="N52" i="7" s="1"/>
  <c r="O77" i="7"/>
  <c r="P77" i="7" s="1"/>
  <c r="M99" i="7"/>
  <c r="N99" i="7" s="1"/>
  <c r="M86" i="7"/>
  <c r="N86" i="7" s="1"/>
  <c r="O90" i="7"/>
  <c r="P90" i="7" s="1"/>
  <c r="M62" i="7"/>
  <c r="N62" i="7" s="1"/>
  <c r="M51" i="7"/>
  <c r="N51" i="7" s="1"/>
  <c r="O101" i="7"/>
  <c r="P101" i="7" s="1"/>
  <c r="O55" i="7"/>
  <c r="P55" i="7" s="1"/>
  <c r="M76" i="7"/>
  <c r="N76" i="7" s="1"/>
  <c r="M65" i="7"/>
  <c r="N65" i="7" s="1"/>
  <c r="M71" i="7"/>
  <c r="N71" i="7" s="1"/>
  <c r="O39" i="7"/>
  <c r="P39" i="7" s="1"/>
  <c r="M64" i="7"/>
  <c r="N64" i="7" s="1"/>
  <c r="O67" i="7"/>
  <c r="P67" i="7" s="1"/>
  <c r="C21" i="7"/>
  <c r="O21" i="7" s="1"/>
  <c r="P21" i="7" s="1"/>
  <c r="D22" i="7"/>
  <c r="O36" i="7"/>
  <c r="P36" i="7" s="1"/>
  <c r="C27" i="7"/>
  <c r="O35" i="7"/>
  <c r="P35" i="7" s="1"/>
  <c r="O54" i="7"/>
  <c r="P54" i="7" s="1"/>
  <c r="O45" i="7"/>
  <c r="P45" i="7" s="1"/>
  <c r="O19" i="7"/>
  <c r="P19" i="7" s="1"/>
  <c r="M19" i="7"/>
  <c r="N19" i="7" s="1"/>
  <c r="M30" i="7"/>
  <c r="N30" i="7" s="1"/>
  <c r="O30" i="7"/>
  <c r="P30" i="7" s="1"/>
  <c r="M28" i="7"/>
  <c r="N28" i="7" s="1"/>
  <c r="O28" i="7"/>
  <c r="P28" i="7" s="1"/>
  <c r="M24" i="7"/>
  <c r="N24" i="7" s="1"/>
  <c r="O24" i="7"/>
  <c r="P24" i="7" s="1"/>
  <c r="M23" i="7"/>
  <c r="N23" i="7" s="1"/>
  <c r="O23" i="7"/>
  <c r="P23" i="7" s="1"/>
  <c r="M29" i="7"/>
  <c r="N29" i="7" s="1"/>
  <c r="O29" i="7"/>
  <c r="P29" i="7" s="1"/>
  <c r="O20" i="7"/>
  <c r="P20" i="7" s="1"/>
  <c r="M20" i="7"/>
  <c r="N20" i="7" s="1"/>
  <c r="M25" i="7"/>
  <c r="N25" i="7" s="1"/>
  <c r="O25" i="7"/>
  <c r="P25" i="7" s="1"/>
  <c r="A32" i="3"/>
  <c r="A25" i="4"/>
  <c r="G31" i="3" l="1"/>
  <c r="E31" i="3" s="1"/>
  <c r="H30" i="3"/>
  <c r="F30" i="3" s="1"/>
  <c r="R33" i="3"/>
  <c r="P27" i="4" s="1"/>
  <c r="O32" i="3"/>
  <c r="M26" i="4" s="1"/>
  <c r="M32" i="3"/>
  <c r="K26" i="4" s="1"/>
  <c r="N32" i="3"/>
  <c r="L26" i="4" s="1"/>
  <c r="T33" i="3"/>
  <c r="R27" i="4" s="1"/>
  <c r="F24" i="7"/>
  <c r="A26" i="7"/>
  <c r="L27" i="7" s="1"/>
  <c r="I26" i="7"/>
  <c r="K26" i="7"/>
  <c r="C24" i="4"/>
  <c r="C23" i="4"/>
  <c r="C22" i="4"/>
  <c r="Q33" i="3"/>
  <c r="O27" i="4" s="1"/>
  <c r="J32" i="3"/>
  <c r="H26" i="4" s="1"/>
  <c r="S33" i="3"/>
  <c r="Q27" i="4" s="1"/>
  <c r="P33" i="3"/>
  <c r="B23" i="4"/>
  <c r="B32" i="10" s="1"/>
  <c r="X29" i="3"/>
  <c r="Y29" i="3" s="1"/>
  <c r="Z29" i="3" s="1"/>
  <c r="B24" i="4"/>
  <c r="B33" i="10" s="1"/>
  <c r="X30" i="3"/>
  <c r="Y30" i="3" s="1"/>
  <c r="Z30" i="3" s="1"/>
  <c r="D31" i="3"/>
  <c r="C32" i="3"/>
  <c r="W28" i="3"/>
  <c r="X28" i="3"/>
  <c r="Y28" i="3" s="1"/>
  <c r="Z28" i="3" s="1"/>
  <c r="B22" i="4"/>
  <c r="B31" i="10" s="1"/>
  <c r="E23" i="7"/>
  <c r="Q19" i="7"/>
  <c r="M26" i="7"/>
  <c r="N26" i="7" s="1"/>
  <c r="Q23" i="7"/>
  <c r="Q24" i="7"/>
  <c r="O26" i="7"/>
  <c r="P26" i="7" s="1"/>
  <c r="Q26" i="7" s="1"/>
  <c r="Q28" i="7"/>
  <c r="Q25" i="7"/>
  <c r="O22" i="7"/>
  <c r="P22" i="7" s="1"/>
  <c r="Q22" i="7" s="1"/>
  <c r="M22" i="7"/>
  <c r="N22" i="7" s="1"/>
  <c r="Q29" i="7"/>
  <c r="Q30" i="7"/>
  <c r="M21" i="7"/>
  <c r="N21" i="7" s="1"/>
  <c r="G21" i="7" s="1"/>
  <c r="M27" i="7"/>
  <c r="N27" i="7" s="1"/>
  <c r="Q21" i="7"/>
  <c r="Q20" i="7"/>
  <c r="G20" i="7" s="1"/>
  <c r="O27" i="7"/>
  <c r="P27" i="7" s="1"/>
  <c r="Q27" i="7" s="1"/>
  <c r="N18" i="7"/>
  <c r="G19" i="7" s="1"/>
  <c r="V31" i="3"/>
  <c r="W31" i="3" s="1"/>
  <c r="X31" i="3"/>
  <c r="Y31" i="3" s="1"/>
  <c r="B25" i="4"/>
  <c r="B34" i="10" s="1"/>
  <c r="A33" i="3"/>
  <c r="A26" i="4"/>
  <c r="K33" i="3" l="1"/>
  <c r="I27" i="4" s="1"/>
  <c r="G32" i="3"/>
  <c r="E32" i="3" s="1"/>
  <c r="F24" i="4"/>
  <c r="D33" i="10" s="1"/>
  <c r="W27" i="3"/>
  <c r="E22" i="4" s="1"/>
  <c r="H29" i="3"/>
  <c r="A27" i="7"/>
  <c r="L28" i="7" s="1"/>
  <c r="I27" i="7"/>
  <c r="F25" i="7"/>
  <c r="R34" i="3"/>
  <c r="P28" i="4" s="1"/>
  <c r="O33" i="3"/>
  <c r="M27" i="4" s="1"/>
  <c r="M33" i="3"/>
  <c r="K27" i="4" s="1"/>
  <c r="N33" i="3"/>
  <c r="L27" i="4" s="1"/>
  <c r="K27" i="7"/>
  <c r="T34" i="3"/>
  <c r="R28" i="4" s="1"/>
  <c r="C25" i="4"/>
  <c r="E24" i="4"/>
  <c r="G24" i="7"/>
  <c r="H24" i="7" s="1"/>
  <c r="Q34" i="3"/>
  <c r="O28" i="4" s="1"/>
  <c r="I33" i="3"/>
  <c r="G27" i="4" s="1"/>
  <c r="S34" i="3"/>
  <c r="Q28" i="4" s="1"/>
  <c r="J33" i="3"/>
  <c r="H27" i="4" s="1"/>
  <c r="Z31" i="3"/>
  <c r="E25" i="4" s="1"/>
  <c r="C33" i="3"/>
  <c r="B26" i="4"/>
  <c r="B35" i="10" s="1"/>
  <c r="D32" i="3"/>
  <c r="E23" i="4"/>
  <c r="E24" i="7"/>
  <c r="G25" i="7" s="1"/>
  <c r="H20" i="7"/>
  <c r="H21" i="7"/>
  <c r="H19" i="7"/>
  <c r="G22" i="7"/>
  <c r="G23" i="7" s="1"/>
  <c r="A34" i="3"/>
  <c r="A27" i="4"/>
  <c r="H31" i="3" l="1"/>
  <c r="F31" i="3" s="1"/>
  <c r="D25" i="4" s="1"/>
  <c r="K34" i="3"/>
  <c r="I28" i="4" s="1"/>
  <c r="G33" i="3"/>
  <c r="E33" i="3" s="1"/>
  <c r="H28" i="3"/>
  <c r="U28" i="3" s="1"/>
  <c r="F29" i="3"/>
  <c r="D23" i="4" s="1"/>
  <c r="F23" i="4"/>
  <c r="D32" i="10" s="1"/>
  <c r="I28" i="7"/>
  <c r="A28" i="7"/>
  <c r="L29" i="7" s="1"/>
  <c r="F26" i="7"/>
  <c r="K28" i="7"/>
  <c r="R35" i="3"/>
  <c r="P29" i="4" s="1"/>
  <c r="O34" i="3"/>
  <c r="M28" i="4" s="1"/>
  <c r="N34" i="3"/>
  <c r="L28" i="4" s="1"/>
  <c r="M34" i="3"/>
  <c r="K28" i="4" s="1"/>
  <c r="T35" i="3"/>
  <c r="R29" i="4" s="1"/>
  <c r="U30" i="3"/>
  <c r="D24" i="4"/>
  <c r="U29" i="3"/>
  <c r="C26" i="4"/>
  <c r="E25" i="7"/>
  <c r="S35" i="3"/>
  <c r="Q29" i="4" s="1"/>
  <c r="P35" i="3"/>
  <c r="N29" i="4" s="1"/>
  <c r="J34" i="3"/>
  <c r="H28" i="4" s="1"/>
  <c r="Q35" i="3"/>
  <c r="O29" i="4" s="1"/>
  <c r="J28" i="4"/>
  <c r="I34" i="3"/>
  <c r="G28" i="4" s="1"/>
  <c r="V32" i="3"/>
  <c r="W32" i="3" s="1"/>
  <c r="X32" i="3"/>
  <c r="Y32" i="3" s="1"/>
  <c r="Z32" i="3" s="1"/>
  <c r="B27" i="4"/>
  <c r="B36" i="10" s="1"/>
  <c r="D33" i="3"/>
  <c r="C34" i="3"/>
  <c r="H25" i="7"/>
  <c r="H22" i="7"/>
  <c r="F27" i="7"/>
  <c r="I29" i="7"/>
  <c r="A35" i="3"/>
  <c r="A28" i="4"/>
  <c r="U31" i="3" l="1"/>
  <c r="F25" i="4"/>
  <c r="D34" i="10" s="1"/>
  <c r="K35" i="3"/>
  <c r="I29" i="4" s="1"/>
  <c r="G34" i="3"/>
  <c r="E34" i="3" s="1"/>
  <c r="H32" i="3"/>
  <c r="F32" i="3" s="1"/>
  <c r="F28" i="3"/>
  <c r="D22" i="4" s="1"/>
  <c r="F22" i="4"/>
  <c r="D31" i="10" s="1"/>
  <c r="A29" i="7"/>
  <c r="L30" i="7" s="1"/>
  <c r="E26" i="7"/>
  <c r="K29" i="7"/>
  <c r="S32" i="3"/>
  <c r="Q26" i="4" s="1"/>
  <c r="R36" i="3"/>
  <c r="P30" i="4" s="1"/>
  <c r="O35" i="3"/>
  <c r="M29" i="4" s="1"/>
  <c r="M35" i="3"/>
  <c r="K29" i="4" s="1"/>
  <c r="N35" i="3"/>
  <c r="L29" i="4" s="1"/>
  <c r="T36" i="3"/>
  <c r="R30" i="4" s="1"/>
  <c r="C27" i="4"/>
  <c r="G26" i="7"/>
  <c r="H26" i="7" s="1"/>
  <c r="E26" i="4"/>
  <c r="Q36" i="3"/>
  <c r="O30" i="4" s="1"/>
  <c r="J35" i="3"/>
  <c r="H29" i="4" s="1"/>
  <c r="S36" i="3"/>
  <c r="Q30" i="4" s="1"/>
  <c r="P36" i="3"/>
  <c r="N30" i="4" s="1"/>
  <c r="J29" i="4"/>
  <c r="I35" i="3"/>
  <c r="G29" i="4" s="1"/>
  <c r="X33" i="3"/>
  <c r="Y33" i="3" s="1"/>
  <c r="Z33" i="3" s="1"/>
  <c r="V33" i="3"/>
  <c r="W33" i="3" s="1"/>
  <c r="H33" i="3" s="1"/>
  <c r="F33" i="3" s="1"/>
  <c r="V34" i="3"/>
  <c r="W34" i="3" s="1"/>
  <c r="D34" i="3"/>
  <c r="C35" i="3"/>
  <c r="I30" i="7"/>
  <c r="F28" i="7"/>
  <c r="E27" i="7"/>
  <c r="G27" i="7"/>
  <c r="A36" i="3"/>
  <c r="A29" i="4"/>
  <c r="F26" i="4" l="1"/>
  <c r="D35" i="10" s="1"/>
  <c r="K36" i="3"/>
  <c r="I30" i="4" s="1"/>
  <c r="G35" i="3"/>
  <c r="E35" i="3" s="1"/>
  <c r="K30" i="7"/>
  <c r="A30" i="7"/>
  <c r="H34" i="3"/>
  <c r="F34" i="3" s="1"/>
  <c r="F27" i="4"/>
  <c r="D36" i="10" s="1"/>
  <c r="O36" i="3"/>
  <c r="M30" i="4" s="1"/>
  <c r="R37" i="3"/>
  <c r="P31" i="4" s="1"/>
  <c r="N36" i="3"/>
  <c r="L30" i="4" s="1"/>
  <c r="M36" i="3"/>
  <c r="K30" i="4" s="1"/>
  <c r="T37" i="3"/>
  <c r="R31" i="4" s="1"/>
  <c r="D26" i="4"/>
  <c r="C28" i="4"/>
  <c r="E27" i="4"/>
  <c r="S37" i="3"/>
  <c r="Q31" i="4" s="1"/>
  <c r="P37" i="3"/>
  <c r="N31" i="4" s="1"/>
  <c r="J30" i="4"/>
  <c r="I36" i="3"/>
  <c r="G30" i="4" s="1"/>
  <c r="Q37" i="3"/>
  <c r="O31" i="4" s="1"/>
  <c r="J36" i="3"/>
  <c r="H30" i="4" s="1"/>
  <c r="X34" i="3"/>
  <c r="Y34" i="3" s="1"/>
  <c r="Z34" i="3" s="1"/>
  <c r="X35" i="3"/>
  <c r="Y35" i="3" s="1"/>
  <c r="D35" i="3"/>
  <c r="B28" i="4"/>
  <c r="B37" i="10" s="1"/>
  <c r="C36" i="3"/>
  <c r="H27" i="7"/>
  <c r="A31" i="7"/>
  <c r="L32" i="7" s="1"/>
  <c r="F29" i="7"/>
  <c r="I31" i="7"/>
  <c r="G28" i="7"/>
  <c r="E28" i="7"/>
  <c r="A37" i="3"/>
  <c r="A30" i="4"/>
  <c r="K37" i="3" l="1"/>
  <c r="I31" i="4" s="1"/>
  <c r="G36" i="3"/>
  <c r="E36" i="3" s="1"/>
  <c r="F28" i="4"/>
  <c r="D37" i="10" s="1"/>
  <c r="O37" i="3"/>
  <c r="M31" i="4" s="1"/>
  <c r="R38" i="3"/>
  <c r="P32" i="4" s="1"/>
  <c r="M37" i="3"/>
  <c r="K31" i="4" s="1"/>
  <c r="N37" i="3"/>
  <c r="L31" i="4" s="1"/>
  <c r="T38" i="3"/>
  <c r="R32" i="4" s="1"/>
  <c r="U33" i="3"/>
  <c r="D27" i="4"/>
  <c r="C29" i="4"/>
  <c r="Q38" i="3"/>
  <c r="O32" i="4" s="1"/>
  <c r="J37" i="3"/>
  <c r="H31" i="4" s="1"/>
  <c r="S38" i="3"/>
  <c r="Q32" i="4" s="1"/>
  <c r="P38" i="3"/>
  <c r="N32" i="4" s="1"/>
  <c r="J31" i="4"/>
  <c r="I37" i="3"/>
  <c r="G31" i="4" s="1"/>
  <c r="E28" i="4"/>
  <c r="Z35" i="3"/>
  <c r="C37" i="3"/>
  <c r="B29" i="4"/>
  <c r="B38" i="10" s="1"/>
  <c r="V35" i="3"/>
  <c r="W35" i="3" s="1"/>
  <c r="H35" i="3" s="1"/>
  <c r="B30" i="4"/>
  <c r="B39" i="10" s="1"/>
  <c r="D36" i="3"/>
  <c r="H28" i="7"/>
  <c r="E29" i="7"/>
  <c r="G29" i="7"/>
  <c r="K32" i="7"/>
  <c r="F30" i="7"/>
  <c r="I32" i="7"/>
  <c r="A32" i="7"/>
  <c r="L33" i="7" s="1"/>
  <c r="D31" i="7"/>
  <c r="A38" i="3"/>
  <c r="A31" i="4"/>
  <c r="K38" i="3" l="1"/>
  <c r="I32" i="4" s="1"/>
  <c r="G37" i="3"/>
  <c r="E37" i="3" s="1"/>
  <c r="F35" i="3"/>
  <c r="F29" i="4"/>
  <c r="D38" i="10" s="1"/>
  <c r="N38" i="3"/>
  <c r="L32" i="4" s="1"/>
  <c r="R39" i="3"/>
  <c r="P33" i="4" s="1"/>
  <c r="M38" i="3"/>
  <c r="K32" i="4" s="1"/>
  <c r="O38" i="3"/>
  <c r="M32" i="4" s="1"/>
  <c r="T39" i="3"/>
  <c r="R33" i="4" s="1"/>
  <c r="U34" i="3"/>
  <c r="D28" i="4"/>
  <c r="C30" i="4"/>
  <c r="S39" i="3"/>
  <c r="Q33" i="4" s="1"/>
  <c r="P39" i="3"/>
  <c r="N33" i="4" s="1"/>
  <c r="J32" i="4"/>
  <c r="I38" i="3"/>
  <c r="G32" i="4" s="1"/>
  <c r="Q39" i="3"/>
  <c r="O33" i="4" s="1"/>
  <c r="J38" i="3"/>
  <c r="H32" i="4" s="1"/>
  <c r="E29" i="4"/>
  <c r="V36" i="3"/>
  <c r="W36" i="3" s="1"/>
  <c r="X36" i="3"/>
  <c r="Y36" i="3" s="1"/>
  <c r="Z36" i="3" s="1"/>
  <c r="C38" i="3"/>
  <c r="D37" i="3"/>
  <c r="X37" i="3"/>
  <c r="Y37" i="3" s="1"/>
  <c r="H29" i="7"/>
  <c r="Q31" i="7"/>
  <c r="I33" i="7"/>
  <c r="D32" i="7"/>
  <c r="A33" i="7"/>
  <c r="L34" i="7" s="1"/>
  <c r="K33" i="7"/>
  <c r="F31" i="7"/>
  <c r="G30" i="7"/>
  <c r="E30" i="7"/>
  <c r="A39" i="3"/>
  <c r="A32" i="4"/>
  <c r="Q40" i="3" l="1"/>
  <c r="K39" i="3"/>
  <c r="I33" i="4" s="1"/>
  <c r="G38" i="3"/>
  <c r="E38" i="3" s="1"/>
  <c r="E30" i="4"/>
  <c r="H36" i="3"/>
  <c r="U36" i="3" s="1"/>
  <c r="M39" i="3"/>
  <c r="K33" i="4" s="1"/>
  <c r="R40" i="3"/>
  <c r="P34" i="4" s="1"/>
  <c r="O39" i="3"/>
  <c r="M33" i="4" s="1"/>
  <c r="N39" i="3"/>
  <c r="L33" i="4" s="1"/>
  <c r="U35" i="3"/>
  <c r="D29" i="4"/>
  <c r="C31" i="4"/>
  <c r="J39" i="3"/>
  <c r="H33" i="4" s="1"/>
  <c r="P40" i="3"/>
  <c r="N34" i="4" s="1"/>
  <c r="J33" i="4"/>
  <c r="I39" i="3"/>
  <c r="G33" i="4" s="1"/>
  <c r="Z37" i="3"/>
  <c r="B31" i="4"/>
  <c r="B40" i="10" s="1"/>
  <c r="V37" i="3"/>
  <c r="W37" i="3" s="1"/>
  <c r="X38" i="3"/>
  <c r="Y38" i="3" s="1"/>
  <c r="D38" i="3"/>
  <c r="H30" i="7"/>
  <c r="Q32" i="7"/>
  <c r="E31" i="7"/>
  <c r="G31" i="7"/>
  <c r="D33" i="7"/>
  <c r="K34" i="7"/>
  <c r="I34" i="7"/>
  <c r="A34" i="7"/>
  <c r="L35" i="7" s="1"/>
  <c r="F32" i="7"/>
  <c r="A40" i="3"/>
  <c r="A33" i="4"/>
  <c r="K40" i="3" l="1"/>
  <c r="I34" i="4" s="1"/>
  <c r="K41" i="3"/>
  <c r="G39" i="3"/>
  <c r="E39" i="3" s="1"/>
  <c r="E31" i="4"/>
  <c r="H37" i="3"/>
  <c r="U37" i="3" s="1"/>
  <c r="F36" i="3"/>
  <c r="D30" i="4" s="1"/>
  <c r="F30" i="4"/>
  <c r="D39" i="10" s="1"/>
  <c r="O41" i="3"/>
  <c r="M35" i="4" s="1"/>
  <c r="M41" i="3"/>
  <c r="K35" i="4" s="1"/>
  <c r="N41" i="3"/>
  <c r="L35" i="4" s="1"/>
  <c r="O40" i="3"/>
  <c r="M34" i="4" s="1"/>
  <c r="R41" i="3"/>
  <c r="P35" i="4" s="1"/>
  <c r="C39" i="3"/>
  <c r="M40" i="3"/>
  <c r="K34" i="4" s="1"/>
  <c r="N40" i="3"/>
  <c r="L34" i="4" s="1"/>
  <c r="T41" i="3"/>
  <c r="R35" i="4" s="1"/>
  <c r="I35" i="4"/>
  <c r="C32" i="4"/>
  <c r="S41" i="3"/>
  <c r="Q35" i="4" s="1"/>
  <c r="P41" i="3"/>
  <c r="N35" i="4" s="1"/>
  <c r="J41" i="3"/>
  <c r="H35" i="4" s="1"/>
  <c r="J34" i="4"/>
  <c r="I40" i="3"/>
  <c r="G34" i="4" s="1"/>
  <c r="Q41" i="3"/>
  <c r="O35" i="4" s="1"/>
  <c r="J35" i="4"/>
  <c r="I41" i="3"/>
  <c r="G35" i="4" s="1"/>
  <c r="J40" i="3"/>
  <c r="H34" i="4" s="1"/>
  <c r="B32" i="4"/>
  <c r="B41" i="10" s="1"/>
  <c r="Z38" i="3"/>
  <c r="V38" i="3"/>
  <c r="W38" i="3" s="1"/>
  <c r="H38" i="3" s="1"/>
  <c r="F38" i="3" s="1"/>
  <c r="D39" i="3"/>
  <c r="Q33" i="7"/>
  <c r="D34" i="7"/>
  <c r="K35" i="7"/>
  <c r="F33" i="7"/>
  <c r="I35" i="7"/>
  <c r="A35" i="7"/>
  <c r="L36" i="7" s="1"/>
  <c r="G32" i="7"/>
  <c r="E32" i="7"/>
  <c r="A41" i="3"/>
  <c r="A34" i="4"/>
  <c r="K42" i="3" l="1"/>
  <c r="G40" i="3"/>
  <c r="E40" i="3" s="1"/>
  <c r="F32" i="4"/>
  <c r="D41" i="10" s="1"/>
  <c r="F37" i="3"/>
  <c r="D31" i="4" s="1"/>
  <c r="F31" i="4"/>
  <c r="D40" i="10" s="1"/>
  <c r="O42" i="3"/>
  <c r="M36" i="4" s="1"/>
  <c r="N42" i="3"/>
  <c r="L36" i="4" s="1"/>
  <c r="M42" i="3"/>
  <c r="K36" i="4" s="1"/>
  <c r="R42" i="3"/>
  <c r="P36" i="4" s="1"/>
  <c r="X39" i="3"/>
  <c r="Y39" i="3" s="1"/>
  <c r="Z39" i="3" s="1"/>
  <c r="C40" i="3"/>
  <c r="T42" i="3"/>
  <c r="R36" i="4" s="1"/>
  <c r="I36" i="4"/>
  <c r="C33" i="4"/>
  <c r="Q42" i="3"/>
  <c r="O36" i="4" s="1"/>
  <c r="J36" i="4"/>
  <c r="I42" i="3"/>
  <c r="G36" i="4" s="1"/>
  <c r="S42" i="3"/>
  <c r="Q36" i="4" s="1"/>
  <c r="P42" i="3"/>
  <c r="N36" i="4" s="1"/>
  <c r="J42" i="3"/>
  <c r="H36" i="4" s="1"/>
  <c r="E32" i="4"/>
  <c r="B33" i="4"/>
  <c r="B42" i="10" s="1"/>
  <c r="V39" i="3"/>
  <c r="W39" i="3" s="1"/>
  <c r="C41" i="3"/>
  <c r="H32" i="7"/>
  <c r="Q34" i="7"/>
  <c r="D35" i="7"/>
  <c r="K36" i="7"/>
  <c r="F34" i="7"/>
  <c r="I36" i="7"/>
  <c r="A36" i="7"/>
  <c r="L37" i="7" s="1"/>
  <c r="G33" i="7"/>
  <c r="E33" i="7"/>
  <c r="A42" i="3"/>
  <c r="A35" i="4"/>
  <c r="K43" i="3" l="1"/>
  <c r="G41" i="3"/>
  <c r="E41" i="3" s="1"/>
  <c r="E33" i="4"/>
  <c r="H39" i="3"/>
  <c r="U39" i="3" s="1"/>
  <c r="AD3" i="3"/>
  <c r="O34" i="4"/>
  <c r="O43" i="3"/>
  <c r="M37" i="4" s="1"/>
  <c r="N43" i="3"/>
  <c r="L37" i="4" s="1"/>
  <c r="M43" i="3"/>
  <c r="K37" i="4" s="1"/>
  <c r="D40" i="3"/>
  <c r="C34" i="4" s="1"/>
  <c r="V40" i="3"/>
  <c r="W40" i="3" s="1"/>
  <c r="R43" i="3"/>
  <c r="P37" i="4" s="1"/>
  <c r="B34" i="4"/>
  <c r="B43" i="10" s="1"/>
  <c r="X40" i="3"/>
  <c r="Y40" i="3" s="1"/>
  <c r="T43" i="3"/>
  <c r="R37" i="4" s="1"/>
  <c r="I37" i="4"/>
  <c r="U38" i="3"/>
  <c r="D32" i="4"/>
  <c r="S43" i="3"/>
  <c r="Q37" i="4" s="1"/>
  <c r="P43" i="3"/>
  <c r="N37" i="4" s="1"/>
  <c r="J43" i="3"/>
  <c r="H37" i="4" s="1"/>
  <c r="Q43" i="3"/>
  <c r="O37" i="4" s="1"/>
  <c r="J37" i="4"/>
  <c r="I43" i="3"/>
  <c r="G37" i="4" s="1"/>
  <c r="D41" i="3"/>
  <c r="C42" i="3"/>
  <c r="H33" i="7"/>
  <c r="Q35" i="7"/>
  <c r="E34" i="7"/>
  <c r="G34" i="7"/>
  <c r="D36" i="7"/>
  <c r="I37" i="7"/>
  <c r="A37" i="7"/>
  <c r="L38" i="7" s="1"/>
  <c r="K37" i="7"/>
  <c r="F35" i="7"/>
  <c r="A43" i="3"/>
  <c r="A36" i="4"/>
  <c r="K44" i="3" l="1"/>
  <c r="I38" i="4" s="1"/>
  <c r="G42" i="3"/>
  <c r="H40" i="3"/>
  <c r="F40" i="3" s="1"/>
  <c r="F39" i="3"/>
  <c r="D33" i="4" s="1"/>
  <c r="F33" i="4"/>
  <c r="D42" i="10" s="1"/>
  <c r="O44" i="3"/>
  <c r="M38" i="4" s="1"/>
  <c r="N44" i="3"/>
  <c r="L38" i="4" s="1"/>
  <c r="M44" i="3"/>
  <c r="K38" i="4" s="1"/>
  <c r="Z40" i="3"/>
  <c r="R44" i="3"/>
  <c r="P38" i="4" s="1"/>
  <c r="T44" i="3"/>
  <c r="R38" i="4" s="1"/>
  <c r="C35" i="4"/>
  <c r="Q44" i="3"/>
  <c r="O38" i="4" s="1"/>
  <c r="J38" i="4"/>
  <c r="I44" i="3"/>
  <c r="G38" i="4" s="1"/>
  <c r="S44" i="3"/>
  <c r="Q38" i="4" s="1"/>
  <c r="P44" i="3"/>
  <c r="N38" i="4" s="1"/>
  <c r="J44" i="3"/>
  <c r="H38" i="4" s="1"/>
  <c r="B35" i="4"/>
  <c r="B44" i="10" s="1"/>
  <c r="V41" i="3"/>
  <c r="W41" i="3" s="1"/>
  <c r="X41" i="3"/>
  <c r="Y41" i="3" s="1"/>
  <c r="Z41" i="3" s="1"/>
  <c r="X42" i="3"/>
  <c r="Y42" i="3" s="1"/>
  <c r="C43" i="3"/>
  <c r="H34" i="7"/>
  <c r="Q36" i="7"/>
  <c r="I38" i="7"/>
  <c r="D37" i="7"/>
  <c r="A38" i="7"/>
  <c r="L39" i="7" s="1"/>
  <c r="K38" i="7"/>
  <c r="F36" i="7"/>
  <c r="E35" i="7"/>
  <c r="G35" i="7"/>
  <c r="A44" i="3"/>
  <c r="A37" i="4"/>
  <c r="K45" i="3" l="1"/>
  <c r="G43" i="3"/>
  <c r="E42" i="3"/>
  <c r="F34" i="4"/>
  <c r="D43" i="10" s="1"/>
  <c r="E35" i="4"/>
  <c r="H41" i="3"/>
  <c r="U41" i="3" s="1"/>
  <c r="T40" i="3"/>
  <c r="R34" i="4" s="1"/>
  <c r="E34" i="4"/>
  <c r="D34" i="4"/>
  <c r="O45" i="3"/>
  <c r="M39" i="4" s="1"/>
  <c r="M45" i="3"/>
  <c r="K39" i="4" s="1"/>
  <c r="N45" i="3"/>
  <c r="L39" i="4" s="1"/>
  <c r="R45" i="3"/>
  <c r="P39" i="4" s="1"/>
  <c r="I39" i="4"/>
  <c r="T45" i="3"/>
  <c r="R39" i="4" s="1"/>
  <c r="S45" i="3"/>
  <c r="Q39" i="4" s="1"/>
  <c r="P45" i="3"/>
  <c r="N39" i="4" s="1"/>
  <c r="J45" i="3"/>
  <c r="H39" i="4" s="1"/>
  <c r="Q45" i="3"/>
  <c r="O39" i="4" s="1"/>
  <c r="J39" i="4"/>
  <c r="I45" i="3"/>
  <c r="G39" i="4" s="1"/>
  <c r="V42" i="3"/>
  <c r="W42" i="3" s="1"/>
  <c r="B36" i="4"/>
  <c r="B45" i="10" s="1"/>
  <c r="D42" i="3"/>
  <c r="B37" i="4"/>
  <c r="B46" i="10" s="1"/>
  <c r="C44" i="3"/>
  <c r="H35" i="7"/>
  <c r="Q37" i="7"/>
  <c r="K39" i="7"/>
  <c r="F37" i="7"/>
  <c r="I39" i="7"/>
  <c r="D38" i="7"/>
  <c r="A39" i="7"/>
  <c r="L40" i="7" s="1"/>
  <c r="G36" i="7"/>
  <c r="E36" i="7"/>
  <c r="A45" i="3"/>
  <c r="A38" i="4"/>
  <c r="H42" i="3" l="1"/>
  <c r="F42" i="3" s="1"/>
  <c r="E43" i="3"/>
  <c r="K46" i="3"/>
  <c r="G44" i="3"/>
  <c r="E44" i="3" s="1"/>
  <c r="F41" i="3"/>
  <c r="D35" i="4" s="1"/>
  <c r="F35" i="4"/>
  <c r="D44" i="10" s="1"/>
  <c r="O46" i="3"/>
  <c r="M40" i="4" s="1"/>
  <c r="N46" i="3"/>
  <c r="L40" i="4" s="1"/>
  <c r="M46" i="3"/>
  <c r="K40" i="4" s="1"/>
  <c r="R46" i="3"/>
  <c r="P40" i="4" s="1"/>
  <c r="I40" i="4"/>
  <c r="T46" i="3"/>
  <c r="R40" i="4" s="1"/>
  <c r="C36" i="4"/>
  <c r="Q46" i="3"/>
  <c r="O40" i="4" s="1"/>
  <c r="J40" i="4"/>
  <c r="I46" i="3"/>
  <c r="G40" i="4" s="1"/>
  <c r="S46" i="3"/>
  <c r="Q40" i="4" s="1"/>
  <c r="P46" i="3"/>
  <c r="N40" i="4" s="1"/>
  <c r="J46" i="3"/>
  <c r="H40" i="4" s="1"/>
  <c r="E36" i="4"/>
  <c r="X43" i="3"/>
  <c r="Y43" i="3" s="1"/>
  <c r="Z42" i="3"/>
  <c r="D43" i="3"/>
  <c r="V43" i="3"/>
  <c r="W43" i="3" s="1"/>
  <c r="D44" i="3"/>
  <c r="C45" i="3"/>
  <c r="H36" i="7"/>
  <c r="Q38" i="7"/>
  <c r="E37" i="7"/>
  <c r="G37" i="7"/>
  <c r="A40" i="7"/>
  <c r="L41" i="7" s="1"/>
  <c r="D39" i="7"/>
  <c r="K40" i="7"/>
  <c r="F38" i="7"/>
  <c r="I40" i="7"/>
  <c r="A46" i="3"/>
  <c r="A39" i="4"/>
  <c r="F36" i="4" l="1"/>
  <c r="D45" i="10" s="1"/>
  <c r="K47" i="3"/>
  <c r="G45" i="3"/>
  <c r="E45" i="3" s="1"/>
  <c r="O47" i="3"/>
  <c r="M41" i="4" s="1"/>
  <c r="N47" i="3"/>
  <c r="L41" i="4" s="1"/>
  <c r="M47" i="3"/>
  <c r="K41" i="4" s="1"/>
  <c r="R47" i="3"/>
  <c r="P41" i="4" s="1"/>
  <c r="I41" i="4"/>
  <c r="T47" i="3"/>
  <c r="R41" i="4" s="1"/>
  <c r="U42" i="3"/>
  <c r="D36" i="4"/>
  <c r="C37" i="4"/>
  <c r="C38" i="4"/>
  <c r="S47" i="3"/>
  <c r="Q41" i="4" s="1"/>
  <c r="P47" i="3"/>
  <c r="N41" i="4" s="1"/>
  <c r="J47" i="3"/>
  <c r="H41" i="4" s="1"/>
  <c r="Q47" i="3"/>
  <c r="O41" i="4" s="1"/>
  <c r="J41" i="4"/>
  <c r="I47" i="3"/>
  <c r="G41" i="4" s="1"/>
  <c r="X44" i="3"/>
  <c r="Y44" i="3" s="1"/>
  <c r="Z44" i="3" s="1"/>
  <c r="B38" i="4"/>
  <c r="B47" i="10" s="1"/>
  <c r="V44" i="3"/>
  <c r="W44" i="3" s="1"/>
  <c r="E37" i="4"/>
  <c r="Z43" i="3"/>
  <c r="H43" i="3" s="1"/>
  <c r="F43" i="3" s="1"/>
  <c r="B39" i="4"/>
  <c r="B48" i="10" s="1"/>
  <c r="C46" i="3"/>
  <c r="H37" i="7"/>
  <c r="Q39" i="7"/>
  <c r="G38" i="7"/>
  <c r="E38" i="7"/>
  <c r="D40" i="7"/>
  <c r="A41" i="7"/>
  <c r="L42" i="7" s="1"/>
  <c r="K41" i="7"/>
  <c r="F39" i="7"/>
  <c r="I41" i="7"/>
  <c r="A47" i="3"/>
  <c r="A40" i="4"/>
  <c r="F37" i="4" l="1"/>
  <c r="D46" i="10" s="1"/>
  <c r="K48" i="3"/>
  <c r="G46" i="3"/>
  <c r="E46" i="3" s="1"/>
  <c r="E38" i="4"/>
  <c r="H44" i="3"/>
  <c r="U44" i="3" s="1"/>
  <c r="O48" i="3"/>
  <c r="M42" i="4" s="1"/>
  <c r="N48" i="3"/>
  <c r="L42" i="4" s="1"/>
  <c r="M48" i="3"/>
  <c r="K42" i="4" s="1"/>
  <c r="R48" i="3"/>
  <c r="P42" i="4" s="1"/>
  <c r="T48" i="3"/>
  <c r="R42" i="4" s="1"/>
  <c r="I42" i="4"/>
  <c r="U43" i="3"/>
  <c r="D37" i="4"/>
  <c r="Q48" i="3"/>
  <c r="O42" i="4" s="1"/>
  <c r="J42" i="4"/>
  <c r="I48" i="3"/>
  <c r="G42" i="4" s="1"/>
  <c r="S48" i="3"/>
  <c r="Q42" i="4" s="1"/>
  <c r="P48" i="3"/>
  <c r="N42" i="4" s="1"/>
  <c r="J48" i="3"/>
  <c r="H42" i="4" s="1"/>
  <c r="D45" i="3"/>
  <c r="V45" i="3"/>
  <c r="W45" i="3" s="1"/>
  <c r="H45" i="3" s="1"/>
  <c r="F45" i="3" s="1"/>
  <c r="X45" i="3"/>
  <c r="Y45" i="3" s="1"/>
  <c r="X46" i="3"/>
  <c r="Y46" i="3" s="1"/>
  <c r="C47" i="3"/>
  <c r="H38" i="7"/>
  <c r="Q40" i="7"/>
  <c r="K42" i="7"/>
  <c r="F40" i="7"/>
  <c r="I42" i="7"/>
  <c r="D41" i="7"/>
  <c r="A42" i="7"/>
  <c r="G39" i="7"/>
  <c r="E39" i="7"/>
  <c r="A48" i="3"/>
  <c r="A41" i="4"/>
  <c r="K49" i="3" l="1"/>
  <c r="G47" i="3"/>
  <c r="E47" i="3" s="1"/>
  <c r="F39" i="4"/>
  <c r="D48" i="10" s="1"/>
  <c r="F44" i="3"/>
  <c r="D38" i="4" s="1"/>
  <c r="F38" i="4"/>
  <c r="D47" i="10" s="1"/>
  <c r="M49" i="3"/>
  <c r="K43" i="4" s="1"/>
  <c r="O49" i="3"/>
  <c r="M43" i="4" s="1"/>
  <c r="N49" i="3"/>
  <c r="L43" i="4" s="1"/>
  <c r="R49" i="3"/>
  <c r="P43" i="4" s="1"/>
  <c r="T49" i="3"/>
  <c r="R43" i="4" s="1"/>
  <c r="I43" i="4"/>
  <c r="C39" i="4"/>
  <c r="S49" i="3"/>
  <c r="Q43" i="4" s="1"/>
  <c r="P49" i="3"/>
  <c r="N43" i="4" s="1"/>
  <c r="J49" i="3"/>
  <c r="H43" i="4" s="1"/>
  <c r="Q49" i="3"/>
  <c r="O43" i="4" s="1"/>
  <c r="J43" i="4"/>
  <c r="I49" i="3"/>
  <c r="G43" i="4" s="1"/>
  <c r="E39" i="4"/>
  <c r="V46" i="3"/>
  <c r="W46" i="3" s="1"/>
  <c r="D46" i="3"/>
  <c r="B40" i="4"/>
  <c r="B49" i="10" s="1"/>
  <c r="Z45" i="3"/>
  <c r="D47" i="3"/>
  <c r="C48" i="3"/>
  <c r="H39" i="7"/>
  <c r="Q41" i="7"/>
  <c r="E40" i="7"/>
  <c r="G40" i="7"/>
  <c r="A43" i="7"/>
  <c r="L44" i="7" s="1"/>
  <c r="D42" i="7"/>
  <c r="F41" i="7"/>
  <c r="I43" i="7"/>
  <c r="A49" i="3"/>
  <c r="A42" i="4"/>
  <c r="K50" i="3" l="1"/>
  <c r="G48" i="3"/>
  <c r="E48" i="3" s="1"/>
  <c r="H46" i="3"/>
  <c r="F46" i="3" s="1"/>
  <c r="M50" i="3"/>
  <c r="K44" i="4" s="1"/>
  <c r="O50" i="3"/>
  <c r="M44" i="4" s="1"/>
  <c r="N50" i="3"/>
  <c r="L44" i="4" s="1"/>
  <c r="R50" i="3"/>
  <c r="P44" i="4" s="1"/>
  <c r="T50" i="3"/>
  <c r="R44" i="4" s="1"/>
  <c r="I44" i="4"/>
  <c r="U45" i="3"/>
  <c r="D39" i="4"/>
  <c r="C41" i="4"/>
  <c r="C40" i="4"/>
  <c r="Q50" i="3"/>
  <c r="O44" i="4" s="1"/>
  <c r="J44" i="4"/>
  <c r="I50" i="3"/>
  <c r="G44" i="4" s="1"/>
  <c r="S50" i="3"/>
  <c r="Q44" i="4" s="1"/>
  <c r="P50" i="3"/>
  <c r="N44" i="4" s="1"/>
  <c r="J50" i="3"/>
  <c r="H44" i="4" s="1"/>
  <c r="Z46" i="3"/>
  <c r="E40" i="4" s="1"/>
  <c r="V47" i="3"/>
  <c r="W47" i="3" s="1"/>
  <c r="B41" i="4"/>
  <c r="B50" i="10" s="1"/>
  <c r="X47" i="3"/>
  <c r="Y47" i="3" s="1"/>
  <c r="Z47" i="3" s="1"/>
  <c r="D48" i="3"/>
  <c r="C49" i="3"/>
  <c r="H40" i="7"/>
  <c r="Q42" i="7"/>
  <c r="K44" i="7"/>
  <c r="F42" i="7"/>
  <c r="I44" i="7"/>
  <c r="A44" i="7"/>
  <c r="L45" i="7" s="1"/>
  <c r="D43" i="7"/>
  <c r="E41" i="7"/>
  <c r="G41" i="7"/>
  <c r="A50" i="3"/>
  <c r="A43" i="4"/>
  <c r="K51" i="3" l="1"/>
  <c r="G49" i="3"/>
  <c r="E49" i="3" s="1"/>
  <c r="F40" i="4"/>
  <c r="D49" i="10" s="1"/>
  <c r="E41" i="4"/>
  <c r="H47" i="3"/>
  <c r="U47" i="3" s="1"/>
  <c r="M51" i="3"/>
  <c r="K45" i="4" s="1"/>
  <c r="O51" i="3"/>
  <c r="M45" i="4" s="1"/>
  <c r="N51" i="3"/>
  <c r="L45" i="4" s="1"/>
  <c r="R51" i="3"/>
  <c r="P45" i="4" s="1"/>
  <c r="T51" i="3"/>
  <c r="R45" i="4" s="1"/>
  <c r="I45" i="4"/>
  <c r="U46" i="3"/>
  <c r="D40" i="4"/>
  <c r="C42" i="4"/>
  <c r="S51" i="3"/>
  <c r="Q45" i="4" s="1"/>
  <c r="P51" i="3"/>
  <c r="N45" i="4" s="1"/>
  <c r="J51" i="3"/>
  <c r="H45" i="4" s="1"/>
  <c r="Q51" i="3"/>
  <c r="O45" i="4" s="1"/>
  <c r="J45" i="4"/>
  <c r="I51" i="3"/>
  <c r="G45" i="4" s="1"/>
  <c r="V48" i="3"/>
  <c r="W48" i="3" s="1"/>
  <c r="B42" i="4"/>
  <c r="B51" i="10" s="1"/>
  <c r="D49" i="3"/>
  <c r="X48" i="3"/>
  <c r="Y48" i="3" s="1"/>
  <c r="Z48" i="3" s="1"/>
  <c r="C50" i="3"/>
  <c r="H41" i="7"/>
  <c r="Q43" i="7"/>
  <c r="A45" i="7"/>
  <c r="L46" i="7" s="1"/>
  <c r="D44" i="7"/>
  <c r="K45" i="7"/>
  <c r="F43" i="7"/>
  <c r="I45" i="7"/>
  <c r="G42" i="7"/>
  <c r="E42" i="7"/>
  <c r="A51" i="3"/>
  <c r="A44" i="4"/>
  <c r="Q52" i="3" l="1"/>
  <c r="K52" i="3"/>
  <c r="G50" i="3"/>
  <c r="E50" i="3" s="1"/>
  <c r="E42" i="4"/>
  <c r="H48" i="3"/>
  <c r="F47" i="3"/>
  <c r="D41" i="4" s="1"/>
  <c r="F41" i="4"/>
  <c r="D50" i="10" s="1"/>
  <c r="O52" i="3"/>
  <c r="M46" i="4" s="1"/>
  <c r="M52" i="3"/>
  <c r="K46" i="4" s="1"/>
  <c r="N52" i="3"/>
  <c r="L46" i="4" s="1"/>
  <c r="R52" i="3"/>
  <c r="P46" i="4" s="1"/>
  <c r="C43" i="4"/>
  <c r="V49" i="3"/>
  <c r="W49" i="3" s="1"/>
  <c r="J46" i="4"/>
  <c r="I52" i="3"/>
  <c r="G46" i="4" s="1"/>
  <c r="P52" i="3"/>
  <c r="N46" i="4" s="1"/>
  <c r="J52" i="3"/>
  <c r="H46" i="4" s="1"/>
  <c r="X49" i="3"/>
  <c r="Y49" i="3" s="1"/>
  <c r="Z49" i="3" s="1"/>
  <c r="B43" i="4"/>
  <c r="B52" i="10" s="1"/>
  <c r="D50" i="3"/>
  <c r="C51" i="3"/>
  <c r="H42" i="7"/>
  <c r="Q44" i="7"/>
  <c r="E43" i="7"/>
  <c r="G43" i="7"/>
  <c r="D45" i="7"/>
  <c r="A46" i="7"/>
  <c r="L47" i="7" s="1"/>
  <c r="K46" i="7"/>
  <c r="F44" i="7"/>
  <c r="I46" i="7"/>
  <c r="A52" i="3"/>
  <c r="A45" i="4"/>
  <c r="K53" i="3" l="1"/>
  <c r="G51" i="3"/>
  <c r="E51" i="3" s="1"/>
  <c r="E43" i="4"/>
  <c r="H49" i="3"/>
  <c r="U49" i="3" s="1"/>
  <c r="F48" i="3"/>
  <c r="D42" i="4" s="1"/>
  <c r="F42" i="4"/>
  <c r="D51" i="10" s="1"/>
  <c r="U48" i="3"/>
  <c r="I46" i="4"/>
  <c r="O53" i="3"/>
  <c r="M47" i="4" s="1"/>
  <c r="M53" i="3"/>
  <c r="K47" i="4" s="1"/>
  <c r="N53" i="3"/>
  <c r="L47" i="4" s="1"/>
  <c r="R53" i="3"/>
  <c r="P47" i="4" s="1"/>
  <c r="I47" i="4"/>
  <c r="T53" i="3"/>
  <c r="R47" i="4" s="1"/>
  <c r="C44" i="4"/>
  <c r="S53" i="3"/>
  <c r="Q47" i="4" s="1"/>
  <c r="P53" i="3"/>
  <c r="N47" i="4" s="1"/>
  <c r="J53" i="3"/>
  <c r="H47" i="4" s="1"/>
  <c r="Q53" i="3"/>
  <c r="O47" i="4" s="1"/>
  <c r="J47" i="4"/>
  <c r="I53" i="3"/>
  <c r="G47" i="4" s="1"/>
  <c r="X50" i="3"/>
  <c r="Y50" i="3" s="1"/>
  <c r="Z50" i="3" s="1"/>
  <c r="B44" i="4"/>
  <c r="B53" i="10" s="1"/>
  <c r="X51" i="3"/>
  <c r="Y51" i="3" s="1"/>
  <c r="V50" i="3"/>
  <c r="W50" i="3" s="1"/>
  <c r="C52" i="3"/>
  <c r="Q45" i="7"/>
  <c r="I47" i="7"/>
  <c r="D46" i="7"/>
  <c r="A47" i="7"/>
  <c r="L48" i="7" s="1"/>
  <c r="K47" i="7"/>
  <c r="F45" i="7"/>
  <c r="G44" i="7"/>
  <c r="E44" i="7"/>
  <c r="A53" i="3"/>
  <c r="A46" i="4"/>
  <c r="K54" i="3" l="1"/>
  <c r="G52" i="3"/>
  <c r="E52" i="3" s="1"/>
  <c r="E44" i="4"/>
  <c r="H50" i="3"/>
  <c r="U50" i="3" s="1"/>
  <c r="F49" i="3"/>
  <c r="D43" i="4" s="1"/>
  <c r="F43" i="4"/>
  <c r="D52" i="10" s="1"/>
  <c r="O54" i="3"/>
  <c r="M48" i="4" s="1"/>
  <c r="N54" i="3"/>
  <c r="L48" i="4" s="1"/>
  <c r="M54" i="3"/>
  <c r="K48" i="4" s="1"/>
  <c r="R54" i="3"/>
  <c r="P48" i="4" s="1"/>
  <c r="I48" i="4"/>
  <c r="T54" i="3"/>
  <c r="R48" i="4" s="1"/>
  <c r="Q54" i="3"/>
  <c r="O48" i="4" s="1"/>
  <c r="J48" i="4"/>
  <c r="I54" i="3"/>
  <c r="G48" i="4" s="1"/>
  <c r="S54" i="3"/>
  <c r="Q48" i="4" s="1"/>
  <c r="P54" i="3"/>
  <c r="N48" i="4" s="1"/>
  <c r="J54" i="3"/>
  <c r="H48" i="4" s="1"/>
  <c r="V51" i="3"/>
  <c r="W51" i="3" s="1"/>
  <c r="B45" i="4"/>
  <c r="B54" i="10" s="1"/>
  <c r="D51" i="3"/>
  <c r="X52" i="3"/>
  <c r="Y52" i="3" s="1"/>
  <c r="C53" i="3"/>
  <c r="H44" i="7"/>
  <c r="Q46" i="7"/>
  <c r="E45" i="7"/>
  <c r="G45" i="7"/>
  <c r="I48" i="7"/>
  <c r="D47" i="7"/>
  <c r="K48" i="7"/>
  <c r="F46" i="7"/>
  <c r="A48" i="7"/>
  <c r="L49" i="7" s="1"/>
  <c r="A54" i="3"/>
  <c r="A47" i="4"/>
  <c r="K55" i="3" l="1"/>
  <c r="G53" i="3"/>
  <c r="E53" i="3" s="1"/>
  <c r="F50" i="3"/>
  <c r="D44" i="4" s="1"/>
  <c r="F44" i="4"/>
  <c r="D53" i="10" s="1"/>
  <c r="AD4" i="3"/>
  <c r="O46" i="4"/>
  <c r="O55" i="3"/>
  <c r="M49" i="4" s="1"/>
  <c r="N55" i="3"/>
  <c r="L49" i="4" s="1"/>
  <c r="M55" i="3"/>
  <c r="K49" i="4" s="1"/>
  <c r="R55" i="3"/>
  <c r="P49" i="4" s="1"/>
  <c r="I49" i="4"/>
  <c r="T55" i="3"/>
  <c r="R49" i="4" s="1"/>
  <c r="C45" i="4"/>
  <c r="S55" i="3"/>
  <c r="Q49" i="4" s="1"/>
  <c r="P55" i="3"/>
  <c r="N49" i="4" s="1"/>
  <c r="J55" i="3"/>
  <c r="H49" i="4" s="1"/>
  <c r="Q55" i="3"/>
  <c r="O49" i="4" s="1"/>
  <c r="J49" i="4"/>
  <c r="I55" i="3"/>
  <c r="G49" i="4" s="1"/>
  <c r="E45" i="4"/>
  <c r="D52" i="3"/>
  <c r="V52" i="3"/>
  <c r="W52" i="3" s="1"/>
  <c r="B46" i="4"/>
  <c r="B55" i="10" s="1"/>
  <c r="D53" i="3"/>
  <c r="Z51" i="3"/>
  <c r="H51" i="3" s="1"/>
  <c r="C54" i="3"/>
  <c r="H45" i="7"/>
  <c r="Q47" i="7"/>
  <c r="I49" i="7"/>
  <c r="A49" i="7"/>
  <c r="L50" i="7" s="1"/>
  <c r="D48" i="7"/>
  <c r="K49" i="7"/>
  <c r="F47" i="7"/>
  <c r="G46" i="7"/>
  <c r="E46" i="7"/>
  <c r="A55" i="3"/>
  <c r="A48" i="4"/>
  <c r="K56" i="3" l="1"/>
  <c r="G54" i="3"/>
  <c r="E54" i="3" s="1"/>
  <c r="F51" i="3"/>
  <c r="D45" i="4" s="1"/>
  <c r="F45" i="4"/>
  <c r="D54" i="10" s="1"/>
  <c r="O56" i="3"/>
  <c r="M50" i="4" s="1"/>
  <c r="N56" i="3"/>
  <c r="L50" i="4" s="1"/>
  <c r="M56" i="3"/>
  <c r="K50" i="4" s="1"/>
  <c r="R56" i="3"/>
  <c r="P50" i="4" s="1"/>
  <c r="T56" i="3"/>
  <c r="R50" i="4" s="1"/>
  <c r="I50" i="4"/>
  <c r="U51" i="3"/>
  <c r="C47" i="4"/>
  <c r="C46" i="4"/>
  <c r="Q56" i="3"/>
  <c r="O50" i="4" s="1"/>
  <c r="J50" i="4"/>
  <c r="I56" i="3"/>
  <c r="G50" i="4" s="1"/>
  <c r="S56" i="3"/>
  <c r="Q50" i="4" s="1"/>
  <c r="P56" i="3"/>
  <c r="N50" i="4" s="1"/>
  <c r="J56" i="3"/>
  <c r="H50" i="4" s="1"/>
  <c r="Z52" i="3"/>
  <c r="E46" i="4" s="1"/>
  <c r="B47" i="4"/>
  <c r="B56" i="10" s="1"/>
  <c r="V53" i="3"/>
  <c r="W53" i="3" s="1"/>
  <c r="X53" i="3"/>
  <c r="Y53" i="3" s="1"/>
  <c r="Z53" i="3" s="1"/>
  <c r="X54" i="3"/>
  <c r="Y54" i="3" s="1"/>
  <c r="C55" i="3"/>
  <c r="H46" i="7"/>
  <c r="Q48" i="7"/>
  <c r="G47" i="7"/>
  <c r="E47" i="7"/>
  <c r="D49" i="7"/>
  <c r="A50" i="7"/>
  <c r="L51" i="7" s="1"/>
  <c r="K50" i="7"/>
  <c r="F48" i="7"/>
  <c r="I50" i="7"/>
  <c r="A56" i="3"/>
  <c r="A49" i="4"/>
  <c r="K57" i="3" l="1"/>
  <c r="G55" i="3"/>
  <c r="E55" i="3" s="1"/>
  <c r="E47" i="4"/>
  <c r="H53" i="3"/>
  <c r="U53" i="3" s="1"/>
  <c r="H52" i="3"/>
  <c r="T52" i="3"/>
  <c r="R46" i="4" s="1"/>
  <c r="M57" i="3"/>
  <c r="K51" i="4" s="1"/>
  <c r="O57" i="3"/>
  <c r="M51" i="4" s="1"/>
  <c r="N57" i="3"/>
  <c r="L51" i="4" s="1"/>
  <c r="R57" i="3"/>
  <c r="P51" i="4" s="1"/>
  <c r="T57" i="3"/>
  <c r="R51" i="4" s="1"/>
  <c r="I51" i="4"/>
  <c r="S57" i="3"/>
  <c r="Q51" i="4" s="1"/>
  <c r="P57" i="3"/>
  <c r="N51" i="4" s="1"/>
  <c r="J57" i="3"/>
  <c r="H51" i="4" s="1"/>
  <c r="Q57" i="3"/>
  <c r="O51" i="4" s="1"/>
  <c r="J51" i="4"/>
  <c r="I57" i="3"/>
  <c r="G51" i="4" s="1"/>
  <c r="D54" i="3"/>
  <c r="V54" i="3"/>
  <c r="W54" i="3" s="1"/>
  <c r="B48" i="4"/>
  <c r="B57" i="10" s="1"/>
  <c r="D55" i="3"/>
  <c r="C56" i="3"/>
  <c r="H47" i="7"/>
  <c r="Q49" i="7"/>
  <c r="D50" i="7"/>
  <c r="A51" i="7"/>
  <c r="L52" i="7" s="1"/>
  <c r="K51" i="7"/>
  <c r="F49" i="7"/>
  <c r="I51" i="7"/>
  <c r="G48" i="7"/>
  <c r="E48" i="7"/>
  <c r="A57" i="3"/>
  <c r="A50" i="4"/>
  <c r="H54" i="3" l="1"/>
  <c r="F54" i="3" s="1"/>
  <c r="K58" i="3"/>
  <c r="G56" i="3"/>
  <c r="E56" i="3" s="1"/>
  <c r="F53" i="3"/>
  <c r="D47" i="4" s="1"/>
  <c r="F47" i="4"/>
  <c r="D56" i="10" s="1"/>
  <c r="F52" i="3"/>
  <c r="D46" i="4" s="1"/>
  <c r="F46" i="4"/>
  <c r="D55" i="10" s="1"/>
  <c r="M58" i="3"/>
  <c r="K52" i="4" s="1"/>
  <c r="O58" i="3"/>
  <c r="M52" i="4" s="1"/>
  <c r="N58" i="3"/>
  <c r="L52" i="4" s="1"/>
  <c r="R58" i="3"/>
  <c r="P52" i="4" s="1"/>
  <c r="T58" i="3"/>
  <c r="R52" i="4" s="1"/>
  <c r="I52" i="4"/>
  <c r="C48" i="4"/>
  <c r="C49" i="4"/>
  <c r="E48" i="4"/>
  <c r="Q58" i="3"/>
  <c r="O52" i="4" s="1"/>
  <c r="J52" i="4"/>
  <c r="I58" i="3"/>
  <c r="G52" i="4" s="1"/>
  <c r="S58" i="3"/>
  <c r="Q52" i="4" s="1"/>
  <c r="P58" i="3"/>
  <c r="N52" i="4" s="1"/>
  <c r="J58" i="3"/>
  <c r="H52" i="4" s="1"/>
  <c r="Z54" i="3"/>
  <c r="B49" i="4"/>
  <c r="B58" i="10" s="1"/>
  <c r="V55" i="3"/>
  <c r="W55" i="3" s="1"/>
  <c r="V56" i="3"/>
  <c r="W56" i="3" s="1"/>
  <c r="X55" i="3"/>
  <c r="Y55" i="3" s="1"/>
  <c r="Z55" i="3" s="1"/>
  <c r="C57" i="3"/>
  <c r="H48" i="7"/>
  <c r="Q50" i="7"/>
  <c r="E49" i="7"/>
  <c r="G49" i="7"/>
  <c r="I52" i="7"/>
  <c r="D51" i="7"/>
  <c r="A52" i="7"/>
  <c r="L53" i="7" s="1"/>
  <c r="K52" i="7"/>
  <c r="F50" i="7"/>
  <c r="A58" i="3"/>
  <c r="A51" i="4"/>
  <c r="F48" i="4" l="1"/>
  <c r="D57" i="10" s="1"/>
  <c r="K59" i="3"/>
  <c r="G57" i="3"/>
  <c r="E57" i="3" s="1"/>
  <c r="E49" i="4"/>
  <c r="H55" i="3"/>
  <c r="U55" i="3" s="1"/>
  <c r="M59" i="3"/>
  <c r="K53" i="4" s="1"/>
  <c r="O59" i="3"/>
  <c r="M53" i="4" s="1"/>
  <c r="N59" i="3"/>
  <c r="L53" i="4" s="1"/>
  <c r="R59" i="3"/>
  <c r="P53" i="4" s="1"/>
  <c r="T59" i="3"/>
  <c r="R53" i="4" s="1"/>
  <c r="I53" i="4"/>
  <c r="U54" i="3"/>
  <c r="D48" i="4"/>
  <c r="S59" i="3"/>
  <c r="Q53" i="4" s="1"/>
  <c r="P59" i="3"/>
  <c r="N53" i="4" s="1"/>
  <c r="J59" i="3"/>
  <c r="H53" i="4" s="1"/>
  <c r="Q59" i="3"/>
  <c r="O53" i="4" s="1"/>
  <c r="J53" i="4"/>
  <c r="I59" i="3"/>
  <c r="G53" i="4" s="1"/>
  <c r="X56" i="3"/>
  <c r="Y56" i="3" s="1"/>
  <c r="B50" i="4"/>
  <c r="B59" i="10" s="1"/>
  <c r="D56" i="3"/>
  <c r="H56" i="3" s="1"/>
  <c r="D57" i="3"/>
  <c r="C58" i="3"/>
  <c r="H49" i="7"/>
  <c r="Q51" i="7"/>
  <c r="D52" i="7"/>
  <c r="A53" i="7"/>
  <c r="L54" i="7" s="1"/>
  <c r="I53" i="7"/>
  <c r="K53" i="7"/>
  <c r="F51" i="7"/>
  <c r="E50" i="7"/>
  <c r="G50" i="7"/>
  <c r="A59" i="3"/>
  <c r="A52" i="4"/>
  <c r="K60" i="3" l="1"/>
  <c r="G58" i="3"/>
  <c r="E58" i="3" s="1"/>
  <c r="F56" i="3"/>
  <c r="F50" i="4"/>
  <c r="D59" i="10" s="1"/>
  <c r="F55" i="3"/>
  <c r="D49" i="4" s="1"/>
  <c r="F49" i="4"/>
  <c r="D58" i="10" s="1"/>
  <c r="O60" i="3"/>
  <c r="M54" i="4" s="1"/>
  <c r="M60" i="3"/>
  <c r="K54" i="4" s="1"/>
  <c r="N60" i="3"/>
  <c r="L54" i="4" s="1"/>
  <c r="R60" i="3"/>
  <c r="P54" i="4" s="1"/>
  <c r="I54" i="4"/>
  <c r="T60" i="3"/>
  <c r="R54" i="4" s="1"/>
  <c r="C51" i="4"/>
  <c r="C50" i="4"/>
  <c r="Q60" i="3"/>
  <c r="O54" i="4" s="1"/>
  <c r="J54" i="4"/>
  <c r="I60" i="3"/>
  <c r="G54" i="4" s="1"/>
  <c r="S60" i="3"/>
  <c r="Q54" i="4" s="1"/>
  <c r="P60" i="3"/>
  <c r="N54" i="4" s="1"/>
  <c r="J60" i="3"/>
  <c r="H54" i="4" s="1"/>
  <c r="V57" i="3"/>
  <c r="W57" i="3" s="1"/>
  <c r="H57" i="3" s="1"/>
  <c r="F57" i="3" s="1"/>
  <c r="B51" i="4"/>
  <c r="B60" i="10" s="1"/>
  <c r="Z56" i="3"/>
  <c r="E50" i="4" s="1"/>
  <c r="D58" i="3"/>
  <c r="X57" i="3"/>
  <c r="Y57" i="3" s="1"/>
  <c r="Z57" i="3" s="1"/>
  <c r="C59" i="3"/>
  <c r="H50" i="7"/>
  <c r="Q52" i="7"/>
  <c r="I54" i="7"/>
  <c r="D53" i="7"/>
  <c r="A54" i="7"/>
  <c r="K54" i="7"/>
  <c r="F52" i="7"/>
  <c r="G51" i="7"/>
  <c r="E51" i="7"/>
  <c r="A60" i="3"/>
  <c r="A53" i="4"/>
  <c r="K61" i="3" l="1"/>
  <c r="G59" i="3"/>
  <c r="E59" i="3" s="1"/>
  <c r="F51" i="4"/>
  <c r="D60" i="10" s="1"/>
  <c r="O61" i="3"/>
  <c r="M55" i="4" s="1"/>
  <c r="M61" i="3"/>
  <c r="K55" i="4" s="1"/>
  <c r="N61" i="3"/>
  <c r="L55" i="4" s="1"/>
  <c r="R61" i="3"/>
  <c r="P55" i="4" s="1"/>
  <c r="I55" i="4"/>
  <c r="T61" i="3"/>
  <c r="R55" i="4" s="1"/>
  <c r="U56" i="3"/>
  <c r="D50" i="4"/>
  <c r="C52" i="4"/>
  <c r="E51" i="4"/>
  <c r="S61" i="3"/>
  <c r="Q55" i="4" s="1"/>
  <c r="P61" i="3"/>
  <c r="N55" i="4" s="1"/>
  <c r="J61" i="3"/>
  <c r="H55" i="4" s="1"/>
  <c r="Q61" i="3"/>
  <c r="O55" i="4" s="1"/>
  <c r="J55" i="4"/>
  <c r="I61" i="3"/>
  <c r="G55" i="4" s="1"/>
  <c r="B52" i="4"/>
  <c r="B61" i="10" s="1"/>
  <c r="X58" i="3"/>
  <c r="Y58" i="3" s="1"/>
  <c r="Z58" i="3" s="1"/>
  <c r="V58" i="3"/>
  <c r="W58" i="3" s="1"/>
  <c r="B53" i="4"/>
  <c r="B62" i="10" s="1"/>
  <c r="C60" i="3"/>
  <c r="H51" i="7"/>
  <c r="Q53" i="7"/>
  <c r="I55" i="7"/>
  <c r="D54" i="7"/>
  <c r="A55" i="7"/>
  <c r="L56" i="7" s="1"/>
  <c r="F53" i="7"/>
  <c r="E52" i="7"/>
  <c r="G52" i="7"/>
  <c r="A61" i="3"/>
  <c r="A54" i="4"/>
  <c r="K62" i="3" l="1"/>
  <c r="G60" i="3"/>
  <c r="E60" i="3" s="1"/>
  <c r="E52" i="4"/>
  <c r="H58" i="3"/>
  <c r="U58" i="3" s="1"/>
  <c r="O62" i="3"/>
  <c r="M56" i="4" s="1"/>
  <c r="N62" i="3"/>
  <c r="L56" i="4" s="1"/>
  <c r="M62" i="3"/>
  <c r="K56" i="4" s="1"/>
  <c r="R62" i="3"/>
  <c r="P56" i="4" s="1"/>
  <c r="I56" i="4"/>
  <c r="T62" i="3"/>
  <c r="R56" i="4" s="1"/>
  <c r="U57" i="3"/>
  <c r="D51" i="4"/>
  <c r="V59" i="3"/>
  <c r="W59" i="3" s="1"/>
  <c r="Q62" i="3"/>
  <c r="O56" i="4" s="1"/>
  <c r="J56" i="4"/>
  <c r="I62" i="3"/>
  <c r="G56" i="4" s="1"/>
  <c r="S62" i="3"/>
  <c r="Q56" i="4" s="1"/>
  <c r="P62" i="3"/>
  <c r="N56" i="4" s="1"/>
  <c r="J62" i="3"/>
  <c r="H56" i="4" s="1"/>
  <c r="D59" i="3"/>
  <c r="X59" i="3"/>
  <c r="Y59" i="3" s="1"/>
  <c r="D60" i="3"/>
  <c r="C61" i="3"/>
  <c r="H52" i="7"/>
  <c r="Q54" i="7"/>
  <c r="I56" i="7"/>
  <c r="A56" i="7"/>
  <c r="L57" i="7" s="1"/>
  <c r="D55" i="7"/>
  <c r="K56" i="7"/>
  <c r="F54" i="7"/>
  <c r="G53" i="7"/>
  <c r="E53" i="7"/>
  <c r="A62" i="3"/>
  <c r="A55" i="4"/>
  <c r="K63" i="3" l="1"/>
  <c r="G61" i="3"/>
  <c r="E61" i="3" s="1"/>
  <c r="H59" i="3"/>
  <c r="F59" i="3" s="1"/>
  <c r="F58" i="3"/>
  <c r="D52" i="4" s="1"/>
  <c r="F52" i="4"/>
  <c r="D61" i="10" s="1"/>
  <c r="O63" i="3"/>
  <c r="M57" i="4" s="1"/>
  <c r="N63" i="3"/>
  <c r="L57" i="4" s="1"/>
  <c r="M63" i="3"/>
  <c r="K57" i="4" s="1"/>
  <c r="R63" i="3"/>
  <c r="P57" i="4" s="1"/>
  <c r="I57" i="4"/>
  <c r="T63" i="3"/>
  <c r="R57" i="4" s="1"/>
  <c r="C53" i="4"/>
  <c r="C54" i="4"/>
  <c r="E53" i="4"/>
  <c r="S63" i="3"/>
  <c r="Q57" i="4" s="1"/>
  <c r="P63" i="3"/>
  <c r="N57" i="4" s="1"/>
  <c r="J63" i="3"/>
  <c r="H57" i="4" s="1"/>
  <c r="Q63" i="3"/>
  <c r="O57" i="4" s="1"/>
  <c r="J57" i="4"/>
  <c r="I63" i="3"/>
  <c r="G57" i="4" s="1"/>
  <c r="Z59" i="3"/>
  <c r="X60" i="3"/>
  <c r="Y60" i="3" s="1"/>
  <c r="Z60" i="3" s="1"/>
  <c r="V60" i="3"/>
  <c r="W60" i="3" s="1"/>
  <c r="X61" i="3"/>
  <c r="Y61" i="3" s="1"/>
  <c r="B54" i="4"/>
  <c r="B63" i="10" s="1"/>
  <c r="C62" i="3"/>
  <c r="H53" i="7"/>
  <c r="Q55" i="7"/>
  <c r="D56" i="7"/>
  <c r="I57" i="7"/>
  <c r="A57" i="7"/>
  <c r="L58" i="7" s="1"/>
  <c r="K57" i="7"/>
  <c r="F55" i="7"/>
  <c r="G54" i="7"/>
  <c r="E54" i="7"/>
  <c r="A63" i="3"/>
  <c r="A56" i="4"/>
  <c r="Q64" i="3" l="1"/>
  <c r="K64" i="3"/>
  <c r="G62" i="3"/>
  <c r="E62" i="3" s="1"/>
  <c r="F53" i="4"/>
  <c r="D62" i="10" s="1"/>
  <c r="E54" i="4"/>
  <c r="H60" i="3"/>
  <c r="U60" i="3" s="1"/>
  <c r="O64" i="3"/>
  <c r="M58" i="4" s="1"/>
  <c r="N64" i="3"/>
  <c r="L58" i="4" s="1"/>
  <c r="M64" i="3"/>
  <c r="K58" i="4" s="1"/>
  <c r="R64" i="3"/>
  <c r="P58" i="4" s="1"/>
  <c r="U59" i="3"/>
  <c r="D53" i="4"/>
  <c r="J58" i="4"/>
  <c r="I64" i="3"/>
  <c r="G58" i="4" s="1"/>
  <c r="P64" i="3"/>
  <c r="N58" i="4" s="1"/>
  <c r="J64" i="3"/>
  <c r="H58" i="4" s="1"/>
  <c r="D61" i="3"/>
  <c r="V61" i="3"/>
  <c r="W61" i="3" s="1"/>
  <c r="B55" i="4"/>
  <c r="B64" i="10" s="1"/>
  <c r="V62" i="3"/>
  <c r="W62" i="3" s="1"/>
  <c r="C63" i="3"/>
  <c r="H54" i="7"/>
  <c r="Q56" i="7"/>
  <c r="G55" i="7"/>
  <c r="E55" i="7"/>
  <c r="A58" i="7"/>
  <c r="I58" i="7"/>
  <c r="D57" i="7"/>
  <c r="K58" i="7"/>
  <c r="F56" i="7"/>
  <c r="A64" i="3"/>
  <c r="A57" i="4"/>
  <c r="K65" i="3" l="1"/>
  <c r="G63" i="3"/>
  <c r="E63" i="3" s="1"/>
  <c r="F60" i="3"/>
  <c r="D54" i="4" s="1"/>
  <c r="F54" i="4"/>
  <c r="D63" i="10" s="1"/>
  <c r="H61" i="3"/>
  <c r="I58" i="4"/>
  <c r="M65" i="3"/>
  <c r="K59" i="4" s="1"/>
  <c r="O65" i="3"/>
  <c r="M59" i="4" s="1"/>
  <c r="N65" i="3"/>
  <c r="L59" i="4" s="1"/>
  <c r="R65" i="3"/>
  <c r="P59" i="4" s="1"/>
  <c r="T65" i="3"/>
  <c r="R59" i="4" s="1"/>
  <c r="I59" i="4"/>
  <c r="C55" i="4"/>
  <c r="E55" i="4"/>
  <c r="S65" i="3"/>
  <c r="Q59" i="4" s="1"/>
  <c r="P65" i="3"/>
  <c r="N59" i="4" s="1"/>
  <c r="J65" i="3"/>
  <c r="H59" i="4" s="1"/>
  <c r="Q65" i="3"/>
  <c r="O59" i="4" s="1"/>
  <c r="J59" i="4"/>
  <c r="I65" i="3"/>
  <c r="G59" i="4" s="1"/>
  <c r="X62" i="3"/>
  <c r="Y62" i="3" s="1"/>
  <c r="Z61" i="3"/>
  <c r="D62" i="3"/>
  <c r="H62" i="3" s="1"/>
  <c r="B56" i="4"/>
  <c r="B65" i="10" s="1"/>
  <c r="D63" i="3"/>
  <c r="C64" i="3"/>
  <c r="Q57" i="7"/>
  <c r="I59" i="7"/>
  <c r="A59" i="7"/>
  <c r="L60" i="7" s="1"/>
  <c r="D58" i="7"/>
  <c r="F57" i="7"/>
  <c r="G56" i="7"/>
  <c r="E56" i="7"/>
  <c r="A65" i="3"/>
  <c r="A58" i="4"/>
  <c r="K66" i="3" l="1"/>
  <c r="I60" i="4" s="1"/>
  <c r="G64" i="3"/>
  <c r="E64" i="3" s="1"/>
  <c r="F62" i="3"/>
  <c r="F56" i="4"/>
  <c r="D65" i="10" s="1"/>
  <c r="F61" i="3"/>
  <c r="D55" i="4" s="1"/>
  <c r="F55" i="4"/>
  <c r="D64" i="10" s="1"/>
  <c r="M66" i="3"/>
  <c r="K60" i="4" s="1"/>
  <c r="O66" i="3"/>
  <c r="M60" i="4" s="1"/>
  <c r="N66" i="3"/>
  <c r="L60" i="4" s="1"/>
  <c r="R66" i="3"/>
  <c r="P60" i="4" s="1"/>
  <c r="T66" i="3"/>
  <c r="R60" i="4" s="1"/>
  <c r="U61" i="3"/>
  <c r="C56" i="4"/>
  <c r="C57" i="4"/>
  <c r="Q66" i="3"/>
  <c r="O60" i="4" s="1"/>
  <c r="J60" i="4"/>
  <c r="I66" i="3"/>
  <c r="G60" i="4" s="1"/>
  <c r="S66" i="3"/>
  <c r="Q60" i="4" s="1"/>
  <c r="P66" i="3"/>
  <c r="N60" i="4" s="1"/>
  <c r="J66" i="3"/>
  <c r="H60" i="4" s="1"/>
  <c r="V63" i="3"/>
  <c r="W63" i="3" s="1"/>
  <c r="Z62" i="3"/>
  <c r="E56" i="4" s="1"/>
  <c r="X63" i="3"/>
  <c r="Y63" i="3" s="1"/>
  <c r="Z63" i="3" s="1"/>
  <c r="B57" i="4"/>
  <c r="B66" i="10" s="1"/>
  <c r="X64" i="3"/>
  <c r="Y64" i="3" s="1"/>
  <c r="C65" i="3"/>
  <c r="H56" i="7"/>
  <c r="Q58" i="7"/>
  <c r="G57" i="7"/>
  <c r="E57" i="7"/>
  <c r="I60" i="7"/>
  <c r="F58" i="7"/>
  <c r="A60" i="7"/>
  <c r="L61" i="7" s="1"/>
  <c r="D59" i="7"/>
  <c r="K60" i="7"/>
  <c r="A66" i="3"/>
  <c r="A59" i="4"/>
  <c r="K67" i="3" l="1"/>
  <c r="I61" i="4" s="1"/>
  <c r="G65" i="3"/>
  <c r="E65" i="3" s="1"/>
  <c r="E57" i="4"/>
  <c r="H63" i="3"/>
  <c r="U63" i="3" s="1"/>
  <c r="AD5" i="3"/>
  <c r="O58" i="4"/>
  <c r="M67" i="3"/>
  <c r="K61" i="4" s="1"/>
  <c r="O67" i="3"/>
  <c r="M61" i="4" s="1"/>
  <c r="N67" i="3"/>
  <c r="L61" i="4" s="1"/>
  <c r="R67" i="3"/>
  <c r="P61" i="4" s="1"/>
  <c r="T67" i="3"/>
  <c r="R61" i="4" s="1"/>
  <c r="U62" i="3"/>
  <c r="D56" i="4"/>
  <c r="S67" i="3"/>
  <c r="Q61" i="4" s="1"/>
  <c r="P67" i="3"/>
  <c r="N61" i="4" s="1"/>
  <c r="J67" i="3"/>
  <c r="H61" i="4" s="1"/>
  <c r="Q67" i="3"/>
  <c r="O61" i="4" s="1"/>
  <c r="J61" i="4"/>
  <c r="I67" i="3"/>
  <c r="G61" i="4" s="1"/>
  <c r="B58" i="4"/>
  <c r="B67" i="10" s="1"/>
  <c r="V64" i="3"/>
  <c r="W64" i="3" s="1"/>
  <c r="D65" i="3"/>
  <c r="D64" i="3"/>
  <c r="C66" i="3"/>
  <c r="H57" i="7"/>
  <c r="Q59" i="7"/>
  <c r="I61" i="7"/>
  <c r="D60" i="7"/>
  <c r="A61" i="7"/>
  <c r="L62" i="7" s="1"/>
  <c r="K61" i="7"/>
  <c r="F59" i="7"/>
  <c r="G58" i="7"/>
  <c r="E58" i="7"/>
  <c r="A67" i="3"/>
  <c r="A60" i="4"/>
  <c r="K68" i="3" l="1"/>
  <c r="G66" i="3"/>
  <c r="E66" i="3" s="1"/>
  <c r="F63" i="3"/>
  <c r="D57" i="4" s="1"/>
  <c r="F57" i="4"/>
  <c r="D66" i="10" s="1"/>
  <c r="O68" i="3"/>
  <c r="M62" i="4" s="1"/>
  <c r="M68" i="3"/>
  <c r="K62" i="4" s="1"/>
  <c r="N68" i="3"/>
  <c r="L62" i="4" s="1"/>
  <c r="R68" i="3"/>
  <c r="P62" i="4" s="1"/>
  <c r="I62" i="4"/>
  <c r="C58" i="4"/>
  <c r="C59" i="4"/>
  <c r="Q68" i="3"/>
  <c r="O62" i="4" s="1"/>
  <c r="J62" i="4"/>
  <c r="I68" i="3"/>
  <c r="G62" i="4" s="1"/>
  <c r="P68" i="3"/>
  <c r="N62" i="4" s="1"/>
  <c r="J68" i="3"/>
  <c r="H62" i="4" s="1"/>
  <c r="X65" i="3"/>
  <c r="Y65" i="3" s="1"/>
  <c r="Z65" i="3" s="1"/>
  <c r="B59" i="4"/>
  <c r="B68" i="10" s="1"/>
  <c r="V65" i="3"/>
  <c r="W65" i="3" s="1"/>
  <c r="H65" i="3" s="1"/>
  <c r="F65" i="3" s="1"/>
  <c r="D66" i="3"/>
  <c r="Z64" i="3"/>
  <c r="E58" i="4" s="1"/>
  <c r="C67" i="3"/>
  <c r="H58" i="7"/>
  <c r="Q60" i="7"/>
  <c r="G59" i="7"/>
  <c r="E59" i="7"/>
  <c r="K62" i="7"/>
  <c r="F60" i="7"/>
  <c r="A62" i="7"/>
  <c r="L63" i="7" s="1"/>
  <c r="D61" i="7"/>
  <c r="I62" i="7"/>
  <c r="A68" i="3"/>
  <c r="A61" i="4"/>
  <c r="K69" i="3" l="1"/>
  <c r="G67" i="3"/>
  <c r="E67" i="3" s="1"/>
  <c r="F59" i="4"/>
  <c r="D68" i="10" s="1"/>
  <c r="H64" i="3"/>
  <c r="T64" i="3"/>
  <c r="R58" i="4" s="1"/>
  <c r="O69" i="3"/>
  <c r="M63" i="4" s="1"/>
  <c r="M69" i="3"/>
  <c r="K63" i="4" s="1"/>
  <c r="N69" i="3"/>
  <c r="L63" i="4" s="1"/>
  <c r="R69" i="3"/>
  <c r="P63" i="4" s="1"/>
  <c r="I63" i="4"/>
  <c r="T69" i="3"/>
  <c r="R63" i="4" s="1"/>
  <c r="C60" i="4"/>
  <c r="E59" i="4"/>
  <c r="S69" i="3"/>
  <c r="Q63" i="4" s="1"/>
  <c r="P69" i="3"/>
  <c r="N63" i="4" s="1"/>
  <c r="J69" i="3"/>
  <c r="H63" i="4" s="1"/>
  <c r="Q69" i="3"/>
  <c r="O63" i="4" s="1"/>
  <c r="J63" i="4"/>
  <c r="I69" i="3"/>
  <c r="G63" i="4" s="1"/>
  <c r="V66" i="3"/>
  <c r="W66" i="3" s="1"/>
  <c r="H66" i="3" s="1"/>
  <c r="F66" i="3" s="1"/>
  <c r="X66" i="3"/>
  <c r="Y66" i="3" s="1"/>
  <c r="Z66" i="3" s="1"/>
  <c r="B60" i="4"/>
  <c r="B69" i="10" s="1"/>
  <c r="D67" i="3"/>
  <c r="C68" i="3"/>
  <c r="Q61" i="7"/>
  <c r="G60" i="7"/>
  <c r="E60" i="7"/>
  <c r="I63" i="7"/>
  <c r="D62" i="7"/>
  <c r="A63" i="7"/>
  <c r="L64" i="7" s="1"/>
  <c r="K63" i="7"/>
  <c r="F61" i="7"/>
  <c r="A69" i="3"/>
  <c r="A62" i="4"/>
  <c r="K70" i="3" l="1"/>
  <c r="G68" i="3"/>
  <c r="E68" i="3" s="1"/>
  <c r="F64" i="3"/>
  <c r="D58" i="4" s="1"/>
  <c r="F58" i="4"/>
  <c r="D67" i="10" s="1"/>
  <c r="F60" i="4"/>
  <c r="D69" i="10" s="1"/>
  <c r="O70" i="3"/>
  <c r="M64" i="4" s="1"/>
  <c r="N70" i="3"/>
  <c r="L64" i="4" s="1"/>
  <c r="M70" i="3"/>
  <c r="K64" i="4" s="1"/>
  <c r="R70" i="3"/>
  <c r="P64" i="4" s="1"/>
  <c r="I64" i="4"/>
  <c r="T70" i="3"/>
  <c r="R64" i="4" s="1"/>
  <c r="U65" i="3"/>
  <c r="D59" i="4"/>
  <c r="C61" i="4"/>
  <c r="E60" i="4"/>
  <c r="X67" i="3"/>
  <c r="Y67" i="3" s="1"/>
  <c r="Z67" i="3" s="1"/>
  <c r="Q70" i="3"/>
  <c r="O64" i="4" s="1"/>
  <c r="J64" i="4"/>
  <c r="I70" i="3"/>
  <c r="G64" i="4" s="1"/>
  <c r="S70" i="3"/>
  <c r="Q64" i="4" s="1"/>
  <c r="P70" i="3"/>
  <c r="N64" i="4" s="1"/>
  <c r="J70" i="3"/>
  <c r="H64" i="4" s="1"/>
  <c r="B61" i="4"/>
  <c r="B70" i="10" s="1"/>
  <c r="V67" i="3"/>
  <c r="W67" i="3" s="1"/>
  <c r="H67" i="3" s="1"/>
  <c r="F67" i="3" s="1"/>
  <c r="D68" i="3"/>
  <c r="C69" i="3"/>
  <c r="H60" i="7"/>
  <c r="Q62" i="7"/>
  <c r="I64" i="7"/>
  <c r="K64" i="7"/>
  <c r="D63" i="7"/>
  <c r="A64" i="7"/>
  <c r="L65" i="7" s="1"/>
  <c r="F62" i="7"/>
  <c r="G61" i="7"/>
  <c r="E61" i="7"/>
  <c r="A70" i="3"/>
  <c r="A63" i="4"/>
  <c r="K71" i="3" l="1"/>
  <c r="G69" i="3"/>
  <c r="E69" i="3" s="1"/>
  <c r="F61" i="4"/>
  <c r="D70" i="10" s="1"/>
  <c r="O71" i="3"/>
  <c r="M65" i="4" s="1"/>
  <c r="N71" i="3"/>
  <c r="L65" i="4" s="1"/>
  <c r="M71" i="3"/>
  <c r="K65" i="4" s="1"/>
  <c r="R71" i="3"/>
  <c r="P65" i="4" s="1"/>
  <c r="I65" i="4"/>
  <c r="T71" i="3"/>
  <c r="R65" i="4" s="1"/>
  <c r="U66" i="3"/>
  <c r="D60" i="4"/>
  <c r="C62" i="4"/>
  <c r="E61" i="4"/>
  <c r="S71" i="3"/>
  <c r="Q65" i="4" s="1"/>
  <c r="P71" i="3"/>
  <c r="N65" i="4" s="1"/>
  <c r="J71" i="3"/>
  <c r="H65" i="4" s="1"/>
  <c r="Q71" i="3"/>
  <c r="O65" i="4" s="1"/>
  <c r="J65" i="4"/>
  <c r="I71" i="3"/>
  <c r="G65" i="4" s="1"/>
  <c r="B62" i="4"/>
  <c r="B71" i="10" s="1"/>
  <c r="V68" i="3"/>
  <c r="W68" i="3" s="1"/>
  <c r="H68" i="3" s="1"/>
  <c r="F68" i="3" s="1"/>
  <c r="D69" i="3"/>
  <c r="X68" i="3"/>
  <c r="Y68" i="3" s="1"/>
  <c r="Z68" i="3" s="1"/>
  <c r="C70" i="3"/>
  <c r="H61" i="7"/>
  <c r="Q63" i="7"/>
  <c r="G62" i="7"/>
  <c r="E62" i="7"/>
  <c r="D64" i="7"/>
  <c r="A65" i="7"/>
  <c r="L66" i="7" s="1"/>
  <c r="K65" i="7"/>
  <c r="F63" i="7"/>
  <c r="I65" i="7"/>
  <c r="A71" i="3"/>
  <c r="A64" i="4"/>
  <c r="K72" i="3" l="1"/>
  <c r="I66" i="4" s="1"/>
  <c r="G70" i="3"/>
  <c r="E70" i="3" s="1"/>
  <c r="F62" i="4"/>
  <c r="D71" i="10" s="1"/>
  <c r="O72" i="3"/>
  <c r="M66" i="4" s="1"/>
  <c r="N72" i="3"/>
  <c r="L66" i="4" s="1"/>
  <c r="M72" i="3"/>
  <c r="K66" i="4" s="1"/>
  <c r="R72" i="3"/>
  <c r="P66" i="4" s="1"/>
  <c r="T72" i="3"/>
  <c r="R66" i="4" s="1"/>
  <c r="U67" i="3"/>
  <c r="D61" i="4"/>
  <c r="C63" i="4"/>
  <c r="B63" i="4"/>
  <c r="B72" i="10" s="1"/>
  <c r="Q72" i="3"/>
  <c r="O66" i="4" s="1"/>
  <c r="J66" i="4"/>
  <c r="I72" i="3"/>
  <c r="G66" i="4" s="1"/>
  <c r="S72" i="3"/>
  <c r="Q66" i="4" s="1"/>
  <c r="P72" i="3"/>
  <c r="N66" i="4" s="1"/>
  <c r="J72" i="3"/>
  <c r="H66" i="4" s="1"/>
  <c r="X69" i="3"/>
  <c r="Y69" i="3" s="1"/>
  <c r="Z69" i="3" s="1"/>
  <c r="V69" i="3"/>
  <c r="W69" i="3" s="1"/>
  <c r="H69" i="3" s="1"/>
  <c r="F69" i="3" s="1"/>
  <c r="D70" i="3"/>
  <c r="C71" i="3"/>
  <c r="H62" i="7"/>
  <c r="Q64" i="7"/>
  <c r="I66" i="7"/>
  <c r="K66" i="7"/>
  <c r="D65" i="7"/>
  <c r="A66" i="7"/>
  <c r="F64" i="7"/>
  <c r="G63" i="7"/>
  <c r="E63" i="7"/>
  <c r="A72" i="3"/>
  <c r="A65" i="4"/>
  <c r="K73" i="3" l="1"/>
  <c r="G71" i="3"/>
  <c r="E71" i="3" s="1"/>
  <c r="F63" i="4"/>
  <c r="D72" i="10" s="1"/>
  <c r="T68" i="3"/>
  <c r="R62" i="4" s="1"/>
  <c r="E62" i="4"/>
  <c r="M73" i="3"/>
  <c r="K67" i="4" s="1"/>
  <c r="O73" i="3"/>
  <c r="M67" i="4" s="1"/>
  <c r="N73" i="3"/>
  <c r="L67" i="4" s="1"/>
  <c r="R73" i="3"/>
  <c r="P67" i="4" s="1"/>
  <c r="T73" i="3"/>
  <c r="R67" i="4" s="1"/>
  <c r="I67" i="4"/>
  <c r="D62" i="4"/>
  <c r="C64" i="4"/>
  <c r="E63" i="4"/>
  <c r="S73" i="3"/>
  <c r="Q67" i="4" s="1"/>
  <c r="P73" i="3"/>
  <c r="N67" i="4" s="1"/>
  <c r="J73" i="3"/>
  <c r="H67" i="4" s="1"/>
  <c r="Q73" i="3"/>
  <c r="O67" i="4" s="1"/>
  <c r="J67" i="4"/>
  <c r="I73" i="3"/>
  <c r="G67" i="4" s="1"/>
  <c r="V70" i="3"/>
  <c r="W70" i="3" s="1"/>
  <c r="H70" i="3" s="1"/>
  <c r="F70" i="3" s="1"/>
  <c r="X70" i="3"/>
  <c r="Y70" i="3" s="1"/>
  <c r="Z70" i="3" s="1"/>
  <c r="D71" i="3"/>
  <c r="B64" i="4"/>
  <c r="B73" i="10" s="1"/>
  <c r="C72" i="3"/>
  <c r="H63" i="7"/>
  <c r="Q65" i="7"/>
  <c r="G64" i="7"/>
  <c r="E64" i="7"/>
  <c r="D66" i="7"/>
  <c r="A67" i="7"/>
  <c r="L68" i="7" s="1"/>
  <c r="F65" i="7"/>
  <c r="I67" i="7"/>
  <c r="A73" i="3"/>
  <c r="A66" i="4"/>
  <c r="K74" i="3" l="1"/>
  <c r="I68" i="4" s="1"/>
  <c r="G72" i="3"/>
  <c r="E72" i="3" s="1"/>
  <c r="F64" i="4"/>
  <c r="D73" i="10" s="1"/>
  <c r="M74" i="3"/>
  <c r="K68" i="4" s="1"/>
  <c r="O74" i="3"/>
  <c r="M68" i="4" s="1"/>
  <c r="N74" i="3"/>
  <c r="L68" i="4" s="1"/>
  <c r="R74" i="3"/>
  <c r="P68" i="4" s="1"/>
  <c r="T74" i="3"/>
  <c r="R68" i="4" s="1"/>
  <c r="U69" i="3"/>
  <c r="D63" i="4"/>
  <c r="C65" i="4"/>
  <c r="E64" i="4"/>
  <c r="Q74" i="3"/>
  <c r="O68" i="4" s="1"/>
  <c r="J68" i="4"/>
  <c r="I74" i="3"/>
  <c r="G68" i="4" s="1"/>
  <c r="S74" i="3"/>
  <c r="Q68" i="4" s="1"/>
  <c r="P74" i="3"/>
  <c r="N68" i="4" s="1"/>
  <c r="J74" i="3"/>
  <c r="H68" i="4" s="1"/>
  <c r="V71" i="3"/>
  <c r="W71" i="3" s="1"/>
  <c r="B65" i="4"/>
  <c r="B74" i="10" s="1"/>
  <c r="B66" i="4"/>
  <c r="B75" i="10" s="1"/>
  <c r="X71" i="3"/>
  <c r="Y71" i="3" s="1"/>
  <c r="Z71" i="3" s="1"/>
  <c r="C73" i="3"/>
  <c r="H64" i="7"/>
  <c r="Q66" i="7"/>
  <c r="I68" i="7"/>
  <c r="K68" i="7"/>
  <c r="F66" i="7"/>
  <c r="D67" i="7"/>
  <c r="A68" i="7"/>
  <c r="L69" i="7" s="1"/>
  <c r="G65" i="7"/>
  <c r="E65" i="7"/>
  <c r="A74" i="3"/>
  <c r="A67" i="4"/>
  <c r="K75" i="3" l="1"/>
  <c r="G73" i="3"/>
  <c r="E73" i="3" s="1"/>
  <c r="E65" i="4"/>
  <c r="H71" i="3"/>
  <c r="M75" i="3"/>
  <c r="K69" i="4" s="1"/>
  <c r="O75" i="3"/>
  <c r="M69" i="4" s="1"/>
  <c r="N75" i="3"/>
  <c r="L69" i="4" s="1"/>
  <c r="R75" i="3"/>
  <c r="P69" i="4" s="1"/>
  <c r="T75" i="3"/>
  <c r="R69" i="4" s="1"/>
  <c r="I69" i="4"/>
  <c r="U70" i="3"/>
  <c r="D64" i="4"/>
  <c r="S75" i="3"/>
  <c r="Q69" i="4" s="1"/>
  <c r="P75" i="3"/>
  <c r="N69" i="4" s="1"/>
  <c r="J75" i="3"/>
  <c r="H69" i="4" s="1"/>
  <c r="Q75" i="3"/>
  <c r="O69" i="4" s="1"/>
  <c r="J69" i="4"/>
  <c r="I75" i="3"/>
  <c r="G69" i="4" s="1"/>
  <c r="V72" i="3"/>
  <c r="W72" i="3" s="1"/>
  <c r="D72" i="3"/>
  <c r="X72" i="3"/>
  <c r="Y72" i="3" s="1"/>
  <c r="D73" i="3"/>
  <c r="C74" i="3"/>
  <c r="H65" i="7"/>
  <c r="Q67" i="7"/>
  <c r="E66" i="7"/>
  <c r="G66" i="7"/>
  <c r="D68" i="7"/>
  <c r="A69" i="7"/>
  <c r="L70" i="7" s="1"/>
  <c r="I69" i="7"/>
  <c r="K69" i="7"/>
  <c r="F67" i="7"/>
  <c r="A75" i="3"/>
  <c r="A68" i="4"/>
  <c r="Q76" i="3" l="1"/>
  <c r="K76" i="3"/>
  <c r="G74" i="3"/>
  <c r="E74" i="3" s="1"/>
  <c r="H72" i="3"/>
  <c r="F72" i="3" s="1"/>
  <c r="F71" i="3"/>
  <c r="D65" i="4" s="1"/>
  <c r="F65" i="4"/>
  <c r="D74" i="10" s="1"/>
  <c r="U71" i="3"/>
  <c r="O76" i="3"/>
  <c r="M70" i="4" s="1"/>
  <c r="M76" i="3"/>
  <c r="K70" i="4" s="1"/>
  <c r="N76" i="3"/>
  <c r="L70" i="4" s="1"/>
  <c r="R76" i="3"/>
  <c r="P70" i="4" s="1"/>
  <c r="C66" i="4"/>
  <c r="C67" i="4"/>
  <c r="E66" i="4"/>
  <c r="B67" i="4"/>
  <c r="B76" i="10" s="1"/>
  <c r="J70" i="4"/>
  <c r="I76" i="3"/>
  <c r="G70" i="4" s="1"/>
  <c r="P76" i="3"/>
  <c r="N70" i="4" s="1"/>
  <c r="J76" i="3"/>
  <c r="H70" i="4" s="1"/>
  <c r="Z72" i="3"/>
  <c r="X73" i="3"/>
  <c r="Y73" i="3" s="1"/>
  <c r="Z73" i="3" s="1"/>
  <c r="X74" i="3"/>
  <c r="Y74" i="3" s="1"/>
  <c r="V73" i="3"/>
  <c r="W73" i="3" s="1"/>
  <c r="C75" i="3"/>
  <c r="H66" i="7"/>
  <c r="Q68" i="7"/>
  <c r="I70" i="7"/>
  <c r="K70" i="7"/>
  <c r="F68" i="7"/>
  <c r="A70" i="7"/>
  <c r="L71" i="7" s="1"/>
  <c r="D69" i="7"/>
  <c r="G67" i="7"/>
  <c r="E67" i="7"/>
  <c r="A76" i="3"/>
  <c r="A69" i="4"/>
  <c r="K77" i="3" l="1"/>
  <c r="G75" i="3"/>
  <c r="E75" i="3" s="1"/>
  <c r="F66" i="4"/>
  <c r="D75" i="10" s="1"/>
  <c r="E67" i="4"/>
  <c r="H73" i="3"/>
  <c r="U73" i="3" s="1"/>
  <c r="I70" i="4"/>
  <c r="O77" i="3"/>
  <c r="M71" i="4" s="1"/>
  <c r="M77" i="3"/>
  <c r="K71" i="4" s="1"/>
  <c r="N77" i="3"/>
  <c r="L71" i="4" s="1"/>
  <c r="R77" i="3"/>
  <c r="P71" i="4" s="1"/>
  <c r="I71" i="4"/>
  <c r="T77" i="3"/>
  <c r="R71" i="4" s="1"/>
  <c r="U72" i="3"/>
  <c r="D66" i="4"/>
  <c r="S77" i="3"/>
  <c r="Q71" i="4" s="1"/>
  <c r="P77" i="3"/>
  <c r="N71" i="4" s="1"/>
  <c r="J77" i="3"/>
  <c r="H71" i="4" s="1"/>
  <c r="Q77" i="3"/>
  <c r="O71" i="4" s="1"/>
  <c r="J71" i="4"/>
  <c r="I77" i="3"/>
  <c r="G71" i="4" s="1"/>
  <c r="V74" i="3"/>
  <c r="W74" i="3" s="1"/>
  <c r="D74" i="3"/>
  <c r="B68" i="4"/>
  <c r="B77" i="10" s="1"/>
  <c r="V75" i="3"/>
  <c r="W75" i="3" s="1"/>
  <c r="C76" i="3"/>
  <c r="Q69" i="7"/>
  <c r="G68" i="7"/>
  <c r="E68" i="7"/>
  <c r="D70" i="7"/>
  <c r="I71" i="7"/>
  <c r="A71" i="7"/>
  <c r="L72" i="7" s="1"/>
  <c r="K71" i="7"/>
  <c r="F69" i="7"/>
  <c r="A77" i="3"/>
  <c r="A70" i="4"/>
  <c r="K78" i="3" l="1"/>
  <c r="I72" i="4" s="1"/>
  <c r="G76" i="3"/>
  <c r="E76" i="3" s="1"/>
  <c r="H74" i="3"/>
  <c r="F74" i="3" s="1"/>
  <c r="F73" i="3"/>
  <c r="D67" i="4" s="1"/>
  <c r="F67" i="4"/>
  <c r="D76" i="10" s="1"/>
  <c r="O78" i="3"/>
  <c r="M72" i="4" s="1"/>
  <c r="N78" i="3"/>
  <c r="L72" i="4" s="1"/>
  <c r="M78" i="3"/>
  <c r="K72" i="4" s="1"/>
  <c r="R78" i="3"/>
  <c r="P72" i="4" s="1"/>
  <c r="T78" i="3"/>
  <c r="R72" i="4" s="1"/>
  <c r="C68" i="4"/>
  <c r="Q78" i="3"/>
  <c r="O72" i="4" s="1"/>
  <c r="J72" i="4"/>
  <c r="I78" i="3"/>
  <c r="G72" i="4" s="1"/>
  <c r="S78" i="3"/>
  <c r="Q72" i="4" s="1"/>
  <c r="P78" i="3"/>
  <c r="N72" i="4" s="1"/>
  <c r="J78" i="3"/>
  <c r="H72" i="4" s="1"/>
  <c r="Z74" i="3"/>
  <c r="E68" i="4" s="1"/>
  <c r="D75" i="3"/>
  <c r="H75" i="3" s="1"/>
  <c r="X75" i="3"/>
  <c r="Y75" i="3" s="1"/>
  <c r="B69" i="4"/>
  <c r="B78" i="10" s="1"/>
  <c r="V76" i="3"/>
  <c r="W76" i="3" s="1"/>
  <c r="C77" i="3"/>
  <c r="H68" i="7"/>
  <c r="Q70" i="7"/>
  <c r="D71" i="7"/>
  <c r="A72" i="7"/>
  <c r="L73" i="7" s="1"/>
  <c r="K72" i="7"/>
  <c r="F70" i="7"/>
  <c r="I72" i="7"/>
  <c r="G69" i="7"/>
  <c r="E69" i="7"/>
  <c r="A78" i="3"/>
  <c r="A71" i="4"/>
  <c r="K79" i="3" l="1"/>
  <c r="G77" i="3"/>
  <c r="E77" i="3" s="1"/>
  <c r="F68" i="4"/>
  <c r="D77" i="10" s="1"/>
  <c r="F75" i="3"/>
  <c r="F69" i="4"/>
  <c r="D78" i="10" s="1"/>
  <c r="AD6" i="3"/>
  <c r="O70" i="4"/>
  <c r="O79" i="3"/>
  <c r="M73" i="4" s="1"/>
  <c r="N79" i="3"/>
  <c r="L73" i="4" s="1"/>
  <c r="M79" i="3"/>
  <c r="K73" i="4" s="1"/>
  <c r="R79" i="3"/>
  <c r="P73" i="4" s="1"/>
  <c r="I73" i="4"/>
  <c r="T79" i="3"/>
  <c r="R73" i="4" s="1"/>
  <c r="U74" i="3"/>
  <c r="D68" i="4"/>
  <c r="C69" i="4"/>
  <c r="E69" i="4"/>
  <c r="S79" i="3"/>
  <c r="Q73" i="4" s="1"/>
  <c r="P79" i="3"/>
  <c r="N73" i="4" s="1"/>
  <c r="J79" i="3"/>
  <c r="H73" i="4" s="1"/>
  <c r="Q79" i="3"/>
  <c r="O73" i="4" s="1"/>
  <c r="J73" i="4"/>
  <c r="I79" i="3"/>
  <c r="G73" i="4" s="1"/>
  <c r="Z75" i="3"/>
  <c r="B70" i="4"/>
  <c r="B79" i="10" s="1"/>
  <c r="X76" i="3"/>
  <c r="Y76" i="3" s="1"/>
  <c r="X77" i="3"/>
  <c r="Y77" i="3" s="1"/>
  <c r="D76" i="3"/>
  <c r="H76" i="3" s="1"/>
  <c r="C78" i="3"/>
  <c r="H69" i="7"/>
  <c r="Q71" i="7"/>
  <c r="E70" i="7"/>
  <c r="G70" i="7"/>
  <c r="A73" i="7"/>
  <c r="L74" i="7" s="1"/>
  <c r="D72" i="7"/>
  <c r="I73" i="7"/>
  <c r="K73" i="7"/>
  <c r="F71" i="7"/>
  <c r="A79" i="3"/>
  <c r="A72" i="4"/>
  <c r="K80" i="3" l="1"/>
  <c r="I74" i="4" s="1"/>
  <c r="G78" i="3"/>
  <c r="E78" i="3" s="1"/>
  <c r="F76" i="3"/>
  <c r="F70" i="4"/>
  <c r="D79" i="10" s="1"/>
  <c r="O80" i="3"/>
  <c r="M74" i="4" s="1"/>
  <c r="N80" i="3"/>
  <c r="L74" i="4" s="1"/>
  <c r="M80" i="3"/>
  <c r="K74" i="4" s="1"/>
  <c r="R80" i="3"/>
  <c r="P74" i="4" s="1"/>
  <c r="T80" i="3"/>
  <c r="R74" i="4" s="1"/>
  <c r="U75" i="3"/>
  <c r="D69" i="4"/>
  <c r="C70" i="4"/>
  <c r="E70" i="4"/>
  <c r="Q80" i="3"/>
  <c r="O74" i="4" s="1"/>
  <c r="J74" i="4"/>
  <c r="I80" i="3"/>
  <c r="G74" i="4" s="1"/>
  <c r="S80" i="3"/>
  <c r="Q74" i="4" s="1"/>
  <c r="P80" i="3"/>
  <c r="N74" i="4" s="1"/>
  <c r="J80" i="3"/>
  <c r="H74" i="4" s="1"/>
  <c r="V77" i="3"/>
  <c r="W77" i="3" s="1"/>
  <c r="B71" i="4"/>
  <c r="B80" i="10" s="1"/>
  <c r="V78" i="3"/>
  <c r="W78" i="3" s="1"/>
  <c r="D77" i="3"/>
  <c r="Z76" i="3"/>
  <c r="C79" i="3"/>
  <c r="H70" i="7"/>
  <c r="Q72" i="7"/>
  <c r="G71" i="7"/>
  <c r="E71" i="7"/>
  <c r="A74" i="7"/>
  <c r="L75" i="7" s="1"/>
  <c r="D73" i="7"/>
  <c r="K74" i="7"/>
  <c r="F72" i="7"/>
  <c r="I74" i="7"/>
  <c r="A80" i="3"/>
  <c r="A73" i="4"/>
  <c r="K81" i="3" l="1"/>
  <c r="G79" i="3"/>
  <c r="E79" i="3" s="1"/>
  <c r="H77" i="3"/>
  <c r="F77" i="3" s="1"/>
  <c r="D70" i="4"/>
  <c r="T76" i="3"/>
  <c r="R70" i="4" s="1"/>
  <c r="M81" i="3"/>
  <c r="K75" i="4" s="1"/>
  <c r="O81" i="3"/>
  <c r="M75" i="4" s="1"/>
  <c r="N81" i="3"/>
  <c r="L75" i="4" s="1"/>
  <c r="R81" i="3"/>
  <c r="P75" i="4" s="1"/>
  <c r="T81" i="3"/>
  <c r="R75" i="4" s="1"/>
  <c r="I75" i="4"/>
  <c r="C71" i="4"/>
  <c r="S81" i="3"/>
  <c r="Q75" i="4" s="1"/>
  <c r="P81" i="3"/>
  <c r="N75" i="4" s="1"/>
  <c r="J81" i="3"/>
  <c r="H75" i="4" s="1"/>
  <c r="Q81" i="3"/>
  <c r="O75" i="4" s="1"/>
  <c r="J75" i="4"/>
  <c r="I81" i="3"/>
  <c r="G75" i="4" s="1"/>
  <c r="B72" i="4"/>
  <c r="B81" i="10" s="1"/>
  <c r="D78" i="3"/>
  <c r="H78" i="3" s="1"/>
  <c r="X78" i="3"/>
  <c r="Y78" i="3" s="1"/>
  <c r="D79" i="3"/>
  <c r="Z77" i="3"/>
  <c r="E71" i="4" s="1"/>
  <c r="C80" i="3"/>
  <c r="H71" i="7"/>
  <c r="Q73" i="7"/>
  <c r="K75" i="7"/>
  <c r="F73" i="7"/>
  <c r="A75" i="7"/>
  <c r="L76" i="7" s="1"/>
  <c r="D74" i="7"/>
  <c r="I75" i="7"/>
  <c r="G72" i="7"/>
  <c r="E72" i="7"/>
  <c r="A74" i="4"/>
  <c r="A81" i="3"/>
  <c r="K82" i="3" l="1"/>
  <c r="G80" i="3"/>
  <c r="E80" i="3" s="1"/>
  <c r="F71" i="4"/>
  <c r="D80" i="10" s="1"/>
  <c r="F78" i="3"/>
  <c r="F72" i="4"/>
  <c r="D81" i="10" s="1"/>
  <c r="M82" i="3"/>
  <c r="K76" i="4" s="1"/>
  <c r="O82" i="3"/>
  <c r="M76" i="4" s="1"/>
  <c r="N82" i="3"/>
  <c r="L76" i="4" s="1"/>
  <c r="R82" i="3"/>
  <c r="P76" i="4" s="1"/>
  <c r="T82" i="3"/>
  <c r="R76" i="4" s="1"/>
  <c r="I76" i="4"/>
  <c r="U77" i="3"/>
  <c r="D71" i="4"/>
  <c r="C73" i="4"/>
  <c r="C72" i="4"/>
  <c r="Q82" i="3"/>
  <c r="O76" i="4" s="1"/>
  <c r="J76" i="4"/>
  <c r="I82" i="3"/>
  <c r="G76" i="4" s="1"/>
  <c r="S82" i="3"/>
  <c r="Q76" i="4" s="1"/>
  <c r="P82" i="3"/>
  <c r="N76" i="4" s="1"/>
  <c r="J82" i="3"/>
  <c r="H76" i="4" s="1"/>
  <c r="Z78" i="3"/>
  <c r="E72" i="4" s="1"/>
  <c r="B73" i="4"/>
  <c r="B82" i="10" s="1"/>
  <c r="X79" i="3"/>
  <c r="Y79" i="3" s="1"/>
  <c r="Z79" i="3" s="1"/>
  <c r="V79" i="3"/>
  <c r="W79" i="3" s="1"/>
  <c r="D80" i="3"/>
  <c r="C81" i="3"/>
  <c r="H72" i="7"/>
  <c r="Q74" i="7"/>
  <c r="E73" i="7"/>
  <c r="G73" i="7"/>
  <c r="K76" i="7"/>
  <c r="F74" i="7"/>
  <c r="I76" i="7"/>
  <c r="D75" i="7"/>
  <c r="A76" i="7"/>
  <c r="L77" i="7" s="1"/>
  <c r="A75" i="4"/>
  <c r="A82" i="3"/>
  <c r="K83" i="3" l="1"/>
  <c r="I77" i="4" s="1"/>
  <c r="G81" i="3"/>
  <c r="E81" i="3" s="1"/>
  <c r="E73" i="4"/>
  <c r="H79" i="3"/>
  <c r="U79" i="3" s="1"/>
  <c r="M83" i="3"/>
  <c r="K77" i="4" s="1"/>
  <c r="O83" i="3"/>
  <c r="M77" i="4" s="1"/>
  <c r="N83" i="3"/>
  <c r="L77" i="4" s="1"/>
  <c r="R83" i="3"/>
  <c r="P77" i="4" s="1"/>
  <c r="T83" i="3"/>
  <c r="R77" i="4" s="1"/>
  <c r="U78" i="3"/>
  <c r="D72" i="4"/>
  <c r="C74" i="4"/>
  <c r="S83" i="3"/>
  <c r="Q77" i="4" s="1"/>
  <c r="P83" i="3"/>
  <c r="N77" i="4" s="1"/>
  <c r="J83" i="3"/>
  <c r="H77" i="4" s="1"/>
  <c r="Q83" i="3"/>
  <c r="O77" i="4" s="1"/>
  <c r="J77" i="4"/>
  <c r="I83" i="3"/>
  <c r="G77" i="4" s="1"/>
  <c r="X80" i="3"/>
  <c r="Y80" i="3" s="1"/>
  <c r="Z80" i="3" s="1"/>
  <c r="B74" i="4"/>
  <c r="B83" i="10" s="1"/>
  <c r="V80" i="3"/>
  <c r="W80" i="3" s="1"/>
  <c r="H80" i="3" s="1"/>
  <c r="F80" i="3" s="1"/>
  <c r="B75" i="4"/>
  <c r="B84" i="10" s="1"/>
  <c r="C82" i="3"/>
  <c r="H73" i="7"/>
  <c r="Q75" i="7"/>
  <c r="G74" i="7"/>
  <c r="E74" i="7"/>
  <c r="A77" i="7"/>
  <c r="L78" i="7" s="1"/>
  <c r="D76" i="7"/>
  <c r="I77" i="7"/>
  <c r="K77" i="7"/>
  <c r="F75" i="7"/>
  <c r="A83" i="3"/>
  <c r="A76" i="4"/>
  <c r="V81" i="3"/>
  <c r="W81" i="3" s="1"/>
  <c r="K84" i="3" l="1"/>
  <c r="I78" i="4" s="1"/>
  <c r="G82" i="3"/>
  <c r="E82" i="3" s="1"/>
  <c r="F79" i="3"/>
  <c r="D73" i="4" s="1"/>
  <c r="F73" i="4"/>
  <c r="D82" i="10" s="1"/>
  <c r="F74" i="4"/>
  <c r="D83" i="10" s="1"/>
  <c r="O84" i="3"/>
  <c r="M78" i="4" s="1"/>
  <c r="M84" i="3"/>
  <c r="K78" i="4" s="1"/>
  <c r="N84" i="3"/>
  <c r="L78" i="4" s="1"/>
  <c r="R84" i="3"/>
  <c r="P78" i="4" s="1"/>
  <c r="T84" i="3"/>
  <c r="R78" i="4" s="1"/>
  <c r="E74" i="4"/>
  <c r="Q84" i="3"/>
  <c r="O78" i="4" s="1"/>
  <c r="J78" i="4"/>
  <c r="I84" i="3"/>
  <c r="G78" i="4" s="1"/>
  <c r="S84" i="3"/>
  <c r="Q78" i="4" s="1"/>
  <c r="P84" i="3"/>
  <c r="N78" i="4" s="1"/>
  <c r="J84" i="3"/>
  <c r="H78" i="4" s="1"/>
  <c r="D81" i="3"/>
  <c r="H81" i="3" s="1"/>
  <c r="X81" i="3"/>
  <c r="Y81" i="3" s="1"/>
  <c r="D82" i="3"/>
  <c r="C83" i="3"/>
  <c r="H74" i="7"/>
  <c r="Q76" i="7"/>
  <c r="K78" i="7"/>
  <c r="F76" i="7"/>
  <c r="I78" i="7"/>
  <c r="A78" i="7"/>
  <c r="D77" i="7"/>
  <c r="G75" i="7"/>
  <c r="E75" i="7"/>
  <c r="A84" i="3"/>
  <c r="A77" i="4"/>
  <c r="K85" i="3" l="1"/>
  <c r="I79" i="4" s="1"/>
  <c r="G83" i="3"/>
  <c r="E83" i="3" s="1"/>
  <c r="F81" i="3"/>
  <c r="F75" i="4"/>
  <c r="D84" i="10" s="1"/>
  <c r="O85" i="3"/>
  <c r="M79" i="4" s="1"/>
  <c r="N85" i="3"/>
  <c r="L79" i="4" s="1"/>
  <c r="M85" i="3"/>
  <c r="K79" i="4" s="1"/>
  <c r="R85" i="3"/>
  <c r="P79" i="4" s="1"/>
  <c r="T85" i="3"/>
  <c r="R79" i="4" s="1"/>
  <c r="U80" i="3"/>
  <c r="D74" i="4"/>
  <c r="C76" i="4"/>
  <c r="C75" i="4"/>
  <c r="S85" i="3"/>
  <c r="Q79" i="4" s="1"/>
  <c r="P85" i="3"/>
  <c r="N79" i="4" s="1"/>
  <c r="J85" i="3"/>
  <c r="H79" i="4" s="1"/>
  <c r="Q85" i="3"/>
  <c r="O79" i="4" s="1"/>
  <c r="J79" i="4"/>
  <c r="I85" i="3"/>
  <c r="G79" i="4" s="1"/>
  <c r="V82" i="3"/>
  <c r="W82" i="3" s="1"/>
  <c r="H82" i="3" s="1"/>
  <c r="F82" i="3" s="1"/>
  <c r="Z81" i="3"/>
  <c r="E75" i="4" s="1"/>
  <c r="X82" i="3"/>
  <c r="Y82" i="3" s="1"/>
  <c r="Z82" i="3" s="1"/>
  <c r="D83" i="3"/>
  <c r="B76" i="4"/>
  <c r="B85" i="10" s="1"/>
  <c r="C84" i="3"/>
  <c r="H75" i="7"/>
  <c r="Q77" i="7"/>
  <c r="G76" i="7"/>
  <c r="E76" i="7"/>
  <c r="A79" i="7"/>
  <c r="I79" i="7"/>
  <c r="F77" i="7"/>
  <c r="D78" i="7"/>
  <c r="A85" i="3"/>
  <c r="A78" i="4"/>
  <c r="K86" i="3" l="1"/>
  <c r="G84" i="3"/>
  <c r="E84" i="3" s="1"/>
  <c r="F76" i="4"/>
  <c r="D85" i="10" s="1"/>
  <c r="O86" i="3"/>
  <c r="M80" i="4" s="1"/>
  <c r="N86" i="3"/>
  <c r="L80" i="4" s="1"/>
  <c r="M86" i="3"/>
  <c r="K80" i="4" s="1"/>
  <c r="R86" i="3"/>
  <c r="P80" i="4" s="1"/>
  <c r="T86" i="3"/>
  <c r="R80" i="4" s="1"/>
  <c r="I80" i="4"/>
  <c r="U81" i="3"/>
  <c r="D75" i="4"/>
  <c r="C77" i="4"/>
  <c r="E76" i="4"/>
  <c r="B77" i="4"/>
  <c r="B86" i="10" s="1"/>
  <c r="Q86" i="3"/>
  <c r="O80" i="4" s="1"/>
  <c r="J80" i="4"/>
  <c r="I86" i="3"/>
  <c r="G80" i="4" s="1"/>
  <c r="S86" i="3"/>
  <c r="Q80" i="4" s="1"/>
  <c r="P86" i="3"/>
  <c r="N80" i="4" s="1"/>
  <c r="J86" i="3"/>
  <c r="H80" i="4" s="1"/>
  <c r="V83" i="3"/>
  <c r="W83" i="3" s="1"/>
  <c r="H83" i="3" s="1"/>
  <c r="F83" i="3" s="1"/>
  <c r="D84" i="3"/>
  <c r="X83" i="3"/>
  <c r="Y83" i="3" s="1"/>
  <c r="Z83" i="3" s="1"/>
  <c r="C85" i="3"/>
  <c r="H76" i="7"/>
  <c r="Q78" i="7"/>
  <c r="D79" i="7"/>
  <c r="L80" i="7"/>
  <c r="K80" i="7"/>
  <c r="A80" i="7"/>
  <c r="F78" i="7"/>
  <c r="I80" i="7"/>
  <c r="G77" i="7"/>
  <c r="E77" i="7"/>
  <c r="A86" i="3"/>
  <c r="A79" i="4"/>
  <c r="K87" i="3" l="1"/>
  <c r="G85" i="3"/>
  <c r="E85" i="3" s="1"/>
  <c r="F77" i="4"/>
  <c r="D86" i="10" s="1"/>
  <c r="O87" i="3"/>
  <c r="M81" i="4" s="1"/>
  <c r="N87" i="3"/>
  <c r="L81" i="4" s="1"/>
  <c r="M87" i="3"/>
  <c r="K81" i="4" s="1"/>
  <c r="R87" i="3"/>
  <c r="P81" i="4" s="1"/>
  <c r="I81" i="4"/>
  <c r="T87" i="3"/>
  <c r="R81" i="4" s="1"/>
  <c r="U82" i="3"/>
  <c r="D76" i="4"/>
  <c r="C78" i="4"/>
  <c r="B78" i="4"/>
  <c r="B87" i="10" s="1"/>
  <c r="E77" i="4"/>
  <c r="S87" i="3"/>
  <c r="Q81" i="4" s="1"/>
  <c r="P87" i="3"/>
  <c r="N81" i="4" s="1"/>
  <c r="J87" i="3"/>
  <c r="H81" i="4" s="1"/>
  <c r="Q87" i="3"/>
  <c r="O81" i="4" s="1"/>
  <c r="J81" i="4"/>
  <c r="I87" i="3"/>
  <c r="G81" i="4" s="1"/>
  <c r="X84" i="3"/>
  <c r="Y84" i="3" s="1"/>
  <c r="Z84" i="3" s="1"/>
  <c r="V84" i="3"/>
  <c r="W84" i="3" s="1"/>
  <c r="B79" i="4"/>
  <c r="B88" i="10" s="1"/>
  <c r="C86" i="3"/>
  <c r="H77" i="7"/>
  <c r="Q79" i="7"/>
  <c r="K81" i="7"/>
  <c r="I81" i="7"/>
  <c r="D80" i="7"/>
  <c r="A81" i="7"/>
  <c r="F79" i="7"/>
  <c r="L81" i="7"/>
  <c r="E78" i="7"/>
  <c r="G78" i="7"/>
  <c r="A87" i="3"/>
  <c r="A80" i="4"/>
  <c r="AD7" i="3" l="1"/>
  <c r="Q88" i="3"/>
  <c r="O82" i="4" s="1"/>
  <c r="K88" i="3"/>
  <c r="L88" i="3"/>
  <c r="J82" i="4" s="1"/>
  <c r="G86" i="3"/>
  <c r="E86" i="3" s="1"/>
  <c r="E78" i="4"/>
  <c r="H84" i="3"/>
  <c r="O88" i="3"/>
  <c r="M82" i="4" s="1"/>
  <c r="N88" i="3"/>
  <c r="L82" i="4" s="1"/>
  <c r="M88" i="3"/>
  <c r="K82" i="4" s="1"/>
  <c r="R88" i="3"/>
  <c r="P82" i="4" s="1"/>
  <c r="U83" i="3"/>
  <c r="D77" i="4"/>
  <c r="V85" i="3"/>
  <c r="W85" i="3" s="1"/>
  <c r="I88" i="3"/>
  <c r="G82" i="4" s="1"/>
  <c r="P88" i="3"/>
  <c r="N82" i="4" s="1"/>
  <c r="J88" i="3"/>
  <c r="H82" i="4" s="1"/>
  <c r="X85" i="3"/>
  <c r="Y85" i="3" s="1"/>
  <c r="V86" i="3"/>
  <c r="W86" i="3" s="1"/>
  <c r="D85" i="3"/>
  <c r="C87" i="3"/>
  <c r="E79" i="7"/>
  <c r="Q80" i="7"/>
  <c r="G79" i="7"/>
  <c r="K82" i="7"/>
  <c r="D81" i="7"/>
  <c r="A82" i="7"/>
  <c r="I82" i="7"/>
  <c r="L82" i="7"/>
  <c r="F80" i="7"/>
  <c r="H78" i="7"/>
  <c r="A81" i="4"/>
  <c r="A88" i="3"/>
  <c r="G87" i="3" l="1"/>
  <c r="E87" i="3" s="1"/>
  <c r="H85" i="3"/>
  <c r="F85" i="3" s="1"/>
  <c r="F84" i="3"/>
  <c r="D78" i="4" s="1"/>
  <c r="F78" i="4"/>
  <c r="D87" i="10" s="1"/>
  <c r="U84" i="3"/>
  <c r="I82" i="4"/>
  <c r="M89" i="3"/>
  <c r="K83" i="4" s="1"/>
  <c r="O89" i="3"/>
  <c r="M83" i="4" s="1"/>
  <c r="N89" i="3"/>
  <c r="L83" i="4" s="1"/>
  <c r="R89" i="3"/>
  <c r="P83" i="4" s="1"/>
  <c r="T89" i="3"/>
  <c r="R83" i="4" s="1"/>
  <c r="K89" i="3"/>
  <c r="I83" i="4" s="1"/>
  <c r="C79" i="4"/>
  <c r="X86" i="3"/>
  <c r="Y86" i="3" s="1"/>
  <c r="S89" i="3"/>
  <c r="Q83" i="4" s="1"/>
  <c r="P89" i="3"/>
  <c r="N83" i="4" s="1"/>
  <c r="J89" i="3"/>
  <c r="H83" i="4" s="1"/>
  <c r="Q89" i="3"/>
  <c r="O83" i="4" s="1"/>
  <c r="L89" i="3"/>
  <c r="J83" i="4" s="1"/>
  <c r="I89" i="3"/>
  <c r="G83" i="4" s="1"/>
  <c r="B80" i="4"/>
  <c r="B89" i="10" s="1"/>
  <c r="D86" i="3"/>
  <c r="H86" i="3" s="1"/>
  <c r="B81" i="4"/>
  <c r="B90" i="10" s="1"/>
  <c r="Z85" i="3"/>
  <c r="A82" i="4"/>
  <c r="C88" i="3"/>
  <c r="G80" i="7"/>
  <c r="Q81" i="7"/>
  <c r="E80" i="7"/>
  <c r="I83" i="7"/>
  <c r="D82" i="7"/>
  <c r="F81" i="7"/>
  <c r="A83" i="7"/>
  <c r="L83" i="7"/>
  <c r="K83" i="7"/>
  <c r="A89" i="3"/>
  <c r="G88" i="3" s="1"/>
  <c r="E88" i="3" l="1"/>
  <c r="F79" i="4"/>
  <c r="D88" i="10" s="1"/>
  <c r="F86" i="3"/>
  <c r="F80" i="4"/>
  <c r="D89" i="10" s="1"/>
  <c r="M90" i="3"/>
  <c r="K84" i="4" s="1"/>
  <c r="O90" i="3"/>
  <c r="M84" i="4" s="1"/>
  <c r="N90" i="3"/>
  <c r="L84" i="4" s="1"/>
  <c r="R90" i="3"/>
  <c r="P84" i="4" s="1"/>
  <c r="T90" i="3"/>
  <c r="R84" i="4" s="1"/>
  <c r="K90" i="3"/>
  <c r="I84" i="4" s="1"/>
  <c r="C80" i="4"/>
  <c r="E80" i="4"/>
  <c r="E79" i="4"/>
  <c r="Q90" i="3"/>
  <c r="O84" i="4" s="1"/>
  <c r="L90" i="3"/>
  <c r="J84" i="4" s="1"/>
  <c r="I90" i="3"/>
  <c r="G84" i="4" s="1"/>
  <c r="S90" i="3"/>
  <c r="Q84" i="4" s="1"/>
  <c r="P90" i="3"/>
  <c r="N84" i="4" s="1"/>
  <c r="J90" i="3"/>
  <c r="H84" i="4" s="1"/>
  <c r="V87" i="3"/>
  <c r="W87" i="3" s="1"/>
  <c r="X87" i="3"/>
  <c r="Y87" i="3" s="1"/>
  <c r="D87" i="3"/>
  <c r="X88" i="3"/>
  <c r="Y88" i="3" s="1"/>
  <c r="Z86" i="3"/>
  <c r="C89" i="3"/>
  <c r="H80" i="7"/>
  <c r="Q82" i="7"/>
  <c r="E81" i="7"/>
  <c r="G81" i="7"/>
  <c r="A84" i="7"/>
  <c r="K84" i="7"/>
  <c r="F82" i="7"/>
  <c r="I84" i="7"/>
  <c r="D83" i="7"/>
  <c r="L84" i="7"/>
  <c r="A83" i="4"/>
  <c r="A90" i="3"/>
  <c r="H87" i="3" l="1"/>
  <c r="F87" i="3" s="1"/>
  <c r="F88" i="3" s="1"/>
  <c r="M91" i="3"/>
  <c r="K85" i="4" s="1"/>
  <c r="O91" i="3"/>
  <c r="M85" i="4" s="1"/>
  <c r="N91" i="3"/>
  <c r="L85" i="4" s="1"/>
  <c r="R91" i="3"/>
  <c r="P85" i="4" s="1"/>
  <c r="T91" i="3"/>
  <c r="R85" i="4" s="1"/>
  <c r="K91" i="3"/>
  <c r="I85" i="4" s="1"/>
  <c r="U85" i="3"/>
  <c r="D79" i="4"/>
  <c r="U86" i="3"/>
  <c r="D80" i="4"/>
  <c r="H89" i="3"/>
  <c r="C81" i="4"/>
  <c r="E81" i="4"/>
  <c r="S91" i="3"/>
  <c r="Q85" i="4" s="1"/>
  <c r="P91" i="3"/>
  <c r="N85" i="4" s="1"/>
  <c r="J91" i="3"/>
  <c r="H85" i="4" s="1"/>
  <c r="Q91" i="3"/>
  <c r="O85" i="4" s="1"/>
  <c r="L91" i="3"/>
  <c r="J85" i="4" s="1"/>
  <c r="I91" i="3"/>
  <c r="G85" i="4" s="1"/>
  <c r="B82" i="4"/>
  <c r="B91" i="10" s="1"/>
  <c r="V88" i="3"/>
  <c r="W88" i="3" s="1"/>
  <c r="B83" i="4"/>
  <c r="Z87" i="3"/>
  <c r="D88" i="3"/>
  <c r="C90" i="3"/>
  <c r="H81" i="7"/>
  <c r="Q83" i="7"/>
  <c r="G82" i="7"/>
  <c r="E82" i="7"/>
  <c r="A85" i="7"/>
  <c r="K85" i="7"/>
  <c r="I85" i="7"/>
  <c r="D84" i="7"/>
  <c r="F83" i="7"/>
  <c r="L85" i="7"/>
  <c r="A91" i="3"/>
  <c r="A84" i="4"/>
  <c r="F81" i="4" l="1"/>
  <c r="D90" i="10" s="1"/>
  <c r="H88" i="3"/>
  <c r="F82" i="4" s="1"/>
  <c r="D91" i="10" s="1"/>
  <c r="E89" i="3"/>
  <c r="F83" i="4"/>
  <c r="O92" i="3"/>
  <c r="M86" i="4" s="1"/>
  <c r="M92" i="3"/>
  <c r="K86" i="4" s="1"/>
  <c r="N92" i="3"/>
  <c r="L86" i="4" s="1"/>
  <c r="R92" i="3"/>
  <c r="P86" i="4" s="1"/>
  <c r="K92" i="3"/>
  <c r="I86" i="4" s="1"/>
  <c r="T92" i="3"/>
  <c r="R86" i="4" s="1"/>
  <c r="U87" i="3"/>
  <c r="D81" i="4"/>
  <c r="H90" i="3"/>
  <c r="C82" i="4"/>
  <c r="Q92" i="3"/>
  <c r="O86" i="4" s="1"/>
  <c r="L92" i="3"/>
  <c r="J86" i="4" s="1"/>
  <c r="I92" i="3"/>
  <c r="G86" i="4" s="1"/>
  <c r="S92" i="3"/>
  <c r="Q86" i="4" s="1"/>
  <c r="P92" i="3"/>
  <c r="N86" i="4" s="1"/>
  <c r="J92" i="3"/>
  <c r="H86" i="4" s="1"/>
  <c r="E82" i="4"/>
  <c r="D90" i="3"/>
  <c r="D89" i="3"/>
  <c r="X89" i="3"/>
  <c r="Y89" i="3" s="1"/>
  <c r="V89" i="3"/>
  <c r="W89" i="3" s="1"/>
  <c r="Z88" i="3"/>
  <c r="C91" i="3"/>
  <c r="H82" i="7"/>
  <c r="Q84" i="7"/>
  <c r="G83" i="7"/>
  <c r="E83" i="7"/>
  <c r="K86" i="7"/>
  <c r="A86" i="7"/>
  <c r="L86" i="7"/>
  <c r="I86" i="7"/>
  <c r="D85" i="7"/>
  <c r="F84" i="7"/>
  <c r="A85" i="4"/>
  <c r="A92" i="3"/>
  <c r="E90" i="3" l="1"/>
  <c r="F84" i="4"/>
  <c r="D82" i="4"/>
  <c r="T88" i="3"/>
  <c r="R82" i="4" s="1"/>
  <c r="O93" i="3"/>
  <c r="M87" i="4" s="1"/>
  <c r="N93" i="3"/>
  <c r="L87" i="4" s="1"/>
  <c r="M93" i="3"/>
  <c r="K87" i="4" s="1"/>
  <c r="R93" i="3"/>
  <c r="P87" i="4" s="1"/>
  <c r="K93" i="3"/>
  <c r="I87" i="4" s="1"/>
  <c r="T93" i="3"/>
  <c r="R87" i="4" s="1"/>
  <c r="H91" i="3"/>
  <c r="C84" i="4"/>
  <c r="C83" i="4"/>
  <c r="G89" i="3"/>
  <c r="E83" i="4" s="1"/>
  <c r="B84" i="4"/>
  <c r="S93" i="3"/>
  <c r="Q87" i="4" s="1"/>
  <c r="P93" i="3"/>
  <c r="N87" i="4" s="1"/>
  <c r="J93" i="3"/>
  <c r="H87" i="4" s="1"/>
  <c r="Q93" i="3"/>
  <c r="O87" i="4" s="1"/>
  <c r="L93" i="3"/>
  <c r="J87" i="4" s="1"/>
  <c r="I93" i="3"/>
  <c r="G87" i="4" s="1"/>
  <c r="X90" i="3"/>
  <c r="Y90" i="3" s="1"/>
  <c r="Z90" i="3" s="1"/>
  <c r="Z89" i="3"/>
  <c r="V90" i="3"/>
  <c r="W90" i="3" s="1"/>
  <c r="G90" i="3" s="1"/>
  <c r="E84" i="4" s="1"/>
  <c r="D91" i="3"/>
  <c r="C92" i="3"/>
  <c r="H83" i="7"/>
  <c r="Q85" i="7"/>
  <c r="E84" i="7"/>
  <c r="G84" i="7"/>
  <c r="K87" i="7"/>
  <c r="A87" i="7"/>
  <c r="L87" i="7"/>
  <c r="I87" i="7"/>
  <c r="D86" i="7"/>
  <c r="F85" i="7"/>
  <c r="A93" i="3"/>
  <c r="A86" i="4"/>
  <c r="E91" i="3" l="1"/>
  <c r="F85" i="4"/>
  <c r="O94" i="3"/>
  <c r="M88" i="4" s="1"/>
  <c r="N94" i="3"/>
  <c r="L88" i="4" s="1"/>
  <c r="M94" i="3"/>
  <c r="K88" i="4" s="1"/>
  <c r="R94" i="3"/>
  <c r="P88" i="4" s="1"/>
  <c r="K94" i="3"/>
  <c r="I88" i="4" s="1"/>
  <c r="T94" i="3"/>
  <c r="R88" i="4" s="1"/>
  <c r="U89" i="3"/>
  <c r="F89" i="3"/>
  <c r="D83" i="4" s="1"/>
  <c r="U90" i="3"/>
  <c r="F90" i="3"/>
  <c r="D84" i="4" s="1"/>
  <c r="H92" i="3"/>
  <c r="C85" i="4"/>
  <c r="Q94" i="3"/>
  <c r="O88" i="4" s="1"/>
  <c r="L94" i="3"/>
  <c r="J88" i="4" s="1"/>
  <c r="I94" i="3"/>
  <c r="G88" i="4" s="1"/>
  <c r="S94" i="3"/>
  <c r="Q88" i="4" s="1"/>
  <c r="P94" i="3"/>
  <c r="N88" i="4" s="1"/>
  <c r="J94" i="3"/>
  <c r="H88" i="4" s="1"/>
  <c r="B85" i="4"/>
  <c r="X91" i="3"/>
  <c r="Y91" i="3" s="1"/>
  <c r="Z91" i="3" s="1"/>
  <c r="V91" i="3"/>
  <c r="W91" i="3" s="1"/>
  <c r="G91" i="3" s="1"/>
  <c r="E85" i="4" s="1"/>
  <c r="D92" i="3"/>
  <c r="C93" i="3"/>
  <c r="H84" i="7"/>
  <c r="Q86" i="7"/>
  <c r="E85" i="7"/>
  <c r="G85" i="7"/>
  <c r="K88" i="7"/>
  <c r="I88" i="7"/>
  <c r="D87" i="7"/>
  <c r="F86" i="7"/>
  <c r="L88" i="7"/>
  <c r="A88" i="7"/>
  <c r="A94" i="3"/>
  <c r="A87" i="4"/>
  <c r="E92" i="3" l="1"/>
  <c r="F86" i="4"/>
  <c r="O95" i="3"/>
  <c r="M89" i="4" s="1"/>
  <c r="N95" i="3"/>
  <c r="L89" i="4" s="1"/>
  <c r="M95" i="3"/>
  <c r="K89" i="4" s="1"/>
  <c r="R95" i="3"/>
  <c r="P89" i="4" s="1"/>
  <c r="K95" i="3"/>
  <c r="I89" i="4" s="1"/>
  <c r="T95" i="3"/>
  <c r="R89" i="4" s="1"/>
  <c r="U91" i="3"/>
  <c r="F91" i="3"/>
  <c r="D85" i="4" s="1"/>
  <c r="H93" i="3"/>
  <c r="C86" i="4"/>
  <c r="S95" i="3"/>
  <c r="Q89" i="4" s="1"/>
  <c r="P95" i="3"/>
  <c r="N89" i="4" s="1"/>
  <c r="J95" i="3"/>
  <c r="H89" i="4" s="1"/>
  <c r="Q95" i="3"/>
  <c r="O89" i="4" s="1"/>
  <c r="L95" i="3"/>
  <c r="J89" i="4" s="1"/>
  <c r="I95" i="3"/>
  <c r="G89" i="4" s="1"/>
  <c r="V92" i="3"/>
  <c r="W92" i="3" s="1"/>
  <c r="G92" i="3" s="1"/>
  <c r="E86" i="4" s="1"/>
  <c r="B86" i="4"/>
  <c r="X92" i="3"/>
  <c r="Y92" i="3" s="1"/>
  <c r="Z92" i="3" s="1"/>
  <c r="D93" i="3"/>
  <c r="C94" i="3"/>
  <c r="H85" i="7"/>
  <c r="Q87" i="7"/>
  <c r="G86" i="7"/>
  <c r="E86" i="7"/>
  <c r="K89" i="7"/>
  <c r="L89" i="7"/>
  <c r="A89" i="7"/>
  <c r="I89" i="7"/>
  <c r="D88" i="7"/>
  <c r="F87" i="7"/>
  <c r="A95" i="3"/>
  <c r="A88" i="4"/>
  <c r="E93" i="3" l="1"/>
  <c r="F87" i="4"/>
  <c r="O96" i="3"/>
  <c r="M90" i="4" s="1"/>
  <c r="N96" i="3"/>
  <c r="L90" i="4" s="1"/>
  <c r="M96" i="3"/>
  <c r="K90" i="4" s="1"/>
  <c r="R96" i="3"/>
  <c r="P90" i="4" s="1"/>
  <c r="K96" i="3"/>
  <c r="I90" i="4" s="1"/>
  <c r="T96" i="3"/>
  <c r="R90" i="4" s="1"/>
  <c r="U92" i="3"/>
  <c r="F92" i="3"/>
  <c r="D86" i="4" s="1"/>
  <c r="H94" i="3"/>
  <c r="C87" i="4"/>
  <c r="Q96" i="3"/>
  <c r="O90" i="4" s="1"/>
  <c r="L96" i="3"/>
  <c r="J90" i="4" s="1"/>
  <c r="I96" i="3"/>
  <c r="G90" i="4" s="1"/>
  <c r="S96" i="3"/>
  <c r="Q90" i="4" s="1"/>
  <c r="P96" i="3"/>
  <c r="N90" i="4" s="1"/>
  <c r="J96" i="3"/>
  <c r="H90" i="4" s="1"/>
  <c r="V93" i="3"/>
  <c r="W93" i="3" s="1"/>
  <c r="X93" i="3"/>
  <c r="Y93" i="3" s="1"/>
  <c r="Z93" i="3" s="1"/>
  <c r="B87" i="4"/>
  <c r="V94" i="3"/>
  <c r="C95" i="3"/>
  <c r="H86" i="7"/>
  <c r="Q88" i="7"/>
  <c r="G87" i="7"/>
  <c r="E87" i="7"/>
  <c r="K90" i="7"/>
  <c r="F88" i="7"/>
  <c r="I90" i="7"/>
  <c r="D89" i="7"/>
  <c r="A90" i="7"/>
  <c r="L90" i="7"/>
  <c r="A96" i="3"/>
  <c r="A89" i="4"/>
  <c r="E94" i="3" l="1"/>
  <c r="F88" i="4"/>
  <c r="M97" i="3"/>
  <c r="K91" i="4" s="1"/>
  <c r="O97" i="3"/>
  <c r="M91" i="4" s="1"/>
  <c r="N97" i="3"/>
  <c r="L91" i="4" s="1"/>
  <c r="R97" i="3"/>
  <c r="P91" i="4" s="1"/>
  <c r="T97" i="3"/>
  <c r="R91" i="4" s="1"/>
  <c r="K97" i="3"/>
  <c r="I91" i="4" s="1"/>
  <c r="H95" i="3"/>
  <c r="S97" i="3"/>
  <c r="Q91" i="4" s="1"/>
  <c r="P97" i="3"/>
  <c r="N91" i="4" s="1"/>
  <c r="J97" i="3"/>
  <c r="H91" i="4" s="1"/>
  <c r="Q97" i="3"/>
  <c r="O91" i="4" s="1"/>
  <c r="L97" i="3"/>
  <c r="J91" i="4" s="1"/>
  <c r="I97" i="3"/>
  <c r="G91" i="4" s="1"/>
  <c r="G93" i="3"/>
  <c r="E87" i="4" s="1"/>
  <c r="B88" i="4"/>
  <c r="D94" i="3"/>
  <c r="X94" i="3"/>
  <c r="Y94" i="3" s="1"/>
  <c r="V95" i="3"/>
  <c r="W95" i="3" s="1"/>
  <c r="C96" i="3"/>
  <c r="W94" i="3"/>
  <c r="H87" i="7"/>
  <c r="Q89" i="7"/>
  <c r="E88" i="7"/>
  <c r="G88" i="7"/>
  <c r="I91" i="7"/>
  <c r="D90" i="7"/>
  <c r="A91" i="7"/>
  <c r="F89" i="7"/>
  <c r="A90" i="4"/>
  <c r="A97" i="3"/>
  <c r="E95" i="3" l="1"/>
  <c r="F89" i="4"/>
  <c r="M98" i="3"/>
  <c r="K92" i="4" s="1"/>
  <c r="O98" i="3"/>
  <c r="M92" i="4" s="1"/>
  <c r="N98" i="3"/>
  <c r="L92" i="4" s="1"/>
  <c r="R98" i="3"/>
  <c r="P92" i="4" s="1"/>
  <c r="T98" i="3"/>
  <c r="R92" i="4" s="1"/>
  <c r="K98" i="3"/>
  <c r="I92" i="4" s="1"/>
  <c r="U93" i="3"/>
  <c r="F93" i="3"/>
  <c r="D87" i="4" s="1"/>
  <c r="H96" i="3"/>
  <c r="C88" i="4"/>
  <c r="G94" i="3"/>
  <c r="E88" i="4" s="1"/>
  <c r="Q98" i="3"/>
  <c r="O92" i="4" s="1"/>
  <c r="L98" i="3"/>
  <c r="J92" i="4" s="1"/>
  <c r="I98" i="3"/>
  <c r="G92" i="4" s="1"/>
  <c r="S98" i="3"/>
  <c r="Q92" i="4" s="1"/>
  <c r="P98" i="3"/>
  <c r="N92" i="4" s="1"/>
  <c r="J98" i="3"/>
  <c r="H92" i="4" s="1"/>
  <c r="B89" i="4"/>
  <c r="X95" i="3"/>
  <c r="Y95" i="3" s="1"/>
  <c r="D95" i="3"/>
  <c r="Z94" i="3"/>
  <c r="D96" i="3"/>
  <c r="C97" i="3"/>
  <c r="H88" i="7"/>
  <c r="Q90" i="7"/>
  <c r="E89" i="7"/>
  <c r="G89" i="7"/>
  <c r="K92" i="7"/>
  <c r="F90" i="7"/>
  <c r="I92" i="7"/>
  <c r="D91" i="7"/>
  <c r="A92" i="7"/>
  <c r="L92" i="7"/>
  <c r="A91" i="4"/>
  <c r="A98" i="3"/>
  <c r="E96" i="3" l="1"/>
  <c r="F90" i="4"/>
  <c r="M99" i="3"/>
  <c r="K93" i="4" s="1"/>
  <c r="O99" i="3"/>
  <c r="M93" i="4" s="1"/>
  <c r="N99" i="3"/>
  <c r="L93" i="4" s="1"/>
  <c r="R99" i="3"/>
  <c r="P93" i="4" s="1"/>
  <c r="T99" i="3"/>
  <c r="R93" i="4" s="1"/>
  <c r="K99" i="3"/>
  <c r="I93" i="4" s="1"/>
  <c r="U94" i="3"/>
  <c r="F94" i="3"/>
  <c r="D88" i="4" s="1"/>
  <c r="H97" i="3"/>
  <c r="C90" i="4"/>
  <c r="C89" i="4"/>
  <c r="S99" i="3"/>
  <c r="Q93" i="4" s="1"/>
  <c r="P99" i="3"/>
  <c r="N93" i="4" s="1"/>
  <c r="J99" i="3"/>
  <c r="H93" i="4" s="1"/>
  <c r="Q99" i="3"/>
  <c r="O93" i="4" s="1"/>
  <c r="L99" i="3"/>
  <c r="J93" i="4" s="1"/>
  <c r="I99" i="3"/>
  <c r="G93" i="4" s="1"/>
  <c r="G95" i="3"/>
  <c r="E89" i="4" s="1"/>
  <c r="Z95" i="3"/>
  <c r="X96" i="3"/>
  <c r="Y96" i="3" s="1"/>
  <c r="Z96" i="3" s="1"/>
  <c r="B90" i="4"/>
  <c r="X97" i="3"/>
  <c r="Y97" i="3" s="1"/>
  <c r="V96" i="3"/>
  <c r="W96" i="3" s="1"/>
  <c r="G96" i="3" s="1"/>
  <c r="E90" i="4" s="1"/>
  <c r="C98" i="3"/>
  <c r="H89" i="7"/>
  <c r="Q91" i="7"/>
  <c r="E90" i="7"/>
  <c r="G90" i="7"/>
  <c r="K93" i="7"/>
  <c r="A93" i="7"/>
  <c r="L93" i="7"/>
  <c r="I93" i="7"/>
  <c r="D92" i="7"/>
  <c r="F91" i="7"/>
  <c r="A99" i="3"/>
  <c r="Q100" i="3" s="1"/>
  <c r="A92" i="4"/>
  <c r="E97" i="3" l="1"/>
  <c r="F91" i="4"/>
  <c r="O94" i="4"/>
  <c r="O100" i="3"/>
  <c r="M94" i="4" s="1"/>
  <c r="M100" i="3"/>
  <c r="K94" i="4" s="1"/>
  <c r="N100" i="3"/>
  <c r="L94" i="4" s="1"/>
  <c r="R100" i="3"/>
  <c r="P94" i="4" s="1"/>
  <c r="K100" i="3"/>
  <c r="U95" i="3"/>
  <c r="F95" i="3"/>
  <c r="D89" i="4" s="1"/>
  <c r="U96" i="3"/>
  <c r="F96" i="3"/>
  <c r="D90" i="4" s="1"/>
  <c r="H98" i="3"/>
  <c r="V97" i="3"/>
  <c r="W97" i="3" s="1"/>
  <c r="L100" i="3"/>
  <c r="J94" i="4" s="1"/>
  <c r="I100" i="3"/>
  <c r="G94" i="4" s="1"/>
  <c r="P100" i="3"/>
  <c r="N94" i="4" s="1"/>
  <c r="J100" i="3"/>
  <c r="H94" i="4" s="1"/>
  <c r="D97" i="3"/>
  <c r="B91" i="4"/>
  <c r="D98" i="3"/>
  <c r="C99" i="3"/>
  <c r="H90" i="7"/>
  <c r="Q92" i="7"/>
  <c r="E91" i="7"/>
  <c r="G91" i="7"/>
  <c r="L91" i="7" s="1"/>
  <c r="K94" i="7"/>
  <c r="L94" i="7"/>
  <c r="I94" i="7"/>
  <c r="D93" i="7"/>
  <c r="F92" i="7"/>
  <c r="A94" i="7"/>
  <c r="A100" i="3"/>
  <c r="A93" i="4"/>
  <c r="E98" i="3" l="1"/>
  <c r="F92" i="4"/>
  <c r="I94" i="4"/>
  <c r="O101" i="3"/>
  <c r="M95" i="4" s="1"/>
  <c r="M101" i="3"/>
  <c r="K95" i="4" s="1"/>
  <c r="N101" i="3"/>
  <c r="L95" i="4" s="1"/>
  <c r="R101" i="3"/>
  <c r="P95" i="4" s="1"/>
  <c r="K101" i="3"/>
  <c r="I95" i="4" s="1"/>
  <c r="T101" i="3"/>
  <c r="R95" i="4" s="1"/>
  <c r="H99" i="3"/>
  <c r="C92" i="4"/>
  <c r="C91" i="4"/>
  <c r="AD8" i="3"/>
  <c r="S101" i="3"/>
  <c r="Q95" i="4" s="1"/>
  <c r="P101" i="3"/>
  <c r="N95" i="4" s="1"/>
  <c r="J101" i="3"/>
  <c r="H95" i="4" s="1"/>
  <c r="Q101" i="3"/>
  <c r="O95" i="4" s="1"/>
  <c r="L101" i="3"/>
  <c r="J95" i="4" s="1"/>
  <c r="I101" i="3"/>
  <c r="G95" i="4" s="1"/>
  <c r="G97" i="3"/>
  <c r="E91" i="4" s="1"/>
  <c r="Z97" i="3"/>
  <c r="B92" i="4"/>
  <c r="X98" i="3"/>
  <c r="Y98" i="3" s="1"/>
  <c r="Z98" i="3" s="1"/>
  <c r="X99" i="3"/>
  <c r="Y99" i="3" s="1"/>
  <c r="V98" i="3"/>
  <c r="W98" i="3" s="1"/>
  <c r="C100" i="3"/>
  <c r="Q93" i="7"/>
  <c r="G92" i="7"/>
  <c r="E92" i="7"/>
  <c r="K95" i="7"/>
  <c r="F93" i="7"/>
  <c r="A95" i="7"/>
  <c r="I95" i="7"/>
  <c r="D94" i="7"/>
  <c r="L95" i="7"/>
  <c r="A94" i="4"/>
  <c r="A101" i="3"/>
  <c r="E99" i="3" l="1"/>
  <c r="F93" i="4"/>
  <c r="O102" i="3"/>
  <c r="M96" i="4" s="1"/>
  <c r="N102" i="3"/>
  <c r="L96" i="4" s="1"/>
  <c r="M102" i="3"/>
  <c r="K96" i="4" s="1"/>
  <c r="R102" i="3"/>
  <c r="P96" i="4" s="1"/>
  <c r="K102" i="3"/>
  <c r="I96" i="4" s="1"/>
  <c r="T102" i="3"/>
  <c r="R96" i="4" s="1"/>
  <c r="U97" i="3"/>
  <c r="F97" i="3"/>
  <c r="D91" i="4" s="1"/>
  <c r="H100" i="3"/>
  <c r="Q102" i="3"/>
  <c r="O96" i="4" s="1"/>
  <c r="L102" i="3"/>
  <c r="J96" i="4" s="1"/>
  <c r="I102" i="3"/>
  <c r="G96" i="4" s="1"/>
  <c r="S102" i="3"/>
  <c r="Q96" i="4" s="1"/>
  <c r="P102" i="3"/>
  <c r="N96" i="4" s="1"/>
  <c r="J102" i="3"/>
  <c r="H96" i="4" s="1"/>
  <c r="G98" i="3"/>
  <c r="E92" i="4" s="1"/>
  <c r="V99" i="3"/>
  <c r="W99" i="3" s="1"/>
  <c r="B93" i="4"/>
  <c r="D99" i="3"/>
  <c r="D100" i="3"/>
  <c r="C101" i="3"/>
  <c r="H92" i="7"/>
  <c r="Q94" i="7"/>
  <c r="E93" i="7"/>
  <c r="G93" i="7"/>
  <c r="L96" i="7"/>
  <c r="I96" i="7"/>
  <c r="D95" i="7"/>
  <c r="F94" i="7"/>
  <c r="A96" i="7"/>
  <c r="K96" i="7"/>
  <c r="A102" i="3"/>
  <c r="A95" i="4"/>
  <c r="E100" i="3" l="1"/>
  <c r="F94" i="4"/>
  <c r="O103" i="3"/>
  <c r="M97" i="4" s="1"/>
  <c r="N103" i="3"/>
  <c r="L97" i="4" s="1"/>
  <c r="M103" i="3"/>
  <c r="K97" i="4" s="1"/>
  <c r="R103" i="3"/>
  <c r="P97" i="4" s="1"/>
  <c r="K103" i="3"/>
  <c r="I97" i="4" s="1"/>
  <c r="T103" i="3"/>
  <c r="R97" i="4" s="1"/>
  <c r="U98" i="3"/>
  <c r="F98" i="3"/>
  <c r="D92" i="4" s="1"/>
  <c r="H101" i="3"/>
  <c r="C94" i="4"/>
  <c r="C93" i="4"/>
  <c r="G99" i="3"/>
  <c r="E93" i="4" s="1"/>
  <c r="S103" i="3"/>
  <c r="Q97" i="4" s="1"/>
  <c r="P103" i="3"/>
  <c r="N97" i="4" s="1"/>
  <c r="J103" i="3"/>
  <c r="H97" i="4" s="1"/>
  <c r="Q103" i="3"/>
  <c r="O97" i="4" s="1"/>
  <c r="L103" i="3"/>
  <c r="J97" i="4" s="1"/>
  <c r="I103" i="3"/>
  <c r="G97" i="4" s="1"/>
  <c r="B94" i="4"/>
  <c r="X100" i="3"/>
  <c r="Y100" i="3" s="1"/>
  <c r="Z100" i="3" s="1"/>
  <c r="X101" i="3"/>
  <c r="Y101" i="3" s="1"/>
  <c r="V100" i="3"/>
  <c r="W100" i="3" s="1"/>
  <c r="Z99" i="3"/>
  <c r="C102" i="3"/>
  <c r="H93" i="7"/>
  <c r="Q95" i="7"/>
  <c r="E94" i="7"/>
  <c r="G94" i="7"/>
  <c r="K97" i="7"/>
  <c r="L97" i="7"/>
  <c r="I97" i="7"/>
  <c r="D96" i="7"/>
  <c r="F95" i="7"/>
  <c r="A97" i="7"/>
  <c r="A103" i="3"/>
  <c r="A96" i="4"/>
  <c r="E101" i="3" l="1"/>
  <c r="F95" i="4"/>
  <c r="O104" i="3"/>
  <c r="M98" i="4" s="1"/>
  <c r="N104" i="3"/>
  <c r="L98" i="4" s="1"/>
  <c r="M104" i="3"/>
  <c r="K98" i="4" s="1"/>
  <c r="R104" i="3"/>
  <c r="P98" i="4" s="1"/>
  <c r="K104" i="3"/>
  <c r="I98" i="4" s="1"/>
  <c r="T104" i="3"/>
  <c r="R98" i="4" s="1"/>
  <c r="U99" i="3"/>
  <c r="F99" i="3"/>
  <c r="D93" i="4" s="1"/>
  <c r="H102" i="3"/>
  <c r="G100" i="3"/>
  <c r="E94" i="4" s="1"/>
  <c r="Q104" i="3"/>
  <c r="O98" i="4" s="1"/>
  <c r="L104" i="3"/>
  <c r="J98" i="4" s="1"/>
  <c r="I104" i="3"/>
  <c r="G98" i="4" s="1"/>
  <c r="S104" i="3"/>
  <c r="Q98" i="4" s="1"/>
  <c r="P104" i="3"/>
  <c r="N98" i="4" s="1"/>
  <c r="J104" i="3"/>
  <c r="H98" i="4" s="1"/>
  <c r="B95" i="4"/>
  <c r="V101" i="3"/>
  <c r="W101" i="3" s="1"/>
  <c r="D101" i="3"/>
  <c r="X102" i="3"/>
  <c r="Y102" i="3" s="1"/>
  <c r="C103" i="3"/>
  <c r="H94" i="7"/>
  <c r="Q96" i="7"/>
  <c r="E95" i="7"/>
  <c r="G95" i="7"/>
  <c r="K98" i="7"/>
  <c r="I98" i="7"/>
  <c r="D97" i="7"/>
  <c r="F96" i="7"/>
  <c r="A98" i="7"/>
  <c r="L98" i="7"/>
  <c r="A104" i="3"/>
  <c r="A97" i="4"/>
  <c r="E102" i="3" l="1"/>
  <c r="F96" i="4"/>
  <c r="F100" i="3"/>
  <c r="D94" i="4" s="1"/>
  <c r="T100" i="3"/>
  <c r="R94" i="4" s="1"/>
  <c r="M105" i="3"/>
  <c r="K99" i="4" s="1"/>
  <c r="O105" i="3"/>
  <c r="M99" i="4" s="1"/>
  <c r="N105" i="3"/>
  <c r="L99" i="4" s="1"/>
  <c r="R105" i="3"/>
  <c r="P99" i="4" s="1"/>
  <c r="T105" i="3"/>
  <c r="R99" i="4" s="1"/>
  <c r="K105" i="3"/>
  <c r="I99" i="4" s="1"/>
  <c r="H103" i="3"/>
  <c r="C95" i="4"/>
  <c r="S105" i="3"/>
  <c r="Q99" i="4" s="1"/>
  <c r="P105" i="3"/>
  <c r="N99" i="4" s="1"/>
  <c r="J105" i="3"/>
  <c r="H99" i="4" s="1"/>
  <c r="Q105" i="3"/>
  <c r="O99" i="4" s="1"/>
  <c r="L105" i="3"/>
  <c r="J99" i="4" s="1"/>
  <c r="I105" i="3"/>
  <c r="G99" i="4" s="1"/>
  <c r="G101" i="3"/>
  <c r="E95" i="4" s="1"/>
  <c r="B96" i="4"/>
  <c r="D102" i="3"/>
  <c r="V102" i="3"/>
  <c r="W102" i="3" s="1"/>
  <c r="D103" i="3"/>
  <c r="Z101" i="3"/>
  <c r="C104" i="3"/>
  <c r="H95" i="7"/>
  <c r="Q97" i="7"/>
  <c r="G96" i="7"/>
  <c r="E96" i="7"/>
  <c r="K99" i="7"/>
  <c r="F97" i="7"/>
  <c r="A99" i="7"/>
  <c r="L99" i="7"/>
  <c r="I99" i="7"/>
  <c r="D98" i="7"/>
  <c r="A105" i="3"/>
  <c r="A98" i="4"/>
  <c r="E103" i="3" l="1"/>
  <c r="F97" i="4"/>
  <c r="M106" i="3"/>
  <c r="K100" i="4" s="1"/>
  <c r="O106" i="3"/>
  <c r="M100" i="4" s="1"/>
  <c r="N106" i="3"/>
  <c r="L100" i="4" s="1"/>
  <c r="R106" i="3"/>
  <c r="P100" i="4" s="1"/>
  <c r="T106" i="3"/>
  <c r="R100" i="4" s="1"/>
  <c r="K106" i="3"/>
  <c r="I100" i="4" s="1"/>
  <c r="U101" i="3"/>
  <c r="F101" i="3"/>
  <c r="D95" i="4" s="1"/>
  <c r="H104" i="3"/>
  <c r="C96" i="4"/>
  <c r="C97" i="4"/>
  <c r="G102" i="3"/>
  <c r="E96" i="4" s="1"/>
  <c r="Q106" i="3"/>
  <c r="O100" i="4" s="1"/>
  <c r="L106" i="3"/>
  <c r="J100" i="4" s="1"/>
  <c r="I106" i="3"/>
  <c r="G100" i="4" s="1"/>
  <c r="S106" i="3"/>
  <c r="Q100" i="4" s="1"/>
  <c r="P106" i="3"/>
  <c r="N100" i="4" s="1"/>
  <c r="J106" i="3"/>
  <c r="H100" i="4" s="1"/>
  <c r="Z102" i="3"/>
  <c r="X103" i="3"/>
  <c r="Y103" i="3" s="1"/>
  <c r="Z103" i="3" s="1"/>
  <c r="V103" i="3"/>
  <c r="W103" i="3" s="1"/>
  <c r="B97" i="4"/>
  <c r="V104" i="3"/>
  <c r="W104" i="3" s="1"/>
  <c r="C105" i="3"/>
  <c r="H96" i="7"/>
  <c r="Q98" i="7"/>
  <c r="G97" i="7"/>
  <c r="E97" i="7"/>
  <c r="K100" i="7"/>
  <c r="L100" i="7"/>
  <c r="F98" i="7"/>
  <c r="A100" i="7"/>
  <c r="I100" i="7"/>
  <c r="D99" i="7"/>
  <c r="A99" i="4"/>
  <c r="A106" i="3"/>
  <c r="E104" i="3" l="1"/>
  <c r="F98" i="4"/>
  <c r="M107" i="3"/>
  <c r="K101" i="4" s="1"/>
  <c r="O107" i="3"/>
  <c r="M101" i="4" s="1"/>
  <c r="N107" i="3"/>
  <c r="L101" i="4" s="1"/>
  <c r="R107" i="3"/>
  <c r="P101" i="4" s="1"/>
  <c r="T107" i="3"/>
  <c r="R101" i="4" s="1"/>
  <c r="K107" i="3"/>
  <c r="I101" i="4" s="1"/>
  <c r="U102" i="3"/>
  <c r="F102" i="3"/>
  <c r="D96" i="4" s="1"/>
  <c r="H105" i="3"/>
  <c r="S107" i="3"/>
  <c r="Q101" i="4" s="1"/>
  <c r="P107" i="3"/>
  <c r="N101" i="4" s="1"/>
  <c r="J107" i="3"/>
  <c r="H101" i="4" s="1"/>
  <c r="Q107" i="3"/>
  <c r="O101" i="4" s="1"/>
  <c r="L107" i="3"/>
  <c r="J101" i="4" s="1"/>
  <c r="I107" i="3"/>
  <c r="G101" i="4" s="1"/>
  <c r="G103" i="3"/>
  <c r="E97" i="4" s="1"/>
  <c r="B98" i="4"/>
  <c r="D104" i="3"/>
  <c r="X104" i="3"/>
  <c r="Y104" i="3" s="1"/>
  <c r="D105" i="3"/>
  <c r="C106" i="3"/>
  <c r="H97" i="7"/>
  <c r="Q99" i="7"/>
  <c r="G98" i="7"/>
  <c r="E98" i="7"/>
  <c r="K101" i="7"/>
  <c r="A101" i="7"/>
  <c r="L101" i="7"/>
  <c r="I101" i="7"/>
  <c r="D100" i="7"/>
  <c r="F99" i="7"/>
  <c r="A100" i="4"/>
  <c r="A107" i="3"/>
  <c r="E105" i="3" l="1"/>
  <c r="F99" i="4"/>
  <c r="O108" i="3"/>
  <c r="M102" i="4" s="1"/>
  <c r="M108" i="3"/>
  <c r="K102" i="4" s="1"/>
  <c r="N108" i="3"/>
  <c r="L102" i="4" s="1"/>
  <c r="R108" i="3"/>
  <c r="P102" i="4" s="1"/>
  <c r="K108" i="3"/>
  <c r="I102" i="4" s="1"/>
  <c r="T108" i="3"/>
  <c r="R102" i="4" s="1"/>
  <c r="U103" i="3"/>
  <c r="F103" i="3"/>
  <c r="D97" i="4" s="1"/>
  <c r="H106" i="3"/>
  <c r="C99" i="4"/>
  <c r="C98" i="4"/>
  <c r="Q108" i="3"/>
  <c r="O102" i="4" s="1"/>
  <c r="L108" i="3"/>
  <c r="J102" i="4" s="1"/>
  <c r="I108" i="3"/>
  <c r="G102" i="4" s="1"/>
  <c r="S108" i="3"/>
  <c r="Q102" i="4" s="1"/>
  <c r="P108" i="3"/>
  <c r="N102" i="4" s="1"/>
  <c r="J108" i="3"/>
  <c r="H102" i="4" s="1"/>
  <c r="Z104" i="3"/>
  <c r="G104" i="3" s="1"/>
  <c r="E98" i="4" s="1"/>
  <c r="V105" i="3"/>
  <c r="W105" i="3" s="1"/>
  <c r="X105" i="3"/>
  <c r="Y105" i="3" s="1"/>
  <c r="Z105" i="3" s="1"/>
  <c r="X106" i="3"/>
  <c r="Y106" i="3" s="1"/>
  <c r="B99" i="4"/>
  <c r="C107" i="3"/>
  <c r="H98" i="7"/>
  <c r="Q100" i="7"/>
  <c r="E99" i="7"/>
  <c r="G99" i="7"/>
  <c r="I102" i="7"/>
  <c r="K102" i="7"/>
  <c r="F100" i="7"/>
  <c r="A102" i="7"/>
  <c r="D101" i="7"/>
  <c r="L102" i="7"/>
  <c r="A101" i="4"/>
  <c r="A108" i="3"/>
  <c r="E106" i="3" l="1"/>
  <c r="F100" i="4"/>
  <c r="O109" i="3"/>
  <c r="M103" i="4" s="1"/>
  <c r="M109" i="3"/>
  <c r="K103" i="4" s="1"/>
  <c r="N109" i="3"/>
  <c r="L103" i="4" s="1"/>
  <c r="R109" i="3"/>
  <c r="P103" i="4" s="1"/>
  <c r="K109" i="3"/>
  <c r="I103" i="4" s="1"/>
  <c r="T109" i="3"/>
  <c r="R103" i="4" s="1"/>
  <c r="U104" i="3"/>
  <c r="F104" i="3"/>
  <c r="D98" i="4" s="1"/>
  <c r="H107" i="3"/>
  <c r="S109" i="3"/>
  <c r="Q103" i="4" s="1"/>
  <c r="P109" i="3"/>
  <c r="N103" i="4" s="1"/>
  <c r="J109" i="3"/>
  <c r="H103" i="4" s="1"/>
  <c r="Q109" i="3"/>
  <c r="O103" i="4" s="1"/>
  <c r="L109" i="3"/>
  <c r="J103" i="4" s="1"/>
  <c r="I109" i="3"/>
  <c r="G103" i="4" s="1"/>
  <c r="G105" i="3"/>
  <c r="E99" i="4" s="1"/>
  <c r="V106" i="3"/>
  <c r="W106" i="3" s="1"/>
  <c r="D106" i="3"/>
  <c r="B100" i="4"/>
  <c r="D107" i="3"/>
  <c r="C108" i="3"/>
  <c r="H99" i="7"/>
  <c r="Q101" i="7"/>
  <c r="G100" i="7"/>
  <c r="E100" i="7"/>
  <c r="D102" i="7"/>
  <c r="I103" i="7"/>
  <c r="A103" i="7"/>
  <c r="F101" i="7"/>
  <c r="A102" i="4"/>
  <c r="A109" i="3"/>
  <c r="E107" i="3" l="1"/>
  <c r="F101" i="4"/>
  <c r="O110" i="3"/>
  <c r="M104" i="4" s="1"/>
  <c r="N110" i="3"/>
  <c r="L104" i="4" s="1"/>
  <c r="M110" i="3"/>
  <c r="K104" i="4" s="1"/>
  <c r="R110" i="3"/>
  <c r="P104" i="4" s="1"/>
  <c r="K110" i="3"/>
  <c r="I104" i="4" s="1"/>
  <c r="T110" i="3"/>
  <c r="R104" i="4" s="1"/>
  <c r="U105" i="3"/>
  <c r="F105" i="3"/>
  <c r="D99" i="4" s="1"/>
  <c r="H108" i="3"/>
  <c r="C100" i="4"/>
  <c r="C101" i="4"/>
  <c r="Q110" i="3"/>
  <c r="O104" i="4" s="1"/>
  <c r="L110" i="3"/>
  <c r="J104" i="4" s="1"/>
  <c r="I110" i="3"/>
  <c r="G104" i="4" s="1"/>
  <c r="S110" i="3"/>
  <c r="Q104" i="4" s="1"/>
  <c r="P110" i="3"/>
  <c r="N104" i="4" s="1"/>
  <c r="J110" i="3"/>
  <c r="H104" i="4" s="1"/>
  <c r="B101" i="4"/>
  <c r="V107" i="3"/>
  <c r="W107" i="3" s="1"/>
  <c r="Z106" i="3"/>
  <c r="G106" i="3" s="1"/>
  <c r="E100" i="4" s="1"/>
  <c r="D108" i="3"/>
  <c r="X107" i="3"/>
  <c r="Y107" i="3" s="1"/>
  <c r="Z107" i="3" s="1"/>
  <c r="C109" i="3"/>
  <c r="H100" i="7"/>
  <c r="Q102" i="7"/>
  <c r="G101" i="7"/>
  <c r="E101" i="7"/>
  <c r="F102" i="7"/>
  <c r="A110" i="3"/>
  <c r="A103" i="4"/>
  <c r="E108" i="3" l="1"/>
  <c r="F102" i="4"/>
  <c r="O111" i="3"/>
  <c r="M105" i="4" s="1"/>
  <c r="N111" i="3"/>
  <c r="L105" i="4" s="1"/>
  <c r="M111" i="3"/>
  <c r="K105" i="4" s="1"/>
  <c r="R111" i="3"/>
  <c r="P105" i="4" s="1"/>
  <c r="K111" i="3"/>
  <c r="I105" i="4" s="1"/>
  <c r="T111" i="3"/>
  <c r="R105" i="4" s="1"/>
  <c r="U106" i="3"/>
  <c r="F106" i="3"/>
  <c r="D100" i="4" s="1"/>
  <c r="H109" i="3"/>
  <c r="C102" i="4"/>
  <c r="S111" i="3"/>
  <c r="Q105" i="4" s="1"/>
  <c r="P111" i="3"/>
  <c r="N105" i="4" s="1"/>
  <c r="J111" i="3"/>
  <c r="H105" i="4" s="1"/>
  <c r="Q111" i="3"/>
  <c r="O105" i="4" s="1"/>
  <c r="L111" i="3"/>
  <c r="J105" i="4" s="1"/>
  <c r="I111" i="3"/>
  <c r="G105" i="4" s="1"/>
  <c r="G107" i="3"/>
  <c r="E101" i="4" s="1"/>
  <c r="V108" i="3"/>
  <c r="W108" i="3" s="1"/>
  <c r="B102" i="4"/>
  <c r="D109" i="3"/>
  <c r="X108" i="3"/>
  <c r="Y108" i="3" s="1"/>
  <c r="Z108" i="3" s="1"/>
  <c r="C110" i="3"/>
  <c r="H101" i="7"/>
  <c r="F103" i="7"/>
  <c r="G102" i="7"/>
  <c r="E102" i="7"/>
  <c r="A104" i="4"/>
  <c r="A111" i="3"/>
  <c r="Q112" i="3" s="1"/>
  <c r="E109" i="3" l="1"/>
  <c r="F103" i="4"/>
  <c r="AC9" i="3"/>
  <c r="O106" i="4"/>
  <c r="O112" i="3"/>
  <c r="M106" i="4" s="1"/>
  <c r="N112" i="3"/>
  <c r="L106" i="4" s="1"/>
  <c r="M112" i="3"/>
  <c r="K106" i="4" s="1"/>
  <c r="R112" i="3"/>
  <c r="P106" i="4" s="1"/>
  <c r="K112" i="3"/>
  <c r="U107" i="3"/>
  <c r="F107" i="3"/>
  <c r="D101" i="4" s="1"/>
  <c r="H110" i="3"/>
  <c r="C103" i="4"/>
  <c r="V109" i="3"/>
  <c r="W109" i="3" s="1"/>
  <c r="G109" i="3" s="1"/>
  <c r="E103" i="4" s="1"/>
  <c r="L112" i="3"/>
  <c r="J106" i="4" s="1"/>
  <c r="I112" i="3"/>
  <c r="G106" i="4" s="1"/>
  <c r="P112" i="3"/>
  <c r="N106" i="4" s="1"/>
  <c r="J112" i="3"/>
  <c r="H106" i="4" s="1"/>
  <c r="G108" i="3"/>
  <c r="E102" i="4" s="1"/>
  <c r="B103" i="4"/>
  <c r="X109" i="3"/>
  <c r="Y109" i="3" s="1"/>
  <c r="Z109" i="3" s="1"/>
  <c r="D110" i="3"/>
  <c r="C111" i="3"/>
  <c r="G103" i="7"/>
  <c r="H102" i="7"/>
  <c r="A112" i="3"/>
  <c r="A105" i="4"/>
  <c r="E110" i="3" l="1"/>
  <c r="F104" i="4"/>
  <c r="I106" i="4"/>
  <c r="M113" i="3"/>
  <c r="K107" i="4" s="1"/>
  <c r="O113" i="3"/>
  <c r="M107" i="4" s="1"/>
  <c r="N113" i="3"/>
  <c r="L107" i="4" s="1"/>
  <c r="R113" i="3"/>
  <c r="P107" i="4" s="1"/>
  <c r="K113" i="3"/>
  <c r="I107" i="4" s="1"/>
  <c r="T113" i="3"/>
  <c r="R107" i="4" s="1"/>
  <c r="U108" i="3"/>
  <c r="F108" i="3"/>
  <c r="D102" i="4" s="1"/>
  <c r="U109" i="3"/>
  <c r="F109" i="3"/>
  <c r="D103" i="4" s="1"/>
  <c r="H111" i="3"/>
  <c r="C104" i="4"/>
  <c r="AD9" i="3"/>
  <c r="S113" i="3"/>
  <c r="Q107" i="4" s="1"/>
  <c r="P113" i="3"/>
  <c r="N107" i="4" s="1"/>
  <c r="J113" i="3"/>
  <c r="H107" i="4" s="1"/>
  <c r="Q113" i="3"/>
  <c r="O107" i="4" s="1"/>
  <c r="L113" i="3"/>
  <c r="J107" i="4" s="1"/>
  <c r="I113" i="3"/>
  <c r="G107" i="4" s="1"/>
  <c r="B104" i="4"/>
  <c r="V110" i="3"/>
  <c r="W110" i="3" s="1"/>
  <c r="B105" i="4"/>
  <c r="X110" i="3"/>
  <c r="Y110" i="3" s="1"/>
  <c r="Z110" i="3" s="1"/>
  <c r="A113" i="3"/>
  <c r="A106" i="4"/>
  <c r="C112" i="3"/>
  <c r="L103" i="7"/>
  <c r="E111" i="3" l="1"/>
  <c r="F105" i="4"/>
  <c r="M114" i="3"/>
  <c r="K108" i="4" s="1"/>
  <c r="O114" i="3"/>
  <c r="M108" i="4" s="1"/>
  <c r="N114" i="3"/>
  <c r="L108" i="4" s="1"/>
  <c r="R114" i="3"/>
  <c r="P108" i="4" s="1"/>
  <c r="T114" i="3"/>
  <c r="R108" i="4" s="1"/>
  <c r="K114" i="3"/>
  <c r="I108" i="4" s="1"/>
  <c r="H112" i="3"/>
  <c r="Q114" i="3"/>
  <c r="O108" i="4" s="1"/>
  <c r="L114" i="3"/>
  <c r="J108" i="4" s="1"/>
  <c r="I114" i="3"/>
  <c r="G108" i="4" s="1"/>
  <c r="S114" i="3"/>
  <c r="Q108" i="4" s="1"/>
  <c r="P114" i="3"/>
  <c r="N108" i="4" s="1"/>
  <c r="J114" i="3"/>
  <c r="H108" i="4" s="1"/>
  <c r="G110" i="3"/>
  <c r="E104" i="4" s="1"/>
  <c r="V111" i="3"/>
  <c r="W111" i="3" s="1"/>
  <c r="X111" i="3"/>
  <c r="Y111" i="3" s="1"/>
  <c r="D111" i="3"/>
  <c r="V112" i="3"/>
  <c r="W112" i="3" s="1"/>
  <c r="B106" i="4"/>
  <c r="X112" i="3"/>
  <c r="Y112" i="3" s="1"/>
  <c r="D112" i="3"/>
  <c r="A114" i="3"/>
  <c r="A107" i="4"/>
  <c r="C113" i="3"/>
  <c r="E112" i="3" l="1"/>
  <c r="F106" i="4"/>
  <c r="M115" i="3"/>
  <c r="K109" i="4" s="1"/>
  <c r="O115" i="3"/>
  <c r="M109" i="4" s="1"/>
  <c r="N115" i="3"/>
  <c r="L109" i="4" s="1"/>
  <c r="R115" i="3"/>
  <c r="P109" i="4" s="1"/>
  <c r="T115" i="3"/>
  <c r="R109" i="4" s="1"/>
  <c r="K115" i="3"/>
  <c r="I109" i="4" s="1"/>
  <c r="U110" i="3"/>
  <c r="F110" i="3"/>
  <c r="D104" i="4" s="1"/>
  <c r="H113" i="3"/>
  <c r="C105" i="4"/>
  <c r="C106" i="4"/>
  <c r="Z112" i="3"/>
  <c r="S115" i="3"/>
  <c r="Q109" i="4" s="1"/>
  <c r="P115" i="3"/>
  <c r="N109" i="4" s="1"/>
  <c r="J115" i="3"/>
  <c r="H109" i="4" s="1"/>
  <c r="Q115" i="3"/>
  <c r="O109" i="4" s="1"/>
  <c r="L115" i="3"/>
  <c r="J109" i="4" s="1"/>
  <c r="I115" i="3"/>
  <c r="G109" i="4" s="1"/>
  <c r="G111" i="3"/>
  <c r="E105" i="4" s="1"/>
  <c r="Z111" i="3"/>
  <c r="B107" i="4"/>
  <c r="X113" i="3"/>
  <c r="Y113" i="3" s="1"/>
  <c r="V113" i="3"/>
  <c r="W113" i="3" s="1"/>
  <c r="D113" i="3"/>
  <c r="A115" i="3"/>
  <c r="A108" i="4"/>
  <c r="C114" i="3"/>
  <c r="E113" i="3" l="1"/>
  <c r="F107" i="4"/>
  <c r="O116" i="3"/>
  <c r="M110" i="4" s="1"/>
  <c r="M116" i="3"/>
  <c r="K110" i="4" s="1"/>
  <c r="N116" i="3"/>
  <c r="L110" i="4" s="1"/>
  <c r="R116" i="3"/>
  <c r="P110" i="4" s="1"/>
  <c r="K116" i="3"/>
  <c r="I110" i="4" s="1"/>
  <c r="T116" i="3"/>
  <c r="R110" i="4" s="1"/>
  <c r="U111" i="3"/>
  <c r="F111" i="3"/>
  <c r="D105" i="4" s="1"/>
  <c r="H114" i="3"/>
  <c r="G112" i="3"/>
  <c r="E106" i="4" s="1"/>
  <c r="C107" i="4"/>
  <c r="Z113" i="3"/>
  <c r="Q116" i="3"/>
  <c r="O110" i="4" s="1"/>
  <c r="L116" i="3"/>
  <c r="J110" i="4" s="1"/>
  <c r="I116" i="3"/>
  <c r="G110" i="4" s="1"/>
  <c r="S116" i="3"/>
  <c r="Q110" i="4" s="1"/>
  <c r="P116" i="3"/>
  <c r="N110" i="4" s="1"/>
  <c r="J116" i="3"/>
  <c r="H110" i="4" s="1"/>
  <c r="G113" i="3"/>
  <c r="E107" i="4" s="1"/>
  <c r="D114" i="3"/>
  <c r="A116" i="3"/>
  <c r="A109" i="4"/>
  <c r="C115" i="3"/>
  <c r="B108" i="4"/>
  <c r="E114" i="3" l="1"/>
  <c r="F108" i="4"/>
  <c r="F112" i="3"/>
  <c r="D106" i="4" s="1"/>
  <c r="T112" i="3"/>
  <c r="R106" i="4" s="1"/>
  <c r="O117" i="3"/>
  <c r="M111" i="4" s="1"/>
  <c r="M117" i="3"/>
  <c r="K111" i="4" s="1"/>
  <c r="N117" i="3"/>
  <c r="L111" i="4" s="1"/>
  <c r="R117" i="3"/>
  <c r="P111" i="4" s="1"/>
  <c r="K117" i="3"/>
  <c r="I111" i="4" s="1"/>
  <c r="T117" i="3"/>
  <c r="R111" i="4" s="1"/>
  <c r="U113" i="3"/>
  <c r="F113" i="3"/>
  <c r="D107" i="4" s="1"/>
  <c r="H115" i="3"/>
  <c r="C108" i="4"/>
  <c r="S117" i="3"/>
  <c r="Q111" i="4" s="1"/>
  <c r="P117" i="3"/>
  <c r="N111" i="4" s="1"/>
  <c r="J117" i="3"/>
  <c r="H111" i="4" s="1"/>
  <c r="Q117" i="3"/>
  <c r="O111" i="4" s="1"/>
  <c r="L117" i="3"/>
  <c r="J111" i="4" s="1"/>
  <c r="I117" i="3"/>
  <c r="G111" i="4" s="1"/>
  <c r="V114" i="3"/>
  <c r="W114" i="3" s="1"/>
  <c r="X114" i="3"/>
  <c r="Y114" i="3" s="1"/>
  <c r="Z114" i="3" s="1"/>
  <c r="D115" i="3"/>
  <c r="A117" i="3"/>
  <c r="A110" i="4"/>
  <c r="C116" i="3"/>
  <c r="E115" i="3" l="1"/>
  <c r="F109" i="4"/>
  <c r="O118" i="3"/>
  <c r="M112" i="4" s="1"/>
  <c r="N118" i="3"/>
  <c r="L112" i="4" s="1"/>
  <c r="M118" i="3"/>
  <c r="K112" i="4" s="1"/>
  <c r="R118" i="3"/>
  <c r="P112" i="4" s="1"/>
  <c r="T118" i="3"/>
  <c r="R112" i="4" s="1"/>
  <c r="K118" i="3"/>
  <c r="I112" i="4" s="1"/>
  <c r="H116" i="3"/>
  <c r="C109" i="4"/>
  <c r="Q118" i="3"/>
  <c r="O112" i="4" s="1"/>
  <c r="L118" i="3"/>
  <c r="J112" i="4" s="1"/>
  <c r="I118" i="3"/>
  <c r="G112" i="4" s="1"/>
  <c r="S118" i="3"/>
  <c r="Q112" i="4" s="1"/>
  <c r="P118" i="3"/>
  <c r="N112" i="4" s="1"/>
  <c r="J118" i="3"/>
  <c r="H112" i="4" s="1"/>
  <c r="G114" i="3"/>
  <c r="E108" i="4" s="1"/>
  <c r="V115" i="3"/>
  <c r="W115" i="3" s="1"/>
  <c r="B109" i="4"/>
  <c r="B110" i="4"/>
  <c r="X115" i="3"/>
  <c r="Y115" i="3" s="1"/>
  <c r="Z115" i="3" s="1"/>
  <c r="A118" i="3"/>
  <c r="A111" i="4"/>
  <c r="C117" i="3"/>
  <c r="E116" i="3" l="1"/>
  <c r="F110" i="4"/>
  <c r="O119" i="3"/>
  <c r="M113" i="4" s="1"/>
  <c r="N119" i="3"/>
  <c r="L113" i="4" s="1"/>
  <c r="M119" i="3"/>
  <c r="K113" i="4" s="1"/>
  <c r="R119" i="3"/>
  <c r="P113" i="4" s="1"/>
  <c r="K119" i="3"/>
  <c r="I113" i="4" s="1"/>
  <c r="T119" i="3"/>
  <c r="R113" i="4" s="1"/>
  <c r="U114" i="3"/>
  <c r="F114" i="3"/>
  <c r="D108" i="4" s="1"/>
  <c r="H117" i="3"/>
  <c r="S119" i="3"/>
  <c r="Q113" i="4" s="1"/>
  <c r="P119" i="3"/>
  <c r="N113" i="4" s="1"/>
  <c r="J119" i="3"/>
  <c r="H113" i="4" s="1"/>
  <c r="Q119" i="3"/>
  <c r="O113" i="4" s="1"/>
  <c r="L119" i="3"/>
  <c r="J113" i="4" s="1"/>
  <c r="I119" i="3"/>
  <c r="G113" i="4" s="1"/>
  <c r="G115" i="3"/>
  <c r="E109" i="4" s="1"/>
  <c r="X116" i="3"/>
  <c r="Y116" i="3" s="1"/>
  <c r="D116" i="3"/>
  <c r="V116" i="3"/>
  <c r="W116" i="3" s="1"/>
  <c r="D117" i="3"/>
  <c r="A119" i="3"/>
  <c r="A112" i="4"/>
  <c r="C118" i="3"/>
  <c r="E117" i="3" l="1"/>
  <c r="F111" i="4"/>
  <c r="O120" i="3"/>
  <c r="M114" i="4" s="1"/>
  <c r="N120" i="3"/>
  <c r="L114" i="4" s="1"/>
  <c r="M120" i="3"/>
  <c r="K114" i="4" s="1"/>
  <c r="R120" i="3"/>
  <c r="P114" i="4" s="1"/>
  <c r="K120" i="3"/>
  <c r="I114" i="4" s="1"/>
  <c r="T120" i="3"/>
  <c r="R114" i="4" s="1"/>
  <c r="U115" i="3"/>
  <c r="F115" i="3"/>
  <c r="D109" i="4" s="1"/>
  <c r="H118" i="3"/>
  <c r="C111" i="4"/>
  <c r="C110" i="4"/>
  <c r="Z116" i="3"/>
  <c r="G116" i="3" s="1"/>
  <c r="E110" i="4" s="1"/>
  <c r="Q120" i="3"/>
  <c r="O114" i="4" s="1"/>
  <c r="L120" i="3"/>
  <c r="J114" i="4" s="1"/>
  <c r="I120" i="3"/>
  <c r="G114" i="4" s="1"/>
  <c r="S120" i="3"/>
  <c r="Q114" i="4" s="1"/>
  <c r="P120" i="3"/>
  <c r="N114" i="4" s="1"/>
  <c r="J120" i="3"/>
  <c r="H114" i="4" s="1"/>
  <c r="X117" i="3"/>
  <c r="Y117" i="3" s="1"/>
  <c r="Z117" i="3" s="1"/>
  <c r="V117" i="3"/>
  <c r="W117" i="3" s="1"/>
  <c r="D118" i="3"/>
  <c r="B111" i="4"/>
  <c r="A120" i="3"/>
  <c r="A113" i="4"/>
  <c r="C119" i="3"/>
  <c r="E118" i="3" l="1"/>
  <c r="F112" i="4"/>
  <c r="M121" i="3"/>
  <c r="K115" i="4" s="1"/>
  <c r="O121" i="3"/>
  <c r="M115" i="4" s="1"/>
  <c r="N121" i="3"/>
  <c r="L115" i="4" s="1"/>
  <c r="R121" i="3"/>
  <c r="P115" i="4" s="1"/>
  <c r="K121" i="3"/>
  <c r="I115" i="4" s="1"/>
  <c r="T121" i="3"/>
  <c r="R115" i="4" s="1"/>
  <c r="U116" i="3"/>
  <c r="F116" i="3"/>
  <c r="D110" i="4" s="1"/>
  <c r="H119" i="3"/>
  <c r="C112" i="4"/>
  <c r="S121" i="3"/>
  <c r="Q115" i="4" s="1"/>
  <c r="P121" i="3"/>
  <c r="N115" i="4" s="1"/>
  <c r="J121" i="3"/>
  <c r="H115" i="4" s="1"/>
  <c r="Q121" i="3"/>
  <c r="O115" i="4" s="1"/>
  <c r="L121" i="3"/>
  <c r="J115" i="4" s="1"/>
  <c r="I121" i="3"/>
  <c r="G115" i="4" s="1"/>
  <c r="G117" i="3"/>
  <c r="E111" i="4" s="1"/>
  <c r="V118" i="3"/>
  <c r="W118" i="3" s="1"/>
  <c r="X118" i="3"/>
  <c r="Y118" i="3" s="1"/>
  <c r="Z118" i="3" s="1"/>
  <c r="B112" i="4"/>
  <c r="V119" i="3"/>
  <c r="W119" i="3" s="1"/>
  <c r="A121" i="3"/>
  <c r="A114" i="4"/>
  <c r="C120" i="3"/>
  <c r="E119" i="3" l="1"/>
  <c r="F113" i="4"/>
  <c r="M122" i="3"/>
  <c r="K116" i="4" s="1"/>
  <c r="O122" i="3"/>
  <c r="M116" i="4" s="1"/>
  <c r="N122" i="3"/>
  <c r="L116" i="4" s="1"/>
  <c r="R122" i="3"/>
  <c r="P116" i="4" s="1"/>
  <c r="T122" i="3"/>
  <c r="R116" i="4" s="1"/>
  <c r="K122" i="3"/>
  <c r="I116" i="4" s="1"/>
  <c r="U117" i="3"/>
  <c r="F117" i="3"/>
  <c r="D111" i="4" s="1"/>
  <c r="H120" i="3"/>
  <c r="Q122" i="3"/>
  <c r="O116" i="4" s="1"/>
  <c r="L122" i="3"/>
  <c r="J116" i="4" s="1"/>
  <c r="I122" i="3"/>
  <c r="G116" i="4" s="1"/>
  <c r="S122" i="3"/>
  <c r="Q116" i="4" s="1"/>
  <c r="P122" i="3"/>
  <c r="N116" i="4" s="1"/>
  <c r="J122" i="3"/>
  <c r="H116" i="4" s="1"/>
  <c r="G118" i="3"/>
  <c r="E112" i="4" s="1"/>
  <c r="X119" i="3"/>
  <c r="Y119" i="3" s="1"/>
  <c r="B113" i="4"/>
  <c r="D119" i="3"/>
  <c r="B114" i="4"/>
  <c r="A122" i="3"/>
  <c r="A115" i="4"/>
  <c r="C121" i="3"/>
  <c r="E120" i="3" l="1"/>
  <c r="F114" i="4"/>
  <c r="M123" i="3"/>
  <c r="K117" i="4" s="1"/>
  <c r="O123" i="3"/>
  <c r="M117" i="4" s="1"/>
  <c r="N123" i="3"/>
  <c r="L117" i="4" s="1"/>
  <c r="R123" i="3"/>
  <c r="P117" i="4" s="1"/>
  <c r="T123" i="3"/>
  <c r="R117" i="4" s="1"/>
  <c r="K123" i="3"/>
  <c r="I117" i="4" s="1"/>
  <c r="U118" i="3"/>
  <c r="F118" i="3"/>
  <c r="D112" i="4" s="1"/>
  <c r="H121" i="3"/>
  <c r="C113" i="4"/>
  <c r="Z119" i="3"/>
  <c r="S123" i="3"/>
  <c r="Q117" i="4" s="1"/>
  <c r="P123" i="3"/>
  <c r="N117" i="4" s="1"/>
  <c r="J123" i="3"/>
  <c r="H117" i="4" s="1"/>
  <c r="Q123" i="3"/>
  <c r="O117" i="4" s="1"/>
  <c r="L123" i="3"/>
  <c r="J117" i="4" s="1"/>
  <c r="I123" i="3"/>
  <c r="G117" i="4" s="1"/>
  <c r="G119" i="3"/>
  <c r="E113" i="4" s="1"/>
  <c r="X120" i="3"/>
  <c r="Y120" i="3" s="1"/>
  <c r="V120" i="3"/>
  <c r="W120" i="3" s="1"/>
  <c r="D120" i="3"/>
  <c r="V121" i="3"/>
  <c r="W121" i="3" s="1"/>
  <c r="B115" i="4"/>
  <c r="X121" i="3"/>
  <c r="Y121" i="3" s="1"/>
  <c r="A123" i="3"/>
  <c r="Q124" i="3" s="1"/>
  <c r="A116" i="4"/>
  <c r="C122" i="3"/>
  <c r="D121" i="3"/>
  <c r="E121" i="3" l="1"/>
  <c r="F115" i="4"/>
  <c r="AC10" i="3"/>
  <c r="O118" i="4"/>
  <c r="O124" i="3"/>
  <c r="M118" i="4" s="1"/>
  <c r="M124" i="3"/>
  <c r="K118" i="4" s="1"/>
  <c r="N124" i="3"/>
  <c r="L118" i="4" s="1"/>
  <c r="R124" i="3"/>
  <c r="P118" i="4" s="1"/>
  <c r="K124" i="3"/>
  <c r="T124" i="3"/>
  <c r="R118" i="4" s="1"/>
  <c r="U119" i="3"/>
  <c r="F119" i="3"/>
  <c r="D113" i="4" s="1"/>
  <c r="H122" i="3"/>
  <c r="C115" i="4"/>
  <c r="Z121" i="3"/>
  <c r="C114" i="4"/>
  <c r="Z120" i="3"/>
  <c r="G120" i="3"/>
  <c r="E114" i="4" s="1"/>
  <c r="P124" i="3"/>
  <c r="N118" i="4" s="1"/>
  <c r="J124" i="3"/>
  <c r="H118" i="4" s="1"/>
  <c r="L124" i="3"/>
  <c r="J118" i="4" s="1"/>
  <c r="I124" i="3"/>
  <c r="G118" i="4" s="1"/>
  <c r="G121" i="3"/>
  <c r="E115" i="4" s="1"/>
  <c r="D122" i="3"/>
  <c r="A124" i="3"/>
  <c r="A117" i="4"/>
  <c r="C123" i="3"/>
  <c r="E122" i="3" l="1"/>
  <c r="F116" i="4"/>
  <c r="I118" i="4"/>
  <c r="O125" i="3"/>
  <c r="M119" i="4" s="1"/>
  <c r="M125" i="3"/>
  <c r="K119" i="4" s="1"/>
  <c r="N125" i="3"/>
  <c r="L119" i="4" s="1"/>
  <c r="R125" i="3"/>
  <c r="P119" i="4" s="1"/>
  <c r="K125" i="3"/>
  <c r="I119" i="4" s="1"/>
  <c r="T125" i="3"/>
  <c r="R119" i="4" s="1"/>
  <c r="U120" i="3"/>
  <c r="F120" i="3"/>
  <c r="D114" i="4" s="1"/>
  <c r="U121" i="3"/>
  <c r="F121" i="3"/>
  <c r="D115" i="4" s="1"/>
  <c r="H123" i="3"/>
  <c r="C116" i="4"/>
  <c r="AD10" i="3"/>
  <c r="Q125" i="3"/>
  <c r="O119" i="4" s="1"/>
  <c r="L125" i="3"/>
  <c r="J119" i="4" s="1"/>
  <c r="I125" i="3"/>
  <c r="G119" i="4" s="1"/>
  <c r="S125" i="3"/>
  <c r="Q119" i="4" s="1"/>
  <c r="P125" i="3"/>
  <c r="N119" i="4" s="1"/>
  <c r="J125" i="3"/>
  <c r="H119" i="4" s="1"/>
  <c r="V122" i="3"/>
  <c r="W122" i="3" s="1"/>
  <c r="X122" i="3"/>
  <c r="Y122" i="3" s="1"/>
  <c r="Z122" i="3" s="1"/>
  <c r="B117" i="4"/>
  <c r="B116" i="4"/>
  <c r="A125" i="3"/>
  <c r="A118" i="4"/>
  <c r="C124" i="3"/>
  <c r="E123" i="3" l="1"/>
  <c r="F117" i="4"/>
  <c r="O126" i="3"/>
  <c r="M120" i="4" s="1"/>
  <c r="N126" i="3"/>
  <c r="L120" i="4" s="1"/>
  <c r="M126" i="3"/>
  <c r="K120" i="4" s="1"/>
  <c r="R126" i="3"/>
  <c r="P120" i="4" s="1"/>
  <c r="K126" i="3"/>
  <c r="I120" i="4" s="1"/>
  <c r="T126" i="3"/>
  <c r="R120" i="4" s="1"/>
  <c r="H124" i="3"/>
  <c r="G122" i="3"/>
  <c r="E116" i="4" s="1"/>
  <c r="S126" i="3"/>
  <c r="Q120" i="4" s="1"/>
  <c r="P126" i="3"/>
  <c r="N120" i="4" s="1"/>
  <c r="J126" i="3"/>
  <c r="H120" i="4" s="1"/>
  <c r="Q126" i="3"/>
  <c r="O120" i="4" s="1"/>
  <c r="L126" i="3"/>
  <c r="J120" i="4" s="1"/>
  <c r="I126" i="3"/>
  <c r="G120" i="4" s="1"/>
  <c r="V123" i="3"/>
  <c r="W123" i="3" s="1"/>
  <c r="B118" i="4"/>
  <c r="D123" i="3"/>
  <c r="X123" i="3"/>
  <c r="Y123" i="3" s="1"/>
  <c r="A126" i="3"/>
  <c r="A119" i="4"/>
  <c r="C125" i="3"/>
  <c r="E124" i="3" l="1"/>
  <c r="F118" i="4"/>
  <c r="O127" i="3"/>
  <c r="M121" i="4" s="1"/>
  <c r="N127" i="3"/>
  <c r="L121" i="4" s="1"/>
  <c r="M127" i="3"/>
  <c r="K121" i="4" s="1"/>
  <c r="R127" i="3"/>
  <c r="P121" i="4" s="1"/>
  <c r="K127" i="3"/>
  <c r="I121" i="4" s="1"/>
  <c r="T127" i="3"/>
  <c r="R121" i="4" s="1"/>
  <c r="U122" i="3"/>
  <c r="F122" i="3"/>
  <c r="D116" i="4" s="1"/>
  <c r="H125" i="3"/>
  <c r="C117" i="4"/>
  <c r="Z123" i="3"/>
  <c r="Q127" i="3"/>
  <c r="O121" i="4" s="1"/>
  <c r="L127" i="3"/>
  <c r="J121" i="4" s="1"/>
  <c r="I127" i="3"/>
  <c r="G121" i="4" s="1"/>
  <c r="S127" i="3"/>
  <c r="Q121" i="4" s="1"/>
  <c r="P127" i="3"/>
  <c r="N121" i="4" s="1"/>
  <c r="J127" i="3"/>
  <c r="H121" i="4" s="1"/>
  <c r="G123" i="3"/>
  <c r="E117" i="4" s="1"/>
  <c r="D124" i="3"/>
  <c r="V124" i="3"/>
  <c r="W124" i="3" s="1"/>
  <c r="X124" i="3"/>
  <c r="Y124" i="3" s="1"/>
  <c r="X125" i="3"/>
  <c r="Y125" i="3" s="1"/>
  <c r="B119" i="4"/>
  <c r="V125" i="3"/>
  <c r="W125" i="3" s="1"/>
  <c r="A127" i="3"/>
  <c r="A120" i="4"/>
  <c r="C126" i="3"/>
  <c r="D125" i="3"/>
  <c r="E125" i="3" l="1"/>
  <c r="F119" i="4"/>
  <c r="O128" i="3"/>
  <c r="M122" i="4" s="1"/>
  <c r="N128" i="3"/>
  <c r="L122" i="4" s="1"/>
  <c r="M128" i="3"/>
  <c r="K122" i="4" s="1"/>
  <c r="R128" i="3"/>
  <c r="P122" i="4" s="1"/>
  <c r="K128" i="3"/>
  <c r="I122" i="4" s="1"/>
  <c r="T128" i="3"/>
  <c r="R122" i="4" s="1"/>
  <c r="U123" i="3"/>
  <c r="F123" i="3"/>
  <c r="D117" i="4" s="1"/>
  <c r="H126" i="3"/>
  <c r="C119" i="4"/>
  <c r="Z125" i="3"/>
  <c r="C118" i="4"/>
  <c r="Z124" i="3"/>
  <c r="S128" i="3"/>
  <c r="Q122" i="4" s="1"/>
  <c r="P128" i="3"/>
  <c r="N122" i="4" s="1"/>
  <c r="J128" i="3"/>
  <c r="H122" i="4" s="1"/>
  <c r="Q128" i="3"/>
  <c r="O122" i="4" s="1"/>
  <c r="L128" i="3"/>
  <c r="J122" i="4" s="1"/>
  <c r="I128" i="3"/>
  <c r="G122" i="4" s="1"/>
  <c r="G125" i="3"/>
  <c r="E119" i="4" s="1"/>
  <c r="G124" i="3"/>
  <c r="S124" i="3"/>
  <c r="Q118" i="4" s="1"/>
  <c r="D126" i="3"/>
  <c r="A128" i="3"/>
  <c r="A121" i="4"/>
  <c r="C127" i="3"/>
  <c r="E126" i="3" l="1"/>
  <c r="F120" i="4"/>
  <c r="F124" i="3"/>
  <c r="D118" i="4" s="1"/>
  <c r="E118" i="4"/>
  <c r="M129" i="3"/>
  <c r="K123" i="4" s="1"/>
  <c r="O129" i="3"/>
  <c r="M123" i="4" s="1"/>
  <c r="N129" i="3"/>
  <c r="L123" i="4" s="1"/>
  <c r="R129" i="3"/>
  <c r="P123" i="4" s="1"/>
  <c r="T129" i="3"/>
  <c r="R123" i="4" s="1"/>
  <c r="K129" i="3"/>
  <c r="I123" i="4" s="1"/>
  <c r="U125" i="3"/>
  <c r="F125" i="3"/>
  <c r="D119" i="4" s="1"/>
  <c r="H127" i="3"/>
  <c r="C120" i="4"/>
  <c r="Q129" i="3"/>
  <c r="O123" i="4" s="1"/>
  <c r="L129" i="3"/>
  <c r="J123" i="4" s="1"/>
  <c r="I129" i="3"/>
  <c r="G123" i="4" s="1"/>
  <c r="S129" i="3"/>
  <c r="Q123" i="4" s="1"/>
  <c r="P129" i="3"/>
  <c r="N123" i="4" s="1"/>
  <c r="J129" i="3"/>
  <c r="H123" i="4" s="1"/>
  <c r="V126" i="3"/>
  <c r="W126" i="3" s="1"/>
  <c r="X126" i="3"/>
  <c r="Y126" i="3" s="1"/>
  <c r="Z126" i="3" s="1"/>
  <c r="D127" i="3"/>
  <c r="B120" i="4"/>
  <c r="A129" i="3"/>
  <c r="A122" i="4"/>
  <c r="C128" i="3"/>
  <c r="E127" i="3" l="1"/>
  <c r="F121" i="4"/>
  <c r="M130" i="3"/>
  <c r="K124" i="4" s="1"/>
  <c r="O130" i="3"/>
  <c r="M124" i="4" s="1"/>
  <c r="N130" i="3"/>
  <c r="L124" i="4" s="1"/>
  <c r="R130" i="3"/>
  <c r="P124" i="4" s="1"/>
  <c r="T130" i="3"/>
  <c r="R124" i="4" s="1"/>
  <c r="K130" i="3"/>
  <c r="I124" i="4" s="1"/>
  <c r="U124" i="3"/>
  <c r="H128" i="3"/>
  <c r="C121" i="4"/>
  <c r="S130" i="3"/>
  <c r="Q124" i="4" s="1"/>
  <c r="P130" i="3"/>
  <c r="N124" i="4" s="1"/>
  <c r="J130" i="3"/>
  <c r="H124" i="4" s="1"/>
  <c r="Q130" i="3"/>
  <c r="O124" i="4" s="1"/>
  <c r="L130" i="3"/>
  <c r="J124" i="4" s="1"/>
  <c r="I130" i="3"/>
  <c r="G124" i="4" s="1"/>
  <c r="G126" i="3"/>
  <c r="E120" i="4" s="1"/>
  <c r="V127" i="3"/>
  <c r="W127" i="3" s="1"/>
  <c r="B121" i="4"/>
  <c r="X127" i="3"/>
  <c r="Y127" i="3" s="1"/>
  <c r="Z127" i="3" s="1"/>
  <c r="D128" i="3"/>
  <c r="A130" i="3"/>
  <c r="A123" i="4"/>
  <c r="C129" i="3"/>
  <c r="E128" i="3" l="1"/>
  <c r="F122" i="4"/>
  <c r="M131" i="3"/>
  <c r="K125" i="4" s="1"/>
  <c r="O131" i="3"/>
  <c r="M125" i="4" s="1"/>
  <c r="N131" i="3"/>
  <c r="L125" i="4" s="1"/>
  <c r="R131" i="3"/>
  <c r="P125" i="4" s="1"/>
  <c r="T131" i="3"/>
  <c r="R125" i="4" s="1"/>
  <c r="K131" i="3"/>
  <c r="I125" i="4" s="1"/>
  <c r="U126" i="3"/>
  <c r="F126" i="3"/>
  <c r="D120" i="4" s="1"/>
  <c r="H129" i="3"/>
  <c r="C122" i="4"/>
  <c r="Q131" i="3"/>
  <c r="O125" i="4" s="1"/>
  <c r="L131" i="3"/>
  <c r="J125" i="4" s="1"/>
  <c r="I131" i="3"/>
  <c r="G125" i="4" s="1"/>
  <c r="S131" i="3"/>
  <c r="Q125" i="4" s="1"/>
  <c r="P131" i="3"/>
  <c r="N125" i="4" s="1"/>
  <c r="J131" i="3"/>
  <c r="H125" i="4" s="1"/>
  <c r="G127" i="3"/>
  <c r="E121" i="4" s="1"/>
  <c r="B122" i="4"/>
  <c r="X128" i="3"/>
  <c r="Y128" i="3" s="1"/>
  <c r="Z128" i="3" s="1"/>
  <c r="V128" i="3"/>
  <c r="W128" i="3" s="1"/>
  <c r="G128" i="3" s="1"/>
  <c r="E122" i="4" s="1"/>
  <c r="B123" i="4"/>
  <c r="X129" i="3"/>
  <c r="Y129" i="3" s="1"/>
  <c r="V129" i="3"/>
  <c r="W129" i="3" s="1"/>
  <c r="A131" i="3"/>
  <c r="A124" i="4"/>
  <c r="C130" i="3"/>
  <c r="D129" i="3"/>
  <c r="E129" i="3" l="1"/>
  <c r="F123" i="4"/>
  <c r="O132" i="3"/>
  <c r="M126" i="4" s="1"/>
  <c r="M132" i="3"/>
  <c r="K126" i="4" s="1"/>
  <c r="N132" i="3"/>
  <c r="L126" i="4" s="1"/>
  <c r="R132" i="3"/>
  <c r="P126" i="4" s="1"/>
  <c r="K132" i="3"/>
  <c r="I126" i="4" s="1"/>
  <c r="T132" i="3"/>
  <c r="R126" i="4" s="1"/>
  <c r="U127" i="3"/>
  <c r="F127" i="3"/>
  <c r="D121" i="4" s="1"/>
  <c r="U128" i="3"/>
  <c r="F128" i="3"/>
  <c r="D122" i="4" s="1"/>
  <c r="H130" i="3"/>
  <c r="C123" i="4"/>
  <c r="Z129" i="3"/>
  <c r="G129" i="3" s="1"/>
  <c r="E123" i="4" s="1"/>
  <c r="S132" i="3"/>
  <c r="Q126" i="4" s="1"/>
  <c r="P132" i="3"/>
  <c r="N126" i="4" s="1"/>
  <c r="J132" i="3"/>
  <c r="H126" i="4" s="1"/>
  <c r="Q132" i="3"/>
  <c r="O126" i="4" s="1"/>
  <c r="L132" i="3"/>
  <c r="J126" i="4" s="1"/>
  <c r="I132" i="3"/>
  <c r="G126" i="4" s="1"/>
  <c r="B124" i="4"/>
  <c r="A132" i="3"/>
  <c r="A125" i="4"/>
  <c r="C131" i="3"/>
  <c r="E130" i="3" l="1"/>
  <c r="F124" i="4"/>
  <c r="O133" i="3"/>
  <c r="M127" i="4" s="1"/>
  <c r="N133" i="3"/>
  <c r="L127" i="4" s="1"/>
  <c r="M133" i="3"/>
  <c r="K127" i="4" s="1"/>
  <c r="R133" i="3"/>
  <c r="P127" i="4" s="1"/>
  <c r="K133" i="3"/>
  <c r="I127" i="4" s="1"/>
  <c r="T133" i="3"/>
  <c r="R127" i="4" s="1"/>
  <c r="U129" i="3"/>
  <c r="F129" i="3"/>
  <c r="D123" i="4" s="1"/>
  <c r="H131" i="3"/>
  <c r="Q133" i="3"/>
  <c r="O127" i="4" s="1"/>
  <c r="L133" i="3"/>
  <c r="J127" i="4" s="1"/>
  <c r="I133" i="3"/>
  <c r="G127" i="4" s="1"/>
  <c r="S133" i="3"/>
  <c r="Q127" i="4" s="1"/>
  <c r="P133" i="3"/>
  <c r="N127" i="4" s="1"/>
  <c r="J133" i="3"/>
  <c r="H127" i="4" s="1"/>
  <c r="D130" i="3"/>
  <c r="X130" i="3"/>
  <c r="Y130" i="3" s="1"/>
  <c r="V130" i="3"/>
  <c r="W130" i="3" s="1"/>
  <c r="D131" i="3"/>
  <c r="A133" i="3"/>
  <c r="A126" i="4"/>
  <c r="C132" i="3"/>
  <c r="E131" i="3" l="1"/>
  <c r="F125" i="4"/>
  <c r="O134" i="3"/>
  <c r="M128" i="4" s="1"/>
  <c r="N134" i="3"/>
  <c r="L128" i="4" s="1"/>
  <c r="M134" i="3"/>
  <c r="K128" i="4" s="1"/>
  <c r="R134" i="3"/>
  <c r="P128" i="4" s="1"/>
  <c r="K134" i="3"/>
  <c r="I128" i="4" s="1"/>
  <c r="T134" i="3"/>
  <c r="R128" i="4" s="1"/>
  <c r="H132" i="3"/>
  <c r="C125" i="4"/>
  <c r="C124" i="4"/>
  <c r="Z130" i="3"/>
  <c r="G130" i="3"/>
  <c r="E124" i="4" s="1"/>
  <c r="S134" i="3"/>
  <c r="Q128" i="4" s="1"/>
  <c r="P134" i="3"/>
  <c r="N128" i="4" s="1"/>
  <c r="J134" i="3"/>
  <c r="H128" i="4" s="1"/>
  <c r="Q134" i="3"/>
  <c r="O128" i="4" s="1"/>
  <c r="L134" i="3"/>
  <c r="J128" i="4" s="1"/>
  <c r="I134" i="3"/>
  <c r="G128" i="4" s="1"/>
  <c r="X131" i="3"/>
  <c r="Y131" i="3" s="1"/>
  <c r="Z131" i="3" s="1"/>
  <c r="V131" i="3"/>
  <c r="W131" i="3" s="1"/>
  <c r="V132" i="3"/>
  <c r="W132" i="3" s="1"/>
  <c r="B125" i="4"/>
  <c r="A134" i="3"/>
  <c r="A127" i="4"/>
  <c r="C133" i="3"/>
  <c r="E132" i="3" l="1"/>
  <c r="F126" i="4"/>
  <c r="O135" i="3"/>
  <c r="M129" i="4" s="1"/>
  <c r="N135" i="3"/>
  <c r="L129" i="4" s="1"/>
  <c r="M135" i="3"/>
  <c r="K129" i="4" s="1"/>
  <c r="R135" i="3"/>
  <c r="P129" i="4" s="1"/>
  <c r="K135" i="3"/>
  <c r="I129" i="4" s="1"/>
  <c r="T135" i="3"/>
  <c r="R129" i="4" s="1"/>
  <c r="U130" i="3"/>
  <c r="F130" i="3"/>
  <c r="D124" i="4" s="1"/>
  <c r="H133" i="3"/>
  <c r="Q135" i="3"/>
  <c r="O129" i="4" s="1"/>
  <c r="L135" i="3"/>
  <c r="J129" i="4" s="1"/>
  <c r="I135" i="3"/>
  <c r="G129" i="4" s="1"/>
  <c r="S135" i="3"/>
  <c r="Q129" i="4" s="1"/>
  <c r="P135" i="3"/>
  <c r="N129" i="4" s="1"/>
  <c r="J135" i="3"/>
  <c r="H129" i="4" s="1"/>
  <c r="G131" i="3"/>
  <c r="E125" i="4" s="1"/>
  <c r="D132" i="3"/>
  <c r="X132" i="3"/>
  <c r="Y132" i="3" s="1"/>
  <c r="B126" i="4"/>
  <c r="B127" i="4"/>
  <c r="A135" i="3"/>
  <c r="Q136" i="3" s="1"/>
  <c r="A128" i="4"/>
  <c r="C134" i="3"/>
  <c r="E133" i="3" l="1"/>
  <c r="F127" i="4"/>
  <c r="AC11" i="3"/>
  <c r="O130" i="4"/>
  <c r="O136" i="3"/>
  <c r="M130" i="4" s="1"/>
  <c r="N136" i="3"/>
  <c r="L130" i="4" s="1"/>
  <c r="M136" i="3"/>
  <c r="K130" i="4" s="1"/>
  <c r="R136" i="3"/>
  <c r="P130" i="4" s="1"/>
  <c r="K136" i="3"/>
  <c r="T136" i="3"/>
  <c r="R130" i="4" s="1"/>
  <c r="U131" i="3"/>
  <c r="F131" i="3"/>
  <c r="D125" i="4" s="1"/>
  <c r="H134" i="3"/>
  <c r="C126" i="4"/>
  <c r="Z132" i="3"/>
  <c r="P136" i="3"/>
  <c r="N130" i="4" s="1"/>
  <c r="J136" i="3"/>
  <c r="H130" i="4" s="1"/>
  <c r="L136" i="3"/>
  <c r="J130" i="4" s="1"/>
  <c r="I136" i="3"/>
  <c r="G130" i="4" s="1"/>
  <c r="G132" i="3"/>
  <c r="E126" i="4" s="1"/>
  <c r="D133" i="3"/>
  <c r="V133" i="3"/>
  <c r="W133" i="3" s="1"/>
  <c r="X133" i="3"/>
  <c r="Y133" i="3" s="1"/>
  <c r="X134" i="3"/>
  <c r="Y134" i="3" s="1"/>
  <c r="A136" i="3"/>
  <c r="A129" i="4"/>
  <c r="C135" i="3"/>
  <c r="E134" i="3" l="1"/>
  <c r="F128" i="4"/>
  <c r="I130" i="4"/>
  <c r="M137" i="3"/>
  <c r="K131" i="4" s="1"/>
  <c r="O137" i="3"/>
  <c r="M131" i="4" s="1"/>
  <c r="N137" i="3"/>
  <c r="L131" i="4" s="1"/>
  <c r="R137" i="3"/>
  <c r="P131" i="4" s="1"/>
  <c r="T137" i="3"/>
  <c r="R131" i="4" s="1"/>
  <c r="K137" i="3"/>
  <c r="I131" i="4" s="1"/>
  <c r="U132" i="3"/>
  <c r="F132" i="3"/>
  <c r="D126" i="4" s="1"/>
  <c r="H135" i="3"/>
  <c r="C127" i="4"/>
  <c r="Z133" i="3"/>
  <c r="AD11" i="3"/>
  <c r="Q137" i="3"/>
  <c r="O131" i="4" s="1"/>
  <c r="L137" i="3"/>
  <c r="J131" i="4" s="1"/>
  <c r="I137" i="3"/>
  <c r="G131" i="4" s="1"/>
  <c r="S137" i="3"/>
  <c r="Q131" i="4" s="1"/>
  <c r="P137" i="3"/>
  <c r="N131" i="4" s="1"/>
  <c r="J137" i="3"/>
  <c r="H131" i="4" s="1"/>
  <c r="G133" i="3"/>
  <c r="E127" i="4" s="1"/>
  <c r="D134" i="3"/>
  <c r="V134" i="3"/>
  <c r="W134" i="3" s="1"/>
  <c r="B128" i="4"/>
  <c r="D135" i="3"/>
  <c r="A137" i="3"/>
  <c r="A130" i="4"/>
  <c r="C136" i="3"/>
  <c r="E135" i="3" l="1"/>
  <c r="F129" i="4"/>
  <c r="M138" i="3"/>
  <c r="K132" i="4" s="1"/>
  <c r="O138" i="3"/>
  <c r="M132" i="4" s="1"/>
  <c r="N138" i="3"/>
  <c r="L132" i="4" s="1"/>
  <c r="R138" i="3"/>
  <c r="P132" i="4" s="1"/>
  <c r="T138" i="3"/>
  <c r="R132" i="4" s="1"/>
  <c r="K138" i="3"/>
  <c r="I132" i="4" s="1"/>
  <c r="U133" i="3"/>
  <c r="F133" i="3"/>
  <c r="D127" i="4" s="1"/>
  <c r="H136" i="3"/>
  <c r="C129" i="4"/>
  <c r="C128" i="4"/>
  <c r="Z134" i="3"/>
  <c r="G134" i="3"/>
  <c r="E128" i="4" s="1"/>
  <c r="S138" i="3"/>
  <c r="Q132" i="4" s="1"/>
  <c r="P138" i="3"/>
  <c r="N132" i="4" s="1"/>
  <c r="J138" i="3"/>
  <c r="H132" i="4" s="1"/>
  <c r="Q138" i="3"/>
  <c r="O132" i="4" s="1"/>
  <c r="L138" i="3"/>
  <c r="J132" i="4" s="1"/>
  <c r="I138" i="3"/>
  <c r="G132" i="4" s="1"/>
  <c r="V135" i="3"/>
  <c r="W135" i="3" s="1"/>
  <c r="B129" i="4"/>
  <c r="X135" i="3"/>
  <c r="Y135" i="3" s="1"/>
  <c r="Z135" i="3" s="1"/>
  <c r="A138" i="3"/>
  <c r="A131" i="4"/>
  <c r="C137" i="3"/>
  <c r="B130" i="4"/>
  <c r="V136" i="3"/>
  <c r="W136" i="3" s="1"/>
  <c r="X136" i="3"/>
  <c r="Y136" i="3" s="1"/>
  <c r="D136" i="3"/>
  <c r="E136" i="3" l="1"/>
  <c r="F130" i="4"/>
  <c r="M139" i="3"/>
  <c r="K133" i="4" s="1"/>
  <c r="O139" i="3"/>
  <c r="M133" i="4" s="1"/>
  <c r="N139" i="3"/>
  <c r="L133" i="4" s="1"/>
  <c r="R139" i="3"/>
  <c r="P133" i="4" s="1"/>
  <c r="T139" i="3"/>
  <c r="R133" i="4" s="1"/>
  <c r="K139" i="3"/>
  <c r="I133" i="4" s="1"/>
  <c r="U134" i="3"/>
  <c r="F134" i="3"/>
  <c r="D128" i="4" s="1"/>
  <c r="H137" i="3"/>
  <c r="C130" i="4"/>
  <c r="Z136" i="3"/>
  <c r="Q139" i="3"/>
  <c r="O133" i="4" s="1"/>
  <c r="L139" i="3"/>
  <c r="J133" i="4" s="1"/>
  <c r="I139" i="3"/>
  <c r="G133" i="4" s="1"/>
  <c r="S139" i="3"/>
  <c r="Q133" i="4" s="1"/>
  <c r="P139" i="3"/>
  <c r="N133" i="4" s="1"/>
  <c r="J139" i="3"/>
  <c r="H133" i="4" s="1"/>
  <c r="G135" i="3"/>
  <c r="E129" i="4" s="1"/>
  <c r="B131" i="4"/>
  <c r="A139" i="3"/>
  <c r="A132" i="4"/>
  <c r="C138" i="3"/>
  <c r="E137" i="3" l="1"/>
  <c r="F131" i="4"/>
  <c r="O140" i="3"/>
  <c r="M134" i="4" s="1"/>
  <c r="M140" i="3"/>
  <c r="K134" i="4" s="1"/>
  <c r="N140" i="3"/>
  <c r="L134" i="4" s="1"/>
  <c r="R140" i="3"/>
  <c r="P134" i="4" s="1"/>
  <c r="K140" i="3"/>
  <c r="I134" i="4" s="1"/>
  <c r="T140" i="3"/>
  <c r="R134" i="4" s="1"/>
  <c r="U135" i="3"/>
  <c r="F135" i="3"/>
  <c r="D129" i="4" s="1"/>
  <c r="H138" i="3"/>
  <c r="G136" i="3"/>
  <c r="S136" i="3"/>
  <c r="Q130" i="4" s="1"/>
  <c r="S140" i="3"/>
  <c r="Q134" i="4" s="1"/>
  <c r="P140" i="3"/>
  <c r="N134" i="4" s="1"/>
  <c r="J140" i="3"/>
  <c r="H134" i="4" s="1"/>
  <c r="Q140" i="3"/>
  <c r="O134" i="4" s="1"/>
  <c r="L140" i="3"/>
  <c r="J134" i="4" s="1"/>
  <c r="I140" i="3"/>
  <c r="G134" i="4" s="1"/>
  <c r="D137" i="3"/>
  <c r="V137" i="3"/>
  <c r="W137" i="3" s="1"/>
  <c r="X137" i="3"/>
  <c r="Y137" i="3" s="1"/>
  <c r="D138" i="3"/>
  <c r="A140" i="3"/>
  <c r="A133" i="4"/>
  <c r="C139" i="3"/>
  <c r="E138" i="3" l="1"/>
  <c r="F132" i="4"/>
  <c r="F136" i="3"/>
  <c r="D130" i="4" s="1"/>
  <c r="E130" i="4"/>
  <c r="O141" i="3"/>
  <c r="M135" i="4" s="1"/>
  <c r="M141" i="3"/>
  <c r="K135" i="4" s="1"/>
  <c r="N141" i="3"/>
  <c r="L135" i="4" s="1"/>
  <c r="R141" i="3"/>
  <c r="P135" i="4" s="1"/>
  <c r="K141" i="3"/>
  <c r="I135" i="4" s="1"/>
  <c r="T141" i="3"/>
  <c r="R135" i="4" s="1"/>
  <c r="H139" i="3"/>
  <c r="C131" i="4"/>
  <c r="Z137" i="3"/>
  <c r="C132" i="4"/>
  <c r="G137" i="3"/>
  <c r="E131" i="4" s="1"/>
  <c r="Q141" i="3"/>
  <c r="O135" i="4" s="1"/>
  <c r="L141" i="3"/>
  <c r="J135" i="4" s="1"/>
  <c r="I141" i="3"/>
  <c r="G135" i="4" s="1"/>
  <c r="S141" i="3"/>
  <c r="Q135" i="4" s="1"/>
  <c r="P141" i="3"/>
  <c r="N135" i="4" s="1"/>
  <c r="J141" i="3"/>
  <c r="H135" i="4" s="1"/>
  <c r="X138" i="3"/>
  <c r="Y138" i="3" s="1"/>
  <c r="Z138" i="3" s="1"/>
  <c r="V138" i="3"/>
  <c r="W138" i="3" s="1"/>
  <c r="X139" i="3"/>
  <c r="Y139" i="3" s="1"/>
  <c r="B132" i="4"/>
  <c r="A141" i="3"/>
  <c r="A134" i="4"/>
  <c r="C140" i="3"/>
  <c r="E139" i="3" l="1"/>
  <c r="F133" i="4"/>
  <c r="O142" i="3"/>
  <c r="M136" i="4" s="1"/>
  <c r="N142" i="3"/>
  <c r="L136" i="4" s="1"/>
  <c r="M142" i="3"/>
  <c r="K136" i="4" s="1"/>
  <c r="R142" i="3"/>
  <c r="P136" i="4" s="1"/>
  <c r="K142" i="3"/>
  <c r="I136" i="4" s="1"/>
  <c r="T142" i="3"/>
  <c r="R136" i="4" s="1"/>
  <c r="U137" i="3"/>
  <c r="F137" i="3"/>
  <c r="D131" i="4" s="1"/>
  <c r="U136" i="3"/>
  <c r="H140" i="3"/>
  <c r="S142" i="3"/>
  <c r="Q136" i="4" s="1"/>
  <c r="P142" i="3"/>
  <c r="N136" i="4" s="1"/>
  <c r="J142" i="3"/>
  <c r="H136" i="4" s="1"/>
  <c r="Q142" i="3"/>
  <c r="O136" i="4" s="1"/>
  <c r="L142" i="3"/>
  <c r="J136" i="4" s="1"/>
  <c r="I142" i="3"/>
  <c r="G136" i="4" s="1"/>
  <c r="G138" i="3"/>
  <c r="E132" i="4" s="1"/>
  <c r="B133" i="4"/>
  <c r="D139" i="3"/>
  <c r="V139" i="3"/>
  <c r="W139" i="3" s="1"/>
  <c r="A142" i="3"/>
  <c r="A135" i="4"/>
  <c r="C141" i="3"/>
  <c r="B134" i="4"/>
  <c r="X140" i="3"/>
  <c r="Y140" i="3" s="1"/>
  <c r="V140" i="3"/>
  <c r="W140" i="3" s="1"/>
  <c r="D140" i="3"/>
  <c r="E140" i="3" l="1"/>
  <c r="F134" i="4"/>
  <c r="O143" i="3"/>
  <c r="M137" i="4" s="1"/>
  <c r="N143" i="3"/>
  <c r="L137" i="4" s="1"/>
  <c r="M143" i="3"/>
  <c r="K137" i="4" s="1"/>
  <c r="R143" i="3"/>
  <c r="P137" i="4" s="1"/>
  <c r="K143" i="3"/>
  <c r="I137" i="4" s="1"/>
  <c r="T143" i="3"/>
  <c r="R137" i="4" s="1"/>
  <c r="U138" i="3"/>
  <c r="F138" i="3"/>
  <c r="D132" i="4" s="1"/>
  <c r="H141" i="3"/>
  <c r="C134" i="4"/>
  <c r="Z140" i="3"/>
  <c r="C133" i="4"/>
  <c r="Z139" i="3"/>
  <c r="G139" i="3"/>
  <c r="E133" i="4" s="1"/>
  <c r="Q143" i="3"/>
  <c r="O137" i="4" s="1"/>
  <c r="L143" i="3"/>
  <c r="J137" i="4" s="1"/>
  <c r="I143" i="3"/>
  <c r="G137" i="4" s="1"/>
  <c r="S143" i="3"/>
  <c r="Q137" i="4" s="1"/>
  <c r="P143" i="3"/>
  <c r="N137" i="4" s="1"/>
  <c r="J143" i="3"/>
  <c r="H137" i="4" s="1"/>
  <c r="G140" i="3"/>
  <c r="E134" i="4" s="1"/>
  <c r="V141" i="3"/>
  <c r="W141" i="3" s="1"/>
  <c r="A143" i="3"/>
  <c r="A136" i="4"/>
  <c r="C142" i="3"/>
  <c r="E141" i="3" l="1"/>
  <c r="F135" i="4"/>
  <c r="O144" i="3"/>
  <c r="M138" i="4" s="1"/>
  <c r="N144" i="3"/>
  <c r="L138" i="4" s="1"/>
  <c r="M144" i="3"/>
  <c r="K138" i="4" s="1"/>
  <c r="R144" i="3"/>
  <c r="P138" i="4" s="1"/>
  <c r="K144" i="3"/>
  <c r="I138" i="4" s="1"/>
  <c r="T144" i="3"/>
  <c r="R138" i="4" s="1"/>
  <c r="U140" i="3"/>
  <c r="F140" i="3"/>
  <c r="D134" i="4" s="1"/>
  <c r="U139" i="3"/>
  <c r="F139" i="3"/>
  <c r="D133" i="4" s="1"/>
  <c r="H142" i="3"/>
  <c r="S144" i="3"/>
  <c r="Q138" i="4" s="1"/>
  <c r="P144" i="3"/>
  <c r="N138" i="4" s="1"/>
  <c r="J144" i="3"/>
  <c r="H138" i="4" s="1"/>
  <c r="Q144" i="3"/>
  <c r="O138" i="4" s="1"/>
  <c r="L144" i="3"/>
  <c r="J138" i="4" s="1"/>
  <c r="I144" i="3"/>
  <c r="G138" i="4" s="1"/>
  <c r="D141" i="3"/>
  <c r="B135" i="4"/>
  <c r="X141" i="3"/>
  <c r="Y141" i="3" s="1"/>
  <c r="D142" i="3"/>
  <c r="A144" i="3"/>
  <c r="A137" i="4"/>
  <c r="C143" i="3"/>
  <c r="E142" i="3" l="1"/>
  <c r="F136" i="4"/>
  <c r="M145" i="3"/>
  <c r="K139" i="4" s="1"/>
  <c r="O145" i="3"/>
  <c r="M139" i="4" s="1"/>
  <c r="N145" i="3"/>
  <c r="L139" i="4" s="1"/>
  <c r="R145" i="3"/>
  <c r="P139" i="4" s="1"/>
  <c r="T145" i="3"/>
  <c r="R139" i="4" s="1"/>
  <c r="K145" i="3"/>
  <c r="I139" i="4" s="1"/>
  <c r="H143" i="3"/>
  <c r="C135" i="4"/>
  <c r="Z141" i="3"/>
  <c r="C136" i="4"/>
  <c r="Q145" i="3"/>
  <c r="O139" i="4" s="1"/>
  <c r="L145" i="3"/>
  <c r="J139" i="4" s="1"/>
  <c r="I145" i="3"/>
  <c r="G139" i="4" s="1"/>
  <c r="S145" i="3"/>
  <c r="Q139" i="4" s="1"/>
  <c r="P145" i="3"/>
  <c r="N139" i="4" s="1"/>
  <c r="J145" i="3"/>
  <c r="H139" i="4" s="1"/>
  <c r="G141" i="3"/>
  <c r="E135" i="4" s="1"/>
  <c r="X142" i="3"/>
  <c r="Y142" i="3" s="1"/>
  <c r="Z142" i="3" s="1"/>
  <c r="B137" i="4"/>
  <c r="V142" i="3"/>
  <c r="W142" i="3" s="1"/>
  <c r="B136" i="4"/>
  <c r="A145" i="3"/>
  <c r="A138" i="4"/>
  <c r="C144" i="3"/>
  <c r="E143" i="3" l="1"/>
  <c r="F137" i="4"/>
  <c r="M146" i="3"/>
  <c r="K140" i="4" s="1"/>
  <c r="O146" i="3"/>
  <c r="M140" i="4" s="1"/>
  <c r="N146" i="3"/>
  <c r="L140" i="4" s="1"/>
  <c r="R146" i="3"/>
  <c r="P140" i="4" s="1"/>
  <c r="T146" i="3"/>
  <c r="R140" i="4" s="1"/>
  <c r="K146" i="3"/>
  <c r="I140" i="4" s="1"/>
  <c r="U141" i="3"/>
  <c r="F141" i="3"/>
  <c r="D135" i="4" s="1"/>
  <c r="H144" i="3"/>
  <c r="S146" i="3"/>
  <c r="Q140" i="4" s="1"/>
  <c r="P146" i="3"/>
  <c r="N140" i="4" s="1"/>
  <c r="J146" i="3"/>
  <c r="H140" i="4" s="1"/>
  <c r="Q146" i="3"/>
  <c r="O140" i="4" s="1"/>
  <c r="L146" i="3"/>
  <c r="J140" i="4" s="1"/>
  <c r="I146" i="3"/>
  <c r="G140" i="4" s="1"/>
  <c r="G142" i="3"/>
  <c r="E136" i="4" s="1"/>
  <c r="X143" i="3"/>
  <c r="Y143" i="3" s="1"/>
  <c r="V143" i="3"/>
  <c r="W143" i="3" s="1"/>
  <c r="D143" i="3"/>
  <c r="V144" i="3"/>
  <c r="W144" i="3" s="1"/>
  <c r="A146" i="3"/>
  <c r="A139" i="4"/>
  <c r="C145" i="3"/>
  <c r="E144" i="3" l="1"/>
  <c r="F138" i="4"/>
  <c r="M147" i="3"/>
  <c r="K141" i="4" s="1"/>
  <c r="O147" i="3"/>
  <c r="M141" i="4" s="1"/>
  <c r="N147" i="3"/>
  <c r="L141" i="4" s="1"/>
  <c r="R147" i="3"/>
  <c r="P141" i="4" s="1"/>
  <c r="T147" i="3"/>
  <c r="R141" i="4" s="1"/>
  <c r="K147" i="3"/>
  <c r="I141" i="4" s="1"/>
  <c r="U142" i="3"/>
  <c r="F142" i="3"/>
  <c r="D136" i="4" s="1"/>
  <c r="H145" i="3"/>
  <c r="C137" i="4"/>
  <c r="Z143" i="3"/>
  <c r="G143" i="3"/>
  <c r="E137" i="4" s="1"/>
  <c r="Q147" i="3"/>
  <c r="O141" i="4" s="1"/>
  <c r="L147" i="3"/>
  <c r="J141" i="4" s="1"/>
  <c r="I147" i="3"/>
  <c r="G141" i="4" s="1"/>
  <c r="S147" i="3"/>
  <c r="Q141" i="4" s="1"/>
  <c r="P147" i="3"/>
  <c r="N141" i="4" s="1"/>
  <c r="J147" i="3"/>
  <c r="H141" i="4" s="1"/>
  <c r="D144" i="3"/>
  <c r="X144" i="3"/>
  <c r="Y144" i="3" s="1"/>
  <c r="B138" i="4"/>
  <c r="V145" i="3"/>
  <c r="W145" i="3" s="1"/>
  <c r="B139" i="4"/>
  <c r="X145" i="3"/>
  <c r="Y145" i="3" s="1"/>
  <c r="A147" i="3"/>
  <c r="Q148" i="3" s="1"/>
  <c r="A140" i="4"/>
  <c r="C146" i="3"/>
  <c r="D145" i="3"/>
  <c r="E145" i="3" l="1"/>
  <c r="F139" i="4"/>
  <c r="AC12" i="3"/>
  <c r="O142" i="4"/>
  <c r="O148" i="3"/>
  <c r="M142" i="4" s="1"/>
  <c r="M148" i="3"/>
  <c r="K142" i="4" s="1"/>
  <c r="N148" i="3"/>
  <c r="L142" i="4" s="1"/>
  <c r="R148" i="3"/>
  <c r="P142" i="4" s="1"/>
  <c r="K148" i="3"/>
  <c r="U143" i="3"/>
  <c r="F143" i="3"/>
  <c r="D137" i="4" s="1"/>
  <c r="H146" i="3"/>
  <c r="C139" i="4"/>
  <c r="Z145" i="3"/>
  <c r="C138" i="4"/>
  <c r="Z144" i="3"/>
  <c r="P148" i="3"/>
  <c r="N142" i="4" s="1"/>
  <c r="J148" i="3"/>
  <c r="H142" i="4" s="1"/>
  <c r="L148" i="3"/>
  <c r="J142" i="4" s="1"/>
  <c r="I148" i="3"/>
  <c r="G142" i="4" s="1"/>
  <c r="G145" i="3"/>
  <c r="E139" i="4" s="1"/>
  <c r="G144" i="3"/>
  <c r="E138" i="4" s="1"/>
  <c r="D146" i="3"/>
  <c r="X146" i="3"/>
  <c r="Y146" i="3" s="1"/>
  <c r="B140" i="4"/>
  <c r="V146" i="3"/>
  <c r="W146" i="3" s="1"/>
  <c r="A148" i="3"/>
  <c r="A141" i="4"/>
  <c r="C147" i="3"/>
  <c r="E146" i="3" l="1"/>
  <c r="F140" i="4"/>
  <c r="I142" i="4"/>
  <c r="O149" i="3"/>
  <c r="M143" i="4" s="1"/>
  <c r="N149" i="3"/>
  <c r="L143" i="4" s="1"/>
  <c r="M149" i="3"/>
  <c r="K143" i="4" s="1"/>
  <c r="R149" i="3"/>
  <c r="P143" i="4" s="1"/>
  <c r="K149" i="3"/>
  <c r="I143" i="4" s="1"/>
  <c r="T149" i="3"/>
  <c r="R143" i="4" s="1"/>
  <c r="U144" i="3"/>
  <c r="F144" i="3"/>
  <c r="D138" i="4" s="1"/>
  <c r="U145" i="3"/>
  <c r="F145" i="3"/>
  <c r="D139" i="4" s="1"/>
  <c r="H147" i="3"/>
  <c r="C140" i="4"/>
  <c r="Z146" i="3"/>
  <c r="AD12" i="3"/>
  <c r="Q149" i="3"/>
  <c r="O143" i="4" s="1"/>
  <c r="L149" i="3"/>
  <c r="J143" i="4" s="1"/>
  <c r="I149" i="3"/>
  <c r="G143" i="4" s="1"/>
  <c r="S149" i="3"/>
  <c r="Q143" i="4" s="1"/>
  <c r="P149" i="3"/>
  <c r="N143" i="4" s="1"/>
  <c r="J149" i="3"/>
  <c r="H143" i="4" s="1"/>
  <c r="G146" i="3"/>
  <c r="E140" i="4" s="1"/>
  <c r="X147" i="3"/>
  <c r="Y147" i="3" s="1"/>
  <c r="V147" i="3"/>
  <c r="W147" i="3" s="1"/>
  <c r="B141" i="4"/>
  <c r="A149" i="3"/>
  <c r="A142" i="4"/>
  <c r="C148" i="3"/>
  <c r="D147" i="3"/>
  <c r="E147" i="3" l="1"/>
  <c r="F141" i="4"/>
  <c r="O150" i="3"/>
  <c r="M144" i="4" s="1"/>
  <c r="N150" i="3"/>
  <c r="L144" i="4" s="1"/>
  <c r="M150" i="3"/>
  <c r="K144" i="4" s="1"/>
  <c r="R150" i="3"/>
  <c r="P144" i="4" s="1"/>
  <c r="T150" i="3"/>
  <c r="R144" i="4" s="1"/>
  <c r="K150" i="3"/>
  <c r="I144" i="4" s="1"/>
  <c r="U146" i="3"/>
  <c r="F146" i="3"/>
  <c r="D140" i="4" s="1"/>
  <c r="H148" i="3"/>
  <c r="C141" i="4"/>
  <c r="Z147" i="3"/>
  <c r="S150" i="3"/>
  <c r="Q144" i="4" s="1"/>
  <c r="P150" i="3"/>
  <c r="N144" i="4" s="1"/>
  <c r="J150" i="3"/>
  <c r="H144" i="4" s="1"/>
  <c r="Q150" i="3"/>
  <c r="O144" i="4" s="1"/>
  <c r="L150" i="3"/>
  <c r="J144" i="4" s="1"/>
  <c r="I150" i="3"/>
  <c r="G144" i="4" s="1"/>
  <c r="G147" i="3"/>
  <c r="E141" i="4" s="1"/>
  <c r="B142" i="4"/>
  <c r="V148" i="3"/>
  <c r="W148" i="3" s="1"/>
  <c r="X148" i="3"/>
  <c r="Y148" i="3" s="1"/>
  <c r="A150" i="3"/>
  <c r="A143" i="4"/>
  <c r="C149" i="3"/>
  <c r="D148" i="3"/>
  <c r="E148" i="3" l="1"/>
  <c r="F142" i="4"/>
  <c r="O151" i="3"/>
  <c r="M145" i="4" s="1"/>
  <c r="N151" i="3"/>
  <c r="L145" i="4" s="1"/>
  <c r="M151" i="3"/>
  <c r="K145" i="4" s="1"/>
  <c r="R151" i="3"/>
  <c r="P145" i="4" s="1"/>
  <c r="K151" i="3"/>
  <c r="I145" i="4" s="1"/>
  <c r="T151" i="3"/>
  <c r="R145" i="4" s="1"/>
  <c r="U147" i="3"/>
  <c r="F147" i="3"/>
  <c r="D141" i="4" s="1"/>
  <c r="H149" i="3"/>
  <c r="C142" i="4"/>
  <c r="Z148" i="3"/>
  <c r="G148" i="3" s="1"/>
  <c r="E142" i="4" s="1"/>
  <c r="Q151" i="3"/>
  <c r="O145" i="4" s="1"/>
  <c r="L151" i="3"/>
  <c r="J145" i="4" s="1"/>
  <c r="I151" i="3"/>
  <c r="G145" i="4" s="1"/>
  <c r="S151" i="3"/>
  <c r="Q145" i="4" s="1"/>
  <c r="P151" i="3"/>
  <c r="N145" i="4" s="1"/>
  <c r="J151" i="3"/>
  <c r="H145" i="4" s="1"/>
  <c r="D149" i="3"/>
  <c r="A151" i="3"/>
  <c r="A144" i="4"/>
  <c r="C150" i="3"/>
  <c r="E149" i="3" l="1"/>
  <c r="F143" i="4"/>
  <c r="F148" i="3"/>
  <c r="D142" i="4" s="1"/>
  <c r="T148" i="3"/>
  <c r="R142" i="4" s="1"/>
  <c r="O152" i="3"/>
  <c r="M146" i="4" s="1"/>
  <c r="N152" i="3"/>
  <c r="L146" i="4" s="1"/>
  <c r="M152" i="3"/>
  <c r="K146" i="4" s="1"/>
  <c r="R152" i="3"/>
  <c r="P146" i="4" s="1"/>
  <c r="K152" i="3"/>
  <c r="I146" i="4" s="1"/>
  <c r="T152" i="3"/>
  <c r="R146" i="4" s="1"/>
  <c r="H150" i="3"/>
  <c r="C143" i="4"/>
  <c r="S152" i="3"/>
  <c r="Q146" i="4" s="1"/>
  <c r="P152" i="3"/>
  <c r="N146" i="4" s="1"/>
  <c r="J152" i="3"/>
  <c r="H146" i="4" s="1"/>
  <c r="Q152" i="3"/>
  <c r="O146" i="4" s="1"/>
  <c r="L152" i="3"/>
  <c r="J146" i="4" s="1"/>
  <c r="I152" i="3"/>
  <c r="G146" i="4" s="1"/>
  <c r="B143" i="4"/>
  <c r="V149" i="3"/>
  <c r="W149" i="3" s="1"/>
  <c r="X149" i="3"/>
  <c r="Y149" i="3" s="1"/>
  <c r="Z149" i="3" s="1"/>
  <c r="V150" i="3"/>
  <c r="W150" i="3" s="1"/>
  <c r="A152" i="3"/>
  <c r="A145" i="4"/>
  <c r="C151" i="3"/>
  <c r="E150" i="3" l="1"/>
  <c r="F144" i="4"/>
  <c r="M153" i="3"/>
  <c r="K147" i="4" s="1"/>
  <c r="O153" i="3"/>
  <c r="M147" i="4" s="1"/>
  <c r="N153" i="3"/>
  <c r="L147" i="4" s="1"/>
  <c r="R153" i="3"/>
  <c r="P147" i="4" s="1"/>
  <c r="T153" i="3"/>
  <c r="R147" i="4" s="1"/>
  <c r="K153" i="3"/>
  <c r="I147" i="4" s="1"/>
  <c r="H151" i="3"/>
  <c r="Q153" i="3"/>
  <c r="O147" i="4" s="1"/>
  <c r="L153" i="3"/>
  <c r="J147" i="4" s="1"/>
  <c r="I153" i="3"/>
  <c r="G147" i="4" s="1"/>
  <c r="S153" i="3"/>
  <c r="Q147" i="4" s="1"/>
  <c r="P153" i="3"/>
  <c r="N147" i="4" s="1"/>
  <c r="J153" i="3"/>
  <c r="H147" i="4" s="1"/>
  <c r="G149" i="3"/>
  <c r="E143" i="4" s="1"/>
  <c r="B144" i="4"/>
  <c r="D150" i="3"/>
  <c r="D151" i="3"/>
  <c r="X150" i="3"/>
  <c r="Y150" i="3" s="1"/>
  <c r="A153" i="3"/>
  <c r="A146" i="4"/>
  <c r="C152" i="3"/>
  <c r="E151" i="3" l="1"/>
  <c r="F145" i="4"/>
  <c r="M154" i="3"/>
  <c r="K148" i="4" s="1"/>
  <c r="O154" i="3"/>
  <c r="M148" i="4" s="1"/>
  <c r="N154" i="3"/>
  <c r="L148" i="4" s="1"/>
  <c r="R154" i="3"/>
  <c r="P148" i="4" s="1"/>
  <c r="T154" i="3"/>
  <c r="R148" i="4" s="1"/>
  <c r="K154" i="3"/>
  <c r="I148" i="4" s="1"/>
  <c r="U149" i="3"/>
  <c r="F149" i="3"/>
  <c r="D143" i="4" s="1"/>
  <c r="H152" i="3"/>
  <c r="C144" i="4"/>
  <c r="Z150" i="3"/>
  <c r="C145" i="4"/>
  <c r="S154" i="3"/>
  <c r="Q148" i="4" s="1"/>
  <c r="P154" i="3"/>
  <c r="N148" i="4" s="1"/>
  <c r="J154" i="3"/>
  <c r="H148" i="4" s="1"/>
  <c r="Q154" i="3"/>
  <c r="O148" i="4" s="1"/>
  <c r="L154" i="3"/>
  <c r="J148" i="4" s="1"/>
  <c r="I154" i="3"/>
  <c r="G148" i="4" s="1"/>
  <c r="G150" i="3"/>
  <c r="E144" i="4" s="1"/>
  <c r="X151" i="3"/>
  <c r="Y151" i="3" s="1"/>
  <c r="Z151" i="3" s="1"/>
  <c r="V151" i="3"/>
  <c r="W151" i="3" s="1"/>
  <c r="G151" i="3" s="1"/>
  <c r="E145" i="4" s="1"/>
  <c r="D152" i="3"/>
  <c r="B145" i="4"/>
  <c r="A154" i="3"/>
  <c r="A147" i="4"/>
  <c r="C153" i="3"/>
  <c r="E152" i="3" l="1"/>
  <c r="F146" i="4"/>
  <c r="M155" i="3"/>
  <c r="K149" i="4" s="1"/>
  <c r="O155" i="3"/>
  <c r="M149" i="4" s="1"/>
  <c r="N155" i="3"/>
  <c r="L149" i="4" s="1"/>
  <c r="R155" i="3"/>
  <c r="P149" i="4" s="1"/>
  <c r="T155" i="3"/>
  <c r="R149" i="4" s="1"/>
  <c r="K155" i="3"/>
  <c r="I149" i="4" s="1"/>
  <c r="U151" i="3"/>
  <c r="F151" i="3"/>
  <c r="D145" i="4" s="1"/>
  <c r="U150" i="3"/>
  <c r="F150" i="3"/>
  <c r="D144" i="4" s="1"/>
  <c r="H153" i="3"/>
  <c r="C146" i="4"/>
  <c r="Q155" i="3"/>
  <c r="O149" i="4" s="1"/>
  <c r="L155" i="3"/>
  <c r="J149" i="4" s="1"/>
  <c r="I155" i="3"/>
  <c r="G149" i="4" s="1"/>
  <c r="S155" i="3"/>
  <c r="Q149" i="4" s="1"/>
  <c r="P155" i="3"/>
  <c r="N149" i="4" s="1"/>
  <c r="J155" i="3"/>
  <c r="H149" i="4" s="1"/>
  <c r="B146" i="4"/>
  <c r="V152" i="3"/>
  <c r="W152" i="3" s="1"/>
  <c r="X152" i="3"/>
  <c r="Y152" i="3" s="1"/>
  <c r="Z152" i="3" s="1"/>
  <c r="D153" i="3"/>
  <c r="A155" i="3"/>
  <c r="A148" i="4"/>
  <c r="C154" i="3"/>
  <c r="E153" i="3" l="1"/>
  <c r="F147" i="4"/>
  <c r="O156" i="3"/>
  <c r="M150" i="4" s="1"/>
  <c r="M156" i="3"/>
  <c r="K150" i="4" s="1"/>
  <c r="N156" i="3"/>
  <c r="L150" i="4" s="1"/>
  <c r="R156" i="3"/>
  <c r="P150" i="4" s="1"/>
  <c r="K156" i="3"/>
  <c r="I150" i="4" s="1"/>
  <c r="T156" i="3"/>
  <c r="R150" i="4" s="1"/>
  <c r="H154" i="3"/>
  <c r="C147" i="4"/>
  <c r="S156" i="3"/>
  <c r="Q150" i="4" s="1"/>
  <c r="P156" i="3"/>
  <c r="N150" i="4" s="1"/>
  <c r="J156" i="3"/>
  <c r="H150" i="4" s="1"/>
  <c r="Q156" i="3"/>
  <c r="O150" i="4" s="1"/>
  <c r="L156" i="3"/>
  <c r="J150" i="4" s="1"/>
  <c r="I156" i="3"/>
  <c r="G150" i="4" s="1"/>
  <c r="G152" i="3"/>
  <c r="E146" i="4" s="1"/>
  <c r="B147" i="4"/>
  <c r="V153" i="3"/>
  <c r="W153" i="3" s="1"/>
  <c r="X153" i="3"/>
  <c r="Y153" i="3" s="1"/>
  <c r="Z153" i="3" s="1"/>
  <c r="A156" i="3"/>
  <c r="A149" i="4"/>
  <c r="C155" i="3"/>
  <c r="B148" i="4"/>
  <c r="V154" i="3"/>
  <c r="W154" i="3" s="1"/>
  <c r="X154" i="3"/>
  <c r="Y154" i="3" s="1"/>
  <c r="D154" i="3"/>
  <c r="E154" i="3" l="1"/>
  <c r="F148" i="4"/>
  <c r="O157" i="3"/>
  <c r="M151" i="4" s="1"/>
  <c r="N157" i="3"/>
  <c r="L151" i="4" s="1"/>
  <c r="M157" i="3"/>
  <c r="K151" i="4" s="1"/>
  <c r="R157" i="3"/>
  <c r="P151" i="4" s="1"/>
  <c r="K157" i="3"/>
  <c r="I151" i="4" s="1"/>
  <c r="T157" i="3"/>
  <c r="R151" i="4" s="1"/>
  <c r="U152" i="3"/>
  <c r="F152" i="3"/>
  <c r="D146" i="4" s="1"/>
  <c r="H155" i="3"/>
  <c r="G153" i="3"/>
  <c r="E147" i="4" s="1"/>
  <c r="C148" i="4"/>
  <c r="Z154" i="3"/>
  <c r="Q157" i="3"/>
  <c r="O151" i="4" s="1"/>
  <c r="L157" i="3"/>
  <c r="J151" i="4" s="1"/>
  <c r="I157" i="3"/>
  <c r="G151" i="4" s="1"/>
  <c r="S157" i="3"/>
  <c r="Q151" i="4" s="1"/>
  <c r="P157" i="3"/>
  <c r="N151" i="4" s="1"/>
  <c r="J157" i="3"/>
  <c r="H151" i="4" s="1"/>
  <c r="G154" i="3"/>
  <c r="E148" i="4" s="1"/>
  <c r="X155" i="3"/>
  <c r="Y155" i="3" s="1"/>
  <c r="A157" i="3"/>
  <c r="A150" i="4"/>
  <c r="C156" i="3"/>
  <c r="E155" i="3" l="1"/>
  <c r="F149" i="4"/>
  <c r="O158" i="3"/>
  <c r="M152" i="4" s="1"/>
  <c r="N158" i="3"/>
  <c r="L152" i="4" s="1"/>
  <c r="M158" i="3"/>
  <c r="K152" i="4" s="1"/>
  <c r="R158" i="3"/>
  <c r="P152" i="4" s="1"/>
  <c r="K158" i="3"/>
  <c r="I152" i="4" s="1"/>
  <c r="T158" i="3"/>
  <c r="R152" i="4" s="1"/>
  <c r="U153" i="3"/>
  <c r="F153" i="3"/>
  <c r="D147" i="4" s="1"/>
  <c r="U154" i="3"/>
  <c r="F154" i="3"/>
  <c r="D148" i="4" s="1"/>
  <c r="H156" i="3"/>
  <c r="S158" i="3"/>
  <c r="Q152" i="4" s="1"/>
  <c r="P158" i="3"/>
  <c r="N152" i="4" s="1"/>
  <c r="J158" i="3"/>
  <c r="H152" i="4" s="1"/>
  <c r="Q158" i="3"/>
  <c r="O152" i="4" s="1"/>
  <c r="L158" i="3"/>
  <c r="J152" i="4" s="1"/>
  <c r="I158" i="3"/>
  <c r="G152" i="4" s="1"/>
  <c r="D155" i="3"/>
  <c r="V155" i="3"/>
  <c r="W155" i="3" s="1"/>
  <c r="B149" i="4"/>
  <c r="V156" i="3"/>
  <c r="W156" i="3" s="1"/>
  <c r="A158" i="3"/>
  <c r="A151" i="4"/>
  <c r="C157" i="3"/>
  <c r="E156" i="3" l="1"/>
  <c r="F150" i="4"/>
  <c r="O159" i="3"/>
  <c r="M153" i="4" s="1"/>
  <c r="N159" i="3"/>
  <c r="L153" i="4" s="1"/>
  <c r="M159" i="3"/>
  <c r="K153" i="4" s="1"/>
  <c r="R159" i="3"/>
  <c r="P153" i="4" s="1"/>
  <c r="K159" i="3"/>
  <c r="I153" i="4" s="1"/>
  <c r="T159" i="3"/>
  <c r="R153" i="4" s="1"/>
  <c r="H157" i="3"/>
  <c r="C149" i="4"/>
  <c r="Z155" i="3"/>
  <c r="G155" i="3"/>
  <c r="E149" i="4" s="1"/>
  <c r="Q159" i="3"/>
  <c r="O153" i="4" s="1"/>
  <c r="L159" i="3"/>
  <c r="J153" i="4" s="1"/>
  <c r="I159" i="3"/>
  <c r="G153" i="4" s="1"/>
  <c r="S159" i="3"/>
  <c r="Q153" i="4" s="1"/>
  <c r="P159" i="3"/>
  <c r="N153" i="4" s="1"/>
  <c r="J159" i="3"/>
  <c r="H153" i="4" s="1"/>
  <c r="B150" i="4"/>
  <c r="D156" i="3"/>
  <c r="X156" i="3"/>
  <c r="Y156" i="3" s="1"/>
  <c r="D157" i="3"/>
  <c r="A159" i="3"/>
  <c r="Q160" i="3" s="1"/>
  <c r="A152" i="4"/>
  <c r="C158" i="3"/>
  <c r="E157" i="3" l="1"/>
  <c r="F151" i="4"/>
  <c r="AC13" i="3"/>
  <c r="O154" i="4"/>
  <c r="O160" i="3"/>
  <c r="M154" i="4" s="1"/>
  <c r="N160" i="3"/>
  <c r="L154" i="4" s="1"/>
  <c r="M160" i="3"/>
  <c r="K154" i="4" s="1"/>
  <c r="R160" i="3"/>
  <c r="P154" i="4" s="1"/>
  <c r="T160" i="3"/>
  <c r="R154" i="4" s="1"/>
  <c r="K160" i="3"/>
  <c r="U155" i="3"/>
  <c r="F155" i="3"/>
  <c r="D149" i="4" s="1"/>
  <c r="H158" i="3"/>
  <c r="C150" i="4"/>
  <c r="Z156" i="3"/>
  <c r="C151" i="4"/>
  <c r="P160" i="3"/>
  <c r="N154" i="4" s="1"/>
  <c r="J160" i="3"/>
  <c r="H154" i="4" s="1"/>
  <c r="L160" i="3"/>
  <c r="J154" i="4" s="1"/>
  <c r="I160" i="3"/>
  <c r="G154" i="4" s="1"/>
  <c r="G156" i="3"/>
  <c r="E150" i="4" s="1"/>
  <c r="V157" i="3"/>
  <c r="W157" i="3" s="1"/>
  <c r="B151" i="4"/>
  <c r="X157" i="3"/>
  <c r="Y157" i="3" s="1"/>
  <c r="Z157" i="3" s="1"/>
  <c r="D158" i="3"/>
  <c r="A160" i="3"/>
  <c r="A153" i="4"/>
  <c r="C159" i="3"/>
  <c r="E158" i="3" l="1"/>
  <c r="F152" i="4"/>
  <c r="I154" i="4"/>
  <c r="M161" i="3"/>
  <c r="K155" i="4" s="1"/>
  <c r="O161" i="3"/>
  <c r="M155" i="4" s="1"/>
  <c r="N161" i="3"/>
  <c r="L155" i="4" s="1"/>
  <c r="R161" i="3"/>
  <c r="P155" i="4" s="1"/>
  <c r="T161" i="3"/>
  <c r="R155" i="4" s="1"/>
  <c r="K161" i="3"/>
  <c r="I155" i="4" s="1"/>
  <c r="U156" i="3"/>
  <c r="F156" i="3"/>
  <c r="D150" i="4" s="1"/>
  <c r="H159" i="3"/>
  <c r="C152" i="4"/>
  <c r="AD13" i="3"/>
  <c r="Q161" i="3"/>
  <c r="O155" i="4" s="1"/>
  <c r="L161" i="3"/>
  <c r="J155" i="4" s="1"/>
  <c r="I161" i="3"/>
  <c r="G155" i="4" s="1"/>
  <c r="S161" i="3"/>
  <c r="Q155" i="4" s="1"/>
  <c r="P161" i="3"/>
  <c r="N155" i="4" s="1"/>
  <c r="J161" i="3"/>
  <c r="H155" i="4" s="1"/>
  <c r="G157" i="3"/>
  <c r="E151" i="4" s="1"/>
  <c r="B152" i="4"/>
  <c r="X158" i="3"/>
  <c r="Y158" i="3" s="1"/>
  <c r="Z158" i="3" s="1"/>
  <c r="V158" i="3"/>
  <c r="W158" i="3" s="1"/>
  <c r="B153" i="4"/>
  <c r="A161" i="3"/>
  <c r="A154" i="4"/>
  <c r="C160" i="3"/>
  <c r="E159" i="3" l="1"/>
  <c r="F153" i="4"/>
  <c r="M162" i="3"/>
  <c r="K156" i="4" s="1"/>
  <c r="O162" i="3"/>
  <c r="M156" i="4" s="1"/>
  <c r="N162" i="3"/>
  <c r="L156" i="4" s="1"/>
  <c r="R162" i="3"/>
  <c r="P156" i="4" s="1"/>
  <c r="T162" i="3"/>
  <c r="R156" i="4" s="1"/>
  <c r="K162" i="3"/>
  <c r="I156" i="4" s="1"/>
  <c r="U157" i="3"/>
  <c r="F157" i="3"/>
  <c r="D151" i="4" s="1"/>
  <c r="H160" i="3"/>
  <c r="S162" i="3"/>
  <c r="Q156" i="4" s="1"/>
  <c r="P162" i="3"/>
  <c r="N156" i="4" s="1"/>
  <c r="J162" i="3"/>
  <c r="H156" i="4" s="1"/>
  <c r="Q162" i="3"/>
  <c r="O156" i="4" s="1"/>
  <c r="L162" i="3"/>
  <c r="J156" i="4" s="1"/>
  <c r="I162" i="3"/>
  <c r="G156" i="4" s="1"/>
  <c r="G158" i="3"/>
  <c r="E152" i="4" s="1"/>
  <c r="V159" i="3"/>
  <c r="W159" i="3" s="1"/>
  <c r="D159" i="3"/>
  <c r="X159" i="3"/>
  <c r="Y159" i="3" s="1"/>
  <c r="D160" i="3"/>
  <c r="A162" i="3"/>
  <c r="A155" i="4"/>
  <c r="C161" i="3"/>
  <c r="E160" i="3" l="1"/>
  <c r="F154" i="4"/>
  <c r="M163" i="3"/>
  <c r="K157" i="4" s="1"/>
  <c r="O163" i="3"/>
  <c r="M157" i="4" s="1"/>
  <c r="N163" i="3"/>
  <c r="L157" i="4" s="1"/>
  <c r="R163" i="3"/>
  <c r="P157" i="4" s="1"/>
  <c r="T163" i="3"/>
  <c r="R157" i="4" s="1"/>
  <c r="K163" i="3"/>
  <c r="I157" i="4" s="1"/>
  <c r="U158" i="3"/>
  <c r="F158" i="3"/>
  <c r="D152" i="4" s="1"/>
  <c r="H161" i="3"/>
  <c r="C154" i="4"/>
  <c r="C153" i="4"/>
  <c r="Z159" i="3"/>
  <c r="Q163" i="3"/>
  <c r="O157" i="4" s="1"/>
  <c r="L163" i="3"/>
  <c r="J157" i="4" s="1"/>
  <c r="I163" i="3"/>
  <c r="G157" i="4" s="1"/>
  <c r="S163" i="3"/>
  <c r="Q157" i="4" s="1"/>
  <c r="P163" i="3"/>
  <c r="N157" i="4" s="1"/>
  <c r="J163" i="3"/>
  <c r="H157" i="4" s="1"/>
  <c r="G159" i="3"/>
  <c r="E153" i="4" s="1"/>
  <c r="V160" i="3"/>
  <c r="W160" i="3" s="1"/>
  <c r="X160" i="3"/>
  <c r="Y160" i="3" s="1"/>
  <c r="Z160" i="3" s="1"/>
  <c r="D161" i="3"/>
  <c r="B154" i="4"/>
  <c r="A163" i="3"/>
  <c r="A156" i="4"/>
  <c r="C162" i="3"/>
  <c r="E161" i="3" l="1"/>
  <c r="F155" i="4"/>
  <c r="O164" i="3"/>
  <c r="M158" i="4" s="1"/>
  <c r="M164" i="3"/>
  <c r="K158" i="4" s="1"/>
  <c r="N164" i="3"/>
  <c r="L158" i="4" s="1"/>
  <c r="R164" i="3"/>
  <c r="P158" i="4" s="1"/>
  <c r="K164" i="3"/>
  <c r="I158" i="4" s="1"/>
  <c r="T164" i="3"/>
  <c r="R158" i="4" s="1"/>
  <c r="U159" i="3"/>
  <c r="F159" i="3"/>
  <c r="D153" i="4" s="1"/>
  <c r="H162" i="3"/>
  <c r="C155" i="4"/>
  <c r="S164" i="3"/>
  <c r="Q158" i="4" s="1"/>
  <c r="P164" i="3"/>
  <c r="N158" i="4" s="1"/>
  <c r="J164" i="3"/>
  <c r="H158" i="4" s="1"/>
  <c r="Q164" i="3"/>
  <c r="O158" i="4" s="1"/>
  <c r="L164" i="3"/>
  <c r="J158" i="4" s="1"/>
  <c r="I164" i="3"/>
  <c r="G158" i="4" s="1"/>
  <c r="G160" i="3"/>
  <c r="X161" i="3"/>
  <c r="Y161" i="3" s="1"/>
  <c r="Z161" i="3" s="1"/>
  <c r="V161" i="3"/>
  <c r="W161" i="3" s="1"/>
  <c r="B155" i="4"/>
  <c r="X162" i="3"/>
  <c r="Y162" i="3" s="1"/>
  <c r="B156" i="4"/>
  <c r="V162" i="3"/>
  <c r="W162" i="3" s="1"/>
  <c r="A164" i="3"/>
  <c r="A157" i="4"/>
  <c r="C163" i="3"/>
  <c r="D162" i="3"/>
  <c r="E162" i="3" l="1"/>
  <c r="F156" i="4"/>
  <c r="F160" i="3"/>
  <c r="D154" i="4" s="1"/>
  <c r="E154" i="4"/>
  <c r="O165" i="3"/>
  <c r="M159" i="4" s="1"/>
  <c r="M165" i="3"/>
  <c r="K159" i="4" s="1"/>
  <c r="N165" i="3"/>
  <c r="L159" i="4" s="1"/>
  <c r="R165" i="3"/>
  <c r="P159" i="4" s="1"/>
  <c r="K165" i="3"/>
  <c r="I159" i="4" s="1"/>
  <c r="T165" i="3"/>
  <c r="R159" i="4" s="1"/>
  <c r="H163" i="3"/>
  <c r="G161" i="3"/>
  <c r="E155" i="4" s="1"/>
  <c r="C156" i="4"/>
  <c r="Z162" i="3"/>
  <c r="Q165" i="3"/>
  <c r="O159" i="4" s="1"/>
  <c r="L165" i="3"/>
  <c r="J159" i="4" s="1"/>
  <c r="I165" i="3"/>
  <c r="G159" i="4" s="1"/>
  <c r="S165" i="3"/>
  <c r="Q159" i="4" s="1"/>
  <c r="P165" i="3"/>
  <c r="N159" i="4" s="1"/>
  <c r="J165" i="3"/>
  <c r="H159" i="4" s="1"/>
  <c r="G162" i="3"/>
  <c r="E156" i="4" s="1"/>
  <c r="S160" i="3"/>
  <c r="Q154" i="4" s="1"/>
  <c r="D163" i="3"/>
  <c r="A165" i="3"/>
  <c r="A158" i="4"/>
  <c r="C164" i="3"/>
  <c r="E163" i="3" l="1"/>
  <c r="F157" i="4"/>
  <c r="O166" i="3"/>
  <c r="M160" i="4" s="1"/>
  <c r="N166" i="3"/>
  <c r="L160" i="4" s="1"/>
  <c r="M166" i="3"/>
  <c r="K160" i="4" s="1"/>
  <c r="R166" i="3"/>
  <c r="P160" i="4" s="1"/>
  <c r="K166" i="3"/>
  <c r="I160" i="4" s="1"/>
  <c r="T166" i="3"/>
  <c r="R160" i="4" s="1"/>
  <c r="U161" i="3"/>
  <c r="F161" i="3"/>
  <c r="D155" i="4" s="1"/>
  <c r="U162" i="3"/>
  <c r="F162" i="3"/>
  <c r="D156" i="4" s="1"/>
  <c r="U160" i="3"/>
  <c r="H164" i="3"/>
  <c r="C157" i="4"/>
  <c r="S166" i="3"/>
  <c r="Q160" i="4" s="1"/>
  <c r="P166" i="3"/>
  <c r="N160" i="4" s="1"/>
  <c r="J166" i="3"/>
  <c r="H160" i="4" s="1"/>
  <c r="Q166" i="3"/>
  <c r="O160" i="4" s="1"/>
  <c r="L166" i="3"/>
  <c r="J160" i="4" s="1"/>
  <c r="I166" i="3"/>
  <c r="G160" i="4" s="1"/>
  <c r="B157" i="4"/>
  <c r="V163" i="3"/>
  <c r="W163" i="3" s="1"/>
  <c r="X163" i="3"/>
  <c r="Y163" i="3" s="1"/>
  <c r="Z163" i="3" s="1"/>
  <c r="D164" i="3"/>
  <c r="B158" i="4"/>
  <c r="V164" i="3"/>
  <c r="W164" i="3" s="1"/>
  <c r="X164" i="3"/>
  <c r="Y164" i="3" s="1"/>
  <c r="A166" i="3"/>
  <c r="A159" i="4"/>
  <c r="C165" i="3"/>
  <c r="E164" i="3" l="1"/>
  <c r="F158" i="4"/>
  <c r="O167" i="3"/>
  <c r="M161" i="4" s="1"/>
  <c r="N167" i="3"/>
  <c r="L161" i="4" s="1"/>
  <c r="M167" i="3"/>
  <c r="K161" i="4" s="1"/>
  <c r="R167" i="3"/>
  <c r="P161" i="4" s="1"/>
  <c r="T167" i="3"/>
  <c r="R161" i="4" s="1"/>
  <c r="K167" i="3"/>
  <c r="I161" i="4" s="1"/>
  <c r="H165" i="3"/>
  <c r="C158" i="4"/>
  <c r="Z164" i="3"/>
  <c r="G164" i="3" s="1"/>
  <c r="E158" i="4" s="1"/>
  <c r="Q167" i="3"/>
  <c r="O161" i="4" s="1"/>
  <c r="L167" i="3"/>
  <c r="J161" i="4" s="1"/>
  <c r="I167" i="3"/>
  <c r="G161" i="4" s="1"/>
  <c r="S167" i="3"/>
  <c r="Q161" i="4" s="1"/>
  <c r="P167" i="3"/>
  <c r="N161" i="4" s="1"/>
  <c r="J167" i="3"/>
  <c r="H161" i="4" s="1"/>
  <c r="G163" i="3"/>
  <c r="E157" i="4" s="1"/>
  <c r="D165" i="3"/>
  <c r="A167" i="3"/>
  <c r="A160" i="4"/>
  <c r="C166" i="3"/>
  <c r="E165" i="3" l="1"/>
  <c r="F159" i="4"/>
  <c r="O168" i="3"/>
  <c r="M162" i="4" s="1"/>
  <c r="N168" i="3"/>
  <c r="L162" i="4" s="1"/>
  <c r="M168" i="3"/>
  <c r="K162" i="4" s="1"/>
  <c r="R168" i="3"/>
  <c r="P162" i="4" s="1"/>
  <c r="T168" i="3"/>
  <c r="R162" i="4" s="1"/>
  <c r="K168" i="3"/>
  <c r="I162" i="4" s="1"/>
  <c r="U164" i="3"/>
  <c r="F164" i="3"/>
  <c r="D158" i="4" s="1"/>
  <c r="U163" i="3"/>
  <c r="F163" i="3"/>
  <c r="D157" i="4" s="1"/>
  <c r="H166" i="3"/>
  <c r="C159" i="4"/>
  <c r="B159" i="4"/>
  <c r="S168" i="3"/>
  <c r="Q162" i="4" s="1"/>
  <c r="P168" i="3"/>
  <c r="N162" i="4" s="1"/>
  <c r="J168" i="3"/>
  <c r="H162" i="4" s="1"/>
  <c r="Q168" i="3"/>
  <c r="O162" i="4" s="1"/>
  <c r="L168" i="3"/>
  <c r="J162" i="4" s="1"/>
  <c r="I168" i="3"/>
  <c r="G162" i="4" s="1"/>
  <c r="X165" i="3"/>
  <c r="Y165" i="3" s="1"/>
  <c r="Z165" i="3" s="1"/>
  <c r="V165" i="3"/>
  <c r="W165" i="3" s="1"/>
  <c r="V166" i="3"/>
  <c r="W166" i="3" s="1"/>
  <c r="B160" i="4"/>
  <c r="X166" i="3"/>
  <c r="Y166" i="3" s="1"/>
  <c r="A168" i="3"/>
  <c r="A161" i="4"/>
  <c r="C167" i="3"/>
  <c r="D166" i="3"/>
  <c r="E166" i="3" l="1"/>
  <c r="F160" i="4"/>
  <c r="M169" i="3"/>
  <c r="K163" i="4" s="1"/>
  <c r="O169" i="3"/>
  <c r="M163" i="4" s="1"/>
  <c r="N169" i="3"/>
  <c r="L163" i="4" s="1"/>
  <c r="R169" i="3"/>
  <c r="P163" i="4" s="1"/>
  <c r="K169" i="3"/>
  <c r="I163" i="4" s="1"/>
  <c r="T169" i="3"/>
  <c r="R163" i="4" s="1"/>
  <c r="H167" i="3"/>
  <c r="G165" i="3"/>
  <c r="E159" i="4" s="1"/>
  <c r="C160" i="4"/>
  <c r="Z166" i="3"/>
  <c r="Q169" i="3"/>
  <c r="O163" i="4" s="1"/>
  <c r="L169" i="3"/>
  <c r="J163" i="4" s="1"/>
  <c r="I169" i="3"/>
  <c r="G163" i="4" s="1"/>
  <c r="S169" i="3"/>
  <c r="Q163" i="4" s="1"/>
  <c r="P169" i="3"/>
  <c r="N163" i="4" s="1"/>
  <c r="J169" i="3"/>
  <c r="H163" i="4" s="1"/>
  <c r="G166" i="3"/>
  <c r="E160" i="4" s="1"/>
  <c r="B161" i="4"/>
  <c r="X167" i="3"/>
  <c r="Y167" i="3" s="1"/>
  <c r="V167" i="3"/>
  <c r="W167" i="3" s="1"/>
  <c r="A169" i="3"/>
  <c r="A162" i="4"/>
  <c r="C168" i="3"/>
  <c r="D167" i="3"/>
  <c r="E167" i="3" l="1"/>
  <c r="F161" i="4"/>
  <c r="M170" i="3"/>
  <c r="K164" i="4" s="1"/>
  <c r="O170" i="3"/>
  <c r="M164" i="4" s="1"/>
  <c r="N170" i="3"/>
  <c r="L164" i="4" s="1"/>
  <c r="R170" i="3"/>
  <c r="P164" i="4" s="1"/>
  <c r="K170" i="3"/>
  <c r="I164" i="4" s="1"/>
  <c r="U166" i="3"/>
  <c r="F166" i="3"/>
  <c r="D160" i="4" s="1"/>
  <c r="U165" i="3"/>
  <c r="F165" i="3"/>
  <c r="D159" i="4" s="1"/>
  <c r="H168" i="3"/>
  <c r="C161" i="4"/>
  <c r="Z167" i="3"/>
  <c r="P170" i="3"/>
  <c r="N164" i="4" s="1"/>
  <c r="J170" i="3"/>
  <c r="H164" i="4" s="1"/>
  <c r="Q170" i="3"/>
  <c r="O164" i="4" s="1"/>
  <c r="L170" i="3"/>
  <c r="J164" i="4" s="1"/>
  <c r="I170" i="3"/>
  <c r="G164" i="4" s="1"/>
  <c r="G167" i="3"/>
  <c r="E161" i="4" s="1"/>
  <c r="D168" i="3"/>
  <c r="A170" i="3"/>
  <c r="A163" i="4"/>
  <c r="C169" i="3"/>
  <c r="E168" i="3" l="1"/>
  <c r="F162" i="4"/>
  <c r="M171" i="3"/>
  <c r="K165" i="4" s="1"/>
  <c r="O171" i="3"/>
  <c r="M165" i="4" s="1"/>
  <c r="N171" i="3"/>
  <c r="L165" i="4" s="1"/>
  <c r="R171" i="3"/>
  <c r="P165" i="4" s="1"/>
  <c r="T171" i="3"/>
  <c r="R165" i="4" s="1"/>
  <c r="K171" i="3"/>
  <c r="I165" i="4" s="1"/>
  <c r="U167" i="3"/>
  <c r="F167" i="3"/>
  <c r="D161" i="4" s="1"/>
  <c r="H169" i="3"/>
  <c r="C162" i="4"/>
  <c r="Q171" i="3"/>
  <c r="O165" i="4" s="1"/>
  <c r="L171" i="3"/>
  <c r="J165" i="4" s="1"/>
  <c r="I171" i="3"/>
  <c r="G165" i="4" s="1"/>
  <c r="S171" i="3"/>
  <c r="Q165" i="4" s="1"/>
  <c r="P171" i="3"/>
  <c r="N165" i="4" s="1"/>
  <c r="J171" i="3"/>
  <c r="H165" i="4" s="1"/>
  <c r="X168" i="3"/>
  <c r="Y168" i="3" s="1"/>
  <c r="Z168" i="3" s="1"/>
  <c r="V168" i="3"/>
  <c r="W168" i="3" s="1"/>
  <c r="B162" i="4"/>
  <c r="D169" i="3"/>
  <c r="A171" i="3"/>
  <c r="Q172" i="3" s="1"/>
  <c r="A164" i="4"/>
  <c r="C170" i="3"/>
  <c r="E169" i="3" l="1"/>
  <c r="F163" i="4"/>
  <c r="AC14" i="3"/>
  <c r="O166" i="4"/>
  <c r="O172" i="3"/>
  <c r="M166" i="4" s="1"/>
  <c r="M172" i="3"/>
  <c r="K166" i="4" s="1"/>
  <c r="N172" i="3"/>
  <c r="L166" i="4" s="1"/>
  <c r="R172" i="3"/>
  <c r="P166" i="4" s="1"/>
  <c r="K172" i="3"/>
  <c r="H170" i="3"/>
  <c r="C163" i="4"/>
  <c r="P172" i="3"/>
  <c r="N166" i="4" s="1"/>
  <c r="J172" i="3"/>
  <c r="H166" i="4" s="1"/>
  <c r="L172" i="3"/>
  <c r="J166" i="4" s="1"/>
  <c r="I172" i="3"/>
  <c r="G166" i="4" s="1"/>
  <c r="G168" i="3"/>
  <c r="E162" i="4" s="1"/>
  <c r="B163" i="4"/>
  <c r="X169" i="3"/>
  <c r="Y169" i="3" s="1"/>
  <c r="Z169" i="3" s="1"/>
  <c r="V169" i="3"/>
  <c r="W169" i="3" s="1"/>
  <c r="D170" i="3"/>
  <c r="A172" i="3"/>
  <c r="A165" i="4"/>
  <c r="C171" i="3"/>
  <c r="E170" i="3" l="1"/>
  <c r="F164" i="4"/>
  <c r="I166" i="4"/>
  <c r="O173" i="3"/>
  <c r="M167" i="4" s="1"/>
  <c r="M173" i="3"/>
  <c r="K167" i="4" s="1"/>
  <c r="N173" i="3"/>
  <c r="L167" i="4" s="1"/>
  <c r="R173" i="3"/>
  <c r="P167" i="4" s="1"/>
  <c r="K173" i="3"/>
  <c r="I167" i="4" s="1"/>
  <c r="T173" i="3"/>
  <c r="R167" i="4" s="1"/>
  <c r="U168" i="3"/>
  <c r="F168" i="3"/>
  <c r="D162" i="4" s="1"/>
  <c r="H171" i="3"/>
  <c r="C164" i="4"/>
  <c r="AD14" i="3"/>
  <c r="Q173" i="3"/>
  <c r="O167" i="4" s="1"/>
  <c r="L173" i="3"/>
  <c r="J167" i="4" s="1"/>
  <c r="I173" i="3"/>
  <c r="G167" i="4" s="1"/>
  <c r="S173" i="3"/>
  <c r="Q167" i="4" s="1"/>
  <c r="P173" i="3"/>
  <c r="N167" i="4" s="1"/>
  <c r="J173" i="3"/>
  <c r="H167" i="4" s="1"/>
  <c r="G169" i="3"/>
  <c r="E163" i="4" s="1"/>
  <c r="V170" i="3"/>
  <c r="W170" i="3" s="1"/>
  <c r="X170" i="3"/>
  <c r="Y170" i="3" s="1"/>
  <c r="Z170" i="3" s="1"/>
  <c r="B164" i="4"/>
  <c r="B165" i="4"/>
  <c r="X171" i="3"/>
  <c r="Y171" i="3" s="1"/>
  <c r="V171" i="3"/>
  <c r="W171" i="3" s="1"/>
  <c r="A173" i="3"/>
  <c r="A166" i="4"/>
  <c r="C172" i="3"/>
  <c r="D171" i="3"/>
  <c r="E171" i="3" l="1"/>
  <c r="F165" i="4"/>
  <c r="O174" i="3"/>
  <c r="M168" i="4" s="1"/>
  <c r="N174" i="3"/>
  <c r="L168" i="4" s="1"/>
  <c r="M174" i="3"/>
  <c r="K168" i="4" s="1"/>
  <c r="R174" i="3"/>
  <c r="P168" i="4" s="1"/>
  <c r="K174" i="3"/>
  <c r="I168" i="4" s="1"/>
  <c r="T174" i="3"/>
  <c r="R168" i="4" s="1"/>
  <c r="U169" i="3"/>
  <c r="F169" i="3"/>
  <c r="D163" i="4" s="1"/>
  <c r="H172" i="3"/>
  <c r="C165" i="4"/>
  <c r="Z171" i="3"/>
  <c r="S174" i="3"/>
  <c r="Q168" i="4" s="1"/>
  <c r="P174" i="3"/>
  <c r="N168" i="4" s="1"/>
  <c r="J174" i="3"/>
  <c r="H168" i="4" s="1"/>
  <c r="Q174" i="3"/>
  <c r="O168" i="4" s="1"/>
  <c r="L174" i="3"/>
  <c r="J168" i="4" s="1"/>
  <c r="I174" i="3"/>
  <c r="G168" i="4" s="1"/>
  <c r="G171" i="3"/>
  <c r="E165" i="4" s="1"/>
  <c r="G170" i="3"/>
  <c r="D172" i="3"/>
  <c r="A174" i="3"/>
  <c r="A167" i="4"/>
  <c r="C173" i="3"/>
  <c r="X172" i="3"/>
  <c r="Y172" i="3" s="1"/>
  <c r="E172" i="3" l="1"/>
  <c r="F166" i="4"/>
  <c r="T170" i="3"/>
  <c r="R164" i="4" s="1"/>
  <c r="E164" i="4"/>
  <c r="O175" i="3"/>
  <c r="M169" i="4" s="1"/>
  <c r="N175" i="3"/>
  <c r="L169" i="4" s="1"/>
  <c r="M175" i="3"/>
  <c r="K169" i="4" s="1"/>
  <c r="R175" i="3"/>
  <c r="P169" i="4" s="1"/>
  <c r="K175" i="3"/>
  <c r="I169" i="4" s="1"/>
  <c r="T175" i="3"/>
  <c r="R169" i="4" s="1"/>
  <c r="U171" i="3"/>
  <c r="F171" i="3"/>
  <c r="D165" i="4" s="1"/>
  <c r="F170" i="3"/>
  <c r="D164" i="4" s="1"/>
  <c r="H173" i="3"/>
  <c r="C166" i="4"/>
  <c r="Z172" i="3"/>
  <c r="Q175" i="3"/>
  <c r="O169" i="4" s="1"/>
  <c r="L175" i="3"/>
  <c r="J169" i="4" s="1"/>
  <c r="I175" i="3"/>
  <c r="G169" i="4" s="1"/>
  <c r="S175" i="3"/>
  <c r="Q169" i="4" s="1"/>
  <c r="P175" i="3"/>
  <c r="N169" i="4" s="1"/>
  <c r="J175" i="3"/>
  <c r="H169" i="4" s="1"/>
  <c r="V172" i="3"/>
  <c r="W172" i="3" s="1"/>
  <c r="G172" i="3" s="1"/>
  <c r="E166" i="4" s="1"/>
  <c r="B166" i="4"/>
  <c r="B167" i="4"/>
  <c r="A175" i="3"/>
  <c r="A168" i="4"/>
  <c r="C174" i="3"/>
  <c r="E173" i="3" l="1"/>
  <c r="F167" i="4"/>
  <c r="F172" i="3"/>
  <c r="D166" i="4" s="1"/>
  <c r="T172" i="3"/>
  <c r="R166" i="4" s="1"/>
  <c r="O176" i="3"/>
  <c r="M170" i="4" s="1"/>
  <c r="N176" i="3"/>
  <c r="L170" i="4" s="1"/>
  <c r="M176" i="3"/>
  <c r="K170" i="4" s="1"/>
  <c r="R176" i="3"/>
  <c r="P170" i="4" s="1"/>
  <c r="K176" i="3"/>
  <c r="I170" i="4" s="1"/>
  <c r="T176" i="3"/>
  <c r="R170" i="4" s="1"/>
  <c r="H174" i="3"/>
  <c r="S176" i="3"/>
  <c r="Q170" i="4" s="1"/>
  <c r="P176" i="3"/>
  <c r="N170" i="4" s="1"/>
  <c r="J176" i="3"/>
  <c r="H170" i="4" s="1"/>
  <c r="Q176" i="3"/>
  <c r="O170" i="4" s="1"/>
  <c r="L176" i="3"/>
  <c r="J170" i="4" s="1"/>
  <c r="I176" i="3"/>
  <c r="G170" i="4" s="1"/>
  <c r="D173" i="3"/>
  <c r="V173" i="3"/>
  <c r="W173" i="3" s="1"/>
  <c r="X173" i="3"/>
  <c r="Y173" i="3" s="1"/>
  <c r="X174" i="3"/>
  <c r="Y174" i="3" s="1"/>
  <c r="A176" i="3"/>
  <c r="A169" i="4"/>
  <c r="C175" i="3"/>
  <c r="E174" i="3" l="1"/>
  <c r="F168" i="4"/>
  <c r="M177" i="3"/>
  <c r="K171" i="4" s="1"/>
  <c r="O177" i="3"/>
  <c r="M171" i="4" s="1"/>
  <c r="N177" i="3"/>
  <c r="L171" i="4" s="1"/>
  <c r="R177" i="3"/>
  <c r="P171" i="4" s="1"/>
  <c r="T177" i="3"/>
  <c r="R171" i="4" s="1"/>
  <c r="K177" i="3"/>
  <c r="I171" i="4" s="1"/>
  <c r="H175" i="3"/>
  <c r="C167" i="4"/>
  <c r="Z173" i="3"/>
  <c r="G173" i="3" s="1"/>
  <c r="E167" i="4" s="1"/>
  <c r="Q177" i="3"/>
  <c r="O171" i="4" s="1"/>
  <c r="L177" i="3"/>
  <c r="J171" i="4" s="1"/>
  <c r="I177" i="3"/>
  <c r="G171" i="4" s="1"/>
  <c r="S177" i="3"/>
  <c r="Q171" i="4" s="1"/>
  <c r="P177" i="3"/>
  <c r="N171" i="4" s="1"/>
  <c r="J177" i="3"/>
  <c r="H171" i="4" s="1"/>
  <c r="D174" i="3"/>
  <c r="V174" i="3"/>
  <c r="W174" i="3" s="1"/>
  <c r="B168" i="4"/>
  <c r="B169" i="4"/>
  <c r="V175" i="3"/>
  <c r="W175" i="3" s="1"/>
  <c r="X175" i="3"/>
  <c r="Y175" i="3" s="1"/>
  <c r="A177" i="3"/>
  <c r="A170" i="4"/>
  <c r="C176" i="3"/>
  <c r="D175" i="3"/>
  <c r="E175" i="3" l="1"/>
  <c r="F169" i="4"/>
  <c r="M178" i="3"/>
  <c r="K172" i="4" s="1"/>
  <c r="O178" i="3"/>
  <c r="M172" i="4" s="1"/>
  <c r="N178" i="3"/>
  <c r="L172" i="4" s="1"/>
  <c r="R178" i="3"/>
  <c r="P172" i="4" s="1"/>
  <c r="T178" i="3"/>
  <c r="R172" i="4" s="1"/>
  <c r="K178" i="3"/>
  <c r="I172" i="4" s="1"/>
  <c r="U173" i="3"/>
  <c r="F173" i="3"/>
  <c r="D167" i="4" s="1"/>
  <c r="H176" i="3"/>
  <c r="C169" i="4"/>
  <c r="Z175" i="3"/>
  <c r="C168" i="4"/>
  <c r="Z174" i="3"/>
  <c r="S178" i="3"/>
  <c r="Q172" i="4" s="1"/>
  <c r="P178" i="3"/>
  <c r="N172" i="4" s="1"/>
  <c r="J178" i="3"/>
  <c r="H172" i="4" s="1"/>
  <c r="Q178" i="3"/>
  <c r="O172" i="4" s="1"/>
  <c r="L178" i="3"/>
  <c r="J172" i="4" s="1"/>
  <c r="I178" i="3"/>
  <c r="G172" i="4" s="1"/>
  <c r="G175" i="3"/>
  <c r="E169" i="4" s="1"/>
  <c r="G174" i="3"/>
  <c r="E168" i="4" s="1"/>
  <c r="D176" i="3"/>
  <c r="A178" i="3"/>
  <c r="A171" i="4"/>
  <c r="C177" i="3"/>
  <c r="E176" i="3" l="1"/>
  <c r="F170" i="4"/>
  <c r="M179" i="3"/>
  <c r="K173" i="4" s="1"/>
  <c r="O179" i="3"/>
  <c r="M173" i="4" s="1"/>
  <c r="N179" i="3"/>
  <c r="L173" i="4" s="1"/>
  <c r="R179" i="3"/>
  <c r="P173" i="4" s="1"/>
  <c r="T179" i="3"/>
  <c r="R173" i="4" s="1"/>
  <c r="K179" i="3"/>
  <c r="I173" i="4" s="1"/>
  <c r="U174" i="3"/>
  <c r="F174" i="3"/>
  <c r="D168" i="4" s="1"/>
  <c r="U175" i="3"/>
  <c r="F175" i="3"/>
  <c r="D169" i="4" s="1"/>
  <c r="H177" i="3"/>
  <c r="C170" i="4"/>
  <c r="Q179" i="3"/>
  <c r="O173" i="4" s="1"/>
  <c r="L179" i="3"/>
  <c r="J173" i="4" s="1"/>
  <c r="I179" i="3"/>
  <c r="G173" i="4" s="1"/>
  <c r="S179" i="3"/>
  <c r="Q173" i="4" s="1"/>
  <c r="P179" i="3"/>
  <c r="N173" i="4" s="1"/>
  <c r="J179" i="3"/>
  <c r="H173" i="4" s="1"/>
  <c r="X176" i="3"/>
  <c r="Y176" i="3" s="1"/>
  <c r="Z176" i="3" s="1"/>
  <c r="B170" i="4"/>
  <c r="D177" i="3"/>
  <c r="V176" i="3"/>
  <c r="W176" i="3" s="1"/>
  <c r="A179" i="3"/>
  <c r="A172" i="4"/>
  <c r="C178" i="3"/>
  <c r="E177" i="3" l="1"/>
  <c r="F171" i="4"/>
  <c r="O180" i="3"/>
  <c r="M174" i="4" s="1"/>
  <c r="M180" i="3"/>
  <c r="K174" i="4" s="1"/>
  <c r="N180" i="3"/>
  <c r="L174" i="4" s="1"/>
  <c r="R180" i="3"/>
  <c r="P174" i="4" s="1"/>
  <c r="K180" i="3"/>
  <c r="I174" i="4" s="1"/>
  <c r="T180" i="3"/>
  <c r="R174" i="4" s="1"/>
  <c r="H178" i="3"/>
  <c r="C171" i="4"/>
  <c r="S180" i="3"/>
  <c r="Q174" i="4" s="1"/>
  <c r="P180" i="3"/>
  <c r="N174" i="4" s="1"/>
  <c r="J180" i="3"/>
  <c r="H174" i="4" s="1"/>
  <c r="Q180" i="3"/>
  <c r="O174" i="4" s="1"/>
  <c r="L180" i="3"/>
  <c r="J174" i="4" s="1"/>
  <c r="I180" i="3"/>
  <c r="G174" i="4" s="1"/>
  <c r="G176" i="3"/>
  <c r="E170" i="4" s="1"/>
  <c r="B171" i="4"/>
  <c r="X177" i="3"/>
  <c r="Y177" i="3" s="1"/>
  <c r="Z177" i="3" s="1"/>
  <c r="V177" i="3"/>
  <c r="W177" i="3" s="1"/>
  <c r="B172" i="4"/>
  <c r="V178" i="3"/>
  <c r="W178" i="3" s="1"/>
  <c r="X178" i="3"/>
  <c r="Y178" i="3" s="1"/>
  <c r="A180" i="3"/>
  <c r="A173" i="4"/>
  <c r="C179" i="3"/>
  <c r="D178" i="3"/>
  <c r="E178" i="3" l="1"/>
  <c r="F172" i="4"/>
  <c r="O181" i="3"/>
  <c r="M175" i="4" s="1"/>
  <c r="M181" i="3"/>
  <c r="K175" i="4" s="1"/>
  <c r="N181" i="3"/>
  <c r="L175" i="4" s="1"/>
  <c r="R181" i="3"/>
  <c r="P175" i="4" s="1"/>
  <c r="K181" i="3"/>
  <c r="I175" i="4" s="1"/>
  <c r="T181" i="3"/>
  <c r="R175" i="4" s="1"/>
  <c r="U176" i="3"/>
  <c r="F176" i="3"/>
  <c r="D170" i="4" s="1"/>
  <c r="H179" i="3"/>
  <c r="C172" i="4"/>
  <c r="Z178" i="3"/>
  <c r="Q181" i="3"/>
  <c r="O175" i="4" s="1"/>
  <c r="L181" i="3"/>
  <c r="J175" i="4" s="1"/>
  <c r="I181" i="3"/>
  <c r="G175" i="4" s="1"/>
  <c r="S181" i="3"/>
  <c r="Q175" i="4" s="1"/>
  <c r="P181" i="3"/>
  <c r="N175" i="4" s="1"/>
  <c r="J181" i="3"/>
  <c r="H175" i="4" s="1"/>
  <c r="G178" i="3"/>
  <c r="E172" i="4" s="1"/>
  <c r="G177" i="3"/>
  <c r="E171" i="4" s="1"/>
  <c r="V179" i="3"/>
  <c r="W179" i="3" s="1"/>
  <c r="A181" i="3"/>
  <c r="A174" i="4"/>
  <c r="C180" i="3"/>
  <c r="E179" i="3" l="1"/>
  <c r="F173" i="4"/>
  <c r="O182" i="3"/>
  <c r="M176" i="4" s="1"/>
  <c r="N182" i="3"/>
  <c r="L176" i="4" s="1"/>
  <c r="M182" i="3"/>
  <c r="K176" i="4" s="1"/>
  <c r="R182" i="3"/>
  <c r="P176" i="4" s="1"/>
  <c r="K182" i="3"/>
  <c r="I176" i="4" s="1"/>
  <c r="T182" i="3"/>
  <c r="R176" i="4" s="1"/>
  <c r="U177" i="3"/>
  <c r="F177" i="3"/>
  <c r="D171" i="4" s="1"/>
  <c r="U178" i="3"/>
  <c r="F178" i="3"/>
  <c r="D172" i="4" s="1"/>
  <c r="H180" i="3"/>
  <c r="S182" i="3"/>
  <c r="Q176" i="4" s="1"/>
  <c r="P182" i="3"/>
  <c r="N176" i="4" s="1"/>
  <c r="J182" i="3"/>
  <c r="H176" i="4" s="1"/>
  <c r="Q182" i="3"/>
  <c r="O176" i="4" s="1"/>
  <c r="L182" i="3"/>
  <c r="J176" i="4" s="1"/>
  <c r="I182" i="3"/>
  <c r="G176" i="4" s="1"/>
  <c r="B173" i="4"/>
  <c r="D179" i="3"/>
  <c r="X179" i="3"/>
  <c r="Y179" i="3" s="1"/>
  <c r="B174" i="4"/>
  <c r="X180" i="3"/>
  <c r="Y180" i="3" s="1"/>
  <c r="V180" i="3"/>
  <c r="W180" i="3" s="1"/>
  <c r="A182" i="3"/>
  <c r="A175" i="4"/>
  <c r="C181" i="3"/>
  <c r="D180" i="3"/>
  <c r="E180" i="3" l="1"/>
  <c r="F174" i="4"/>
  <c r="O183" i="3"/>
  <c r="M177" i="4" s="1"/>
  <c r="N183" i="3"/>
  <c r="L177" i="4" s="1"/>
  <c r="M183" i="3"/>
  <c r="K177" i="4" s="1"/>
  <c r="R183" i="3"/>
  <c r="P177" i="4" s="1"/>
  <c r="K183" i="3"/>
  <c r="I177" i="4" s="1"/>
  <c r="T183" i="3"/>
  <c r="R177" i="4" s="1"/>
  <c r="H181" i="3"/>
  <c r="C174" i="4"/>
  <c r="Z180" i="3"/>
  <c r="C173" i="4"/>
  <c r="Z179" i="3"/>
  <c r="Q183" i="3"/>
  <c r="O177" i="4" s="1"/>
  <c r="L183" i="3"/>
  <c r="J177" i="4" s="1"/>
  <c r="I183" i="3"/>
  <c r="G177" i="4" s="1"/>
  <c r="S183" i="3"/>
  <c r="Q177" i="4" s="1"/>
  <c r="P183" i="3"/>
  <c r="N177" i="4" s="1"/>
  <c r="J183" i="3"/>
  <c r="H177" i="4" s="1"/>
  <c r="G180" i="3"/>
  <c r="E174" i="4" s="1"/>
  <c r="G179" i="3"/>
  <c r="E173" i="4" s="1"/>
  <c r="D181" i="3"/>
  <c r="A183" i="3"/>
  <c r="Q184" i="3" s="1"/>
  <c r="A176" i="4"/>
  <c r="C182" i="3"/>
  <c r="E181" i="3" l="1"/>
  <c r="F175" i="4"/>
  <c r="AC15" i="3"/>
  <c r="O178" i="4"/>
  <c r="O184" i="3"/>
  <c r="M178" i="4" s="1"/>
  <c r="N184" i="3"/>
  <c r="L178" i="4" s="1"/>
  <c r="M184" i="3"/>
  <c r="K178" i="4" s="1"/>
  <c r="R184" i="3"/>
  <c r="P178" i="4" s="1"/>
  <c r="T184" i="3"/>
  <c r="R178" i="4" s="1"/>
  <c r="K184" i="3"/>
  <c r="U179" i="3"/>
  <c r="F179" i="3"/>
  <c r="D173" i="4" s="1"/>
  <c r="U180" i="3"/>
  <c r="F180" i="3"/>
  <c r="D174" i="4" s="1"/>
  <c r="H182" i="3"/>
  <c r="C175" i="4"/>
  <c r="P184" i="3"/>
  <c r="N178" i="4" s="1"/>
  <c r="J184" i="3"/>
  <c r="H178" i="4" s="1"/>
  <c r="L184" i="3"/>
  <c r="J178" i="4" s="1"/>
  <c r="I184" i="3"/>
  <c r="G178" i="4" s="1"/>
  <c r="X181" i="3"/>
  <c r="Y181" i="3" s="1"/>
  <c r="Z181" i="3" s="1"/>
  <c r="B175" i="4"/>
  <c r="V181" i="3"/>
  <c r="W181" i="3" s="1"/>
  <c r="V182" i="3"/>
  <c r="W182" i="3" s="1"/>
  <c r="B176" i="4"/>
  <c r="X182" i="3"/>
  <c r="Y182" i="3" s="1"/>
  <c r="A184" i="3"/>
  <c r="A177" i="4"/>
  <c r="C183" i="3"/>
  <c r="D182" i="3"/>
  <c r="E182" i="3" l="1"/>
  <c r="F176" i="4"/>
  <c r="I178" i="4"/>
  <c r="M185" i="3"/>
  <c r="K179" i="4" s="1"/>
  <c r="O185" i="3"/>
  <c r="M179" i="4" s="1"/>
  <c r="N185" i="3"/>
  <c r="L179" i="4" s="1"/>
  <c r="R185" i="3"/>
  <c r="P179" i="4" s="1"/>
  <c r="K185" i="3"/>
  <c r="I179" i="4" s="1"/>
  <c r="T185" i="3"/>
  <c r="R179" i="4" s="1"/>
  <c r="H183" i="3"/>
  <c r="C176" i="4"/>
  <c r="Z182" i="3"/>
  <c r="AD15" i="3"/>
  <c r="Q185" i="3"/>
  <c r="O179" i="4" s="1"/>
  <c r="L185" i="3"/>
  <c r="J179" i="4" s="1"/>
  <c r="I185" i="3"/>
  <c r="G179" i="4" s="1"/>
  <c r="S185" i="3"/>
  <c r="Q179" i="4" s="1"/>
  <c r="P185" i="3"/>
  <c r="N179" i="4" s="1"/>
  <c r="J185" i="3"/>
  <c r="H179" i="4" s="1"/>
  <c r="G182" i="3"/>
  <c r="E176" i="4" s="1"/>
  <c r="G181" i="3"/>
  <c r="E175" i="4" s="1"/>
  <c r="X183" i="3"/>
  <c r="Y183" i="3" s="1"/>
  <c r="V183" i="3"/>
  <c r="W183" i="3" s="1"/>
  <c r="B177" i="4"/>
  <c r="A185" i="3"/>
  <c r="A178" i="4"/>
  <c r="C184" i="3"/>
  <c r="D183" i="3"/>
  <c r="E183" i="3" l="1"/>
  <c r="F177" i="4"/>
  <c r="M186" i="3"/>
  <c r="K180" i="4" s="1"/>
  <c r="O186" i="3"/>
  <c r="M180" i="4" s="1"/>
  <c r="N186" i="3"/>
  <c r="L180" i="4" s="1"/>
  <c r="R186" i="3"/>
  <c r="P180" i="4" s="1"/>
  <c r="T186" i="3"/>
  <c r="R180" i="4" s="1"/>
  <c r="K186" i="3"/>
  <c r="I180" i="4" s="1"/>
  <c r="U182" i="3"/>
  <c r="F182" i="3"/>
  <c r="D176" i="4" s="1"/>
  <c r="U181" i="3"/>
  <c r="F181" i="3"/>
  <c r="D175" i="4" s="1"/>
  <c r="H184" i="3"/>
  <c r="C177" i="4"/>
  <c r="Z183" i="3"/>
  <c r="S186" i="3"/>
  <c r="Q180" i="4" s="1"/>
  <c r="P186" i="3"/>
  <c r="N180" i="4" s="1"/>
  <c r="J186" i="3"/>
  <c r="H180" i="4" s="1"/>
  <c r="Q186" i="3"/>
  <c r="O180" i="4" s="1"/>
  <c r="L186" i="3"/>
  <c r="J180" i="4" s="1"/>
  <c r="I186" i="3"/>
  <c r="G180" i="4" s="1"/>
  <c r="G183" i="3"/>
  <c r="E177" i="4" s="1"/>
  <c r="B178" i="4"/>
  <c r="V184" i="3"/>
  <c r="W184" i="3" s="1"/>
  <c r="X184" i="3"/>
  <c r="Y184" i="3" s="1"/>
  <c r="A186" i="3"/>
  <c r="A179" i="4"/>
  <c r="C185" i="3"/>
  <c r="D184" i="3"/>
  <c r="E184" i="3" l="1"/>
  <c r="F178" i="4"/>
  <c r="M187" i="3"/>
  <c r="K181" i="4" s="1"/>
  <c r="O187" i="3"/>
  <c r="M181" i="4" s="1"/>
  <c r="N187" i="3"/>
  <c r="L181" i="4" s="1"/>
  <c r="R187" i="3"/>
  <c r="P181" i="4" s="1"/>
  <c r="T187" i="3"/>
  <c r="R181" i="4" s="1"/>
  <c r="K187" i="3"/>
  <c r="I181" i="4" s="1"/>
  <c r="U183" i="3"/>
  <c r="F183" i="3"/>
  <c r="D177" i="4" s="1"/>
  <c r="H185" i="3"/>
  <c r="C178" i="4"/>
  <c r="Z184" i="3"/>
  <c r="Q187" i="3"/>
  <c r="O181" i="4" s="1"/>
  <c r="L187" i="3"/>
  <c r="J181" i="4" s="1"/>
  <c r="I187" i="3"/>
  <c r="G181" i="4" s="1"/>
  <c r="S187" i="3"/>
  <c r="Q181" i="4" s="1"/>
  <c r="P187" i="3"/>
  <c r="N181" i="4" s="1"/>
  <c r="J187" i="3"/>
  <c r="H181" i="4" s="1"/>
  <c r="G184" i="3"/>
  <c r="D185" i="3"/>
  <c r="A187" i="3"/>
  <c r="A180" i="4"/>
  <c r="C186" i="3"/>
  <c r="E185" i="3" l="1"/>
  <c r="F179" i="4"/>
  <c r="F184" i="3"/>
  <c r="D178" i="4" s="1"/>
  <c r="E178" i="4"/>
  <c r="O188" i="3"/>
  <c r="M182" i="4" s="1"/>
  <c r="M188" i="3"/>
  <c r="K182" i="4" s="1"/>
  <c r="N188" i="3"/>
  <c r="L182" i="4" s="1"/>
  <c r="R188" i="3"/>
  <c r="P182" i="4" s="1"/>
  <c r="K188" i="3"/>
  <c r="I182" i="4" s="1"/>
  <c r="T188" i="3"/>
  <c r="R182" i="4" s="1"/>
  <c r="H186" i="3"/>
  <c r="C179" i="4"/>
  <c r="S188" i="3"/>
  <c r="Q182" i="4" s="1"/>
  <c r="P188" i="3"/>
  <c r="N182" i="4" s="1"/>
  <c r="J188" i="3"/>
  <c r="H182" i="4" s="1"/>
  <c r="Q188" i="3"/>
  <c r="O182" i="4" s="1"/>
  <c r="L188" i="3"/>
  <c r="J182" i="4" s="1"/>
  <c r="I188" i="3"/>
  <c r="G182" i="4" s="1"/>
  <c r="S184" i="3"/>
  <c r="Q178" i="4" s="1"/>
  <c r="X185" i="3"/>
  <c r="Y185" i="3" s="1"/>
  <c r="Z185" i="3" s="1"/>
  <c r="B179" i="4"/>
  <c r="V185" i="3"/>
  <c r="W185" i="3" s="1"/>
  <c r="D186" i="3"/>
  <c r="A188" i="3"/>
  <c r="A181" i="4"/>
  <c r="C187" i="3"/>
  <c r="E186" i="3" l="1"/>
  <c r="F180" i="4"/>
  <c r="O189" i="3"/>
  <c r="M183" i="4" s="1"/>
  <c r="M189" i="3"/>
  <c r="K183" i="4" s="1"/>
  <c r="N189" i="3"/>
  <c r="L183" i="4" s="1"/>
  <c r="R189" i="3"/>
  <c r="P183" i="4" s="1"/>
  <c r="K189" i="3"/>
  <c r="I183" i="4" s="1"/>
  <c r="T189" i="3"/>
  <c r="R183" i="4" s="1"/>
  <c r="U184" i="3"/>
  <c r="H187" i="3"/>
  <c r="C180" i="4"/>
  <c r="Q189" i="3"/>
  <c r="O183" i="4" s="1"/>
  <c r="L189" i="3"/>
  <c r="J183" i="4" s="1"/>
  <c r="I189" i="3"/>
  <c r="G183" i="4" s="1"/>
  <c r="S189" i="3"/>
  <c r="Q183" i="4" s="1"/>
  <c r="P189" i="3"/>
  <c r="N183" i="4" s="1"/>
  <c r="J189" i="3"/>
  <c r="H183" i="4" s="1"/>
  <c r="G185" i="3"/>
  <c r="E179" i="4" s="1"/>
  <c r="V186" i="3"/>
  <c r="W186" i="3" s="1"/>
  <c r="B180" i="4"/>
  <c r="X186" i="3"/>
  <c r="Y186" i="3" s="1"/>
  <c r="Z186" i="3" s="1"/>
  <c r="V187" i="3"/>
  <c r="W187" i="3" s="1"/>
  <c r="A189" i="3"/>
  <c r="A182" i="4"/>
  <c r="C188" i="3"/>
  <c r="E187" i="3" l="1"/>
  <c r="F181" i="4"/>
  <c r="O190" i="3"/>
  <c r="M184" i="4" s="1"/>
  <c r="N190" i="3"/>
  <c r="L184" i="4" s="1"/>
  <c r="M190" i="3"/>
  <c r="K184" i="4" s="1"/>
  <c r="R190" i="3"/>
  <c r="P184" i="4" s="1"/>
  <c r="K190" i="3"/>
  <c r="I184" i="4" s="1"/>
  <c r="T190" i="3"/>
  <c r="R184" i="4" s="1"/>
  <c r="U185" i="3"/>
  <c r="F185" i="3"/>
  <c r="D179" i="4" s="1"/>
  <c r="H188" i="3"/>
  <c r="S190" i="3"/>
  <c r="Q184" i="4" s="1"/>
  <c r="P190" i="3"/>
  <c r="N184" i="4" s="1"/>
  <c r="J190" i="3"/>
  <c r="H184" i="4" s="1"/>
  <c r="Q190" i="3"/>
  <c r="O184" i="4" s="1"/>
  <c r="L190" i="3"/>
  <c r="J184" i="4" s="1"/>
  <c r="I190" i="3"/>
  <c r="G184" i="4" s="1"/>
  <c r="G186" i="3"/>
  <c r="E180" i="4" s="1"/>
  <c r="D187" i="3"/>
  <c r="X187" i="3"/>
  <c r="Y187" i="3" s="1"/>
  <c r="B181" i="4"/>
  <c r="B182" i="4"/>
  <c r="A190" i="3"/>
  <c r="A183" i="4"/>
  <c r="C189" i="3"/>
  <c r="E188" i="3" l="1"/>
  <c r="F182" i="4"/>
  <c r="O191" i="3"/>
  <c r="M185" i="4" s="1"/>
  <c r="N191" i="3"/>
  <c r="L185" i="4" s="1"/>
  <c r="M191" i="3"/>
  <c r="K185" i="4" s="1"/>
  <c r="R191" i="3"/>
  <c r="P185" i="4" s="1"/>
  <c r="K191" i="3"/>
  <c r="I185" i="4" s="1"/>
  <c r="T191" i="3"/>
  <c r="R185" i="4" s="1"/>
  <c r="U186" i="3"/>
  <c r="F186" i="3"/>
  <c r="D180" i="4" s="1"/>
  <c r="H189" i="3"/>
  <c r="C181" i="4"/>
  <c r="Z187" i="3"/>
  <c r="Q191" i="3"/>
  <c r="O185" i="4" s="1"/>
  <c r="L191" i="3"/>
  <c r="J185" i="4" s="1"/>
  <c r="I191" i="3"/>
  <c r="G185" i="4" s="1"/>
  <c r="S191" i="3"/>
  <c r="Q185" i="4" s="1"/>
  <c r="P191" i="3"/>
  <c r="N185" i="4" s="1"/>
  <c r="J191" i="3"/>
  <c r="H185" i="4" s="1"/>
  <c r="G187" i="3"/>
  <c r="E181" i="4" s="1"/>
  <c r="V188" i="3"/>
  <c r="W188" i="3" s="1"/>
  <c r="D188" i="3"/>
  <c r="X188" i="3"/>
  <c r="Y188" i="3" s="1"/>
  <c r="B183" i="4"/>
  <c r="A191" i="3"/>
  <c r="A184" i="4"/>
  <c r="C190" i="3"/>
  <c r="E189" i="3" l="1"/>
  <c r="F183" i="4"/>
  <c r="O192" i="3"/>
  <c r="M186" i="4" s="1"/>
  <c r="N192" i="3"/>
  <c r="L186" i="4" s="1"/>
  <c r="M192" i="3"/>
  <c r="K186" i="4" s="1"/>
  <c r="R192" i="3"/>
  <c r="P186" i="4" s="1"/>
  <c r="T192" i="3"/>
  <c r="R186" i="4" s="1"/>
  <c r="K192" i="3"/>
  <c r="I186" i="4" s="1"/>
  <c r="U187" i="3"/>
  <c r="F187" i="3"/>
  <c r="D181" i="4" s="1"/>
  <c r="H190" i="3"/>
  <c r="C182" i="4"/>
  <c r="Z188" i="3"/>
  <c r="G188" i="3"/>
  <c r="E182" i="4" s="1"/>
  <c r="S192" i="3"/>
  <c r="Q186" i="4" s="1"/>
  <c r="P192" i="3"/>
  <c r="N186" i="4" s="1"/>
  <c r="J192" i="3"/>
  <c r="H186" i="4" s="1"/>
  <c r="Q192" i="3"/>
  <c r="O186" i="4" s="1"/>
  <c r="L192" i="3"/>
  <c r="J186" i="4" s="1"/>
  <c r="I192" i="3"/>
  <c r="G186" i="4" s="1"/>
  <c r="X189" i="3"/>
  <c r="Y189" i="3" s="1"/>
  <c r="D189" i="3"/>
  <c r="V189" i="3"/>
  <c r="W189" i="3" s="1"/>
  <c r="B184" i="4"/>
  <c r="A192" i="3"/>
  <c r="A185" i="4"/>
  <c r="C191" i="3"/>
  <c r="E190" i="3" l="1"/>
  <c r="F184" i="4"/>
  <c r="M193" i="3"/>
  <c r="K187" i="4" s="1"/>
  <c r="O193" i="3"/>
  <c r="M187" i="4" s="1"/>
  <c r="N193" i="3"/>
  <c r="L187" i="4" s="1"/>
  <c r="R193" i="3"/>
  <c r="P187" i="4" s="1"/>
  <c r="T193" i="3"/>
  <c r="R187" i="4" s="1"/>
  <c r="K193" i="3"/>
  <c r="I187" i="4" s="1"/>
  <c r="U188" i="3"/>
  <c r="F188" i="3"/>
  <c r="D182" i="4" s="1"/>
  <c r="H191" i="3"/>
  <c r="C183" i="4"/>
  <c r="Z189" i="3"/>
  <c r="G189" i="3"/>
  <c r="E183" i="4" s="1"/>
  <c r="Q193" i="3"/>
  <c r="O187" i="4" s="1"/>
  <c r="L193" i="3"/>
  <c r="J187" i="4" s="1"/>
  <c r="I193" i="3"/>
  <c r="G187" i="4" s="1"/>
  <c r="S193" i="3"/>
  <c r="Q187" i="4" s="1"/>
  <c r="P193" i="3"/>
  <c r="N187" i="4" s="1"/>
  <c r="J193" i="3"/>
  <c r="H187" i="4" s="1"/>
  <c r="D190" i="3"/>
  <c r="X190" i="3"/>
  <c r="Y190" i="3" s="1"/>
  <c r="V190" i="3"/>
  <c r="W190" i="3" s="1"/>
  <c r="D191" i="3"/>
  <c r="A193" i="3"/>
  <c r="A186" i="4"/>
  <c r="C192" i="3"/>
  <c r="E191" i="3" l="1"/>
  <c r="F185" i="4"/>
  <c r="M194" i="3"/>
  <c r="K188" i="4" s="1"/>
  <c r="O194" i="3"/>
  <c r="M188" i="4" s="1"/>
  <c r="N194" i="3"/>
  <c r="L188" i="4" s="1"/>
  <c r="R194" i="3"/>
  <c r="P188" i="4" s="1"/>
  <c r="T194" i="3"/>
  <c r="R188" i="4" s="1"/>
  <c r="K194" i="3"/>
  <c r="I188" i="4" s="1"/>
  <c r="U189" i="3"/>
  <c r="F189" i="3"/>
  <c r="D183" i="4" s="1"/>
  <c r="H192" i="3"/>
  <c r="C185" i="4"/>
  <c r="C184" i="4"/>
  <c r="Z190" i="3"/>
  <c r="G190" i="3"/>
  <c r="E184" i="4" s="1"/>
  <c r="S194" i="3"/>
  <c r="Q188" i="4" s="1"/>
  <c r="P194" i="3"/>
  <c r="N188" i="4" s="1"/>
  <c r="J194" i="3"/>
  <c r="H188" i="4" s="1"/>
  <c r="Q194" i="3"/>
  <c r="O188" i="4" s="1"/>
  <c r="L194" i="3"/>
  <c r="J188" i="4" s="1"/>
  <c r="I194" i="3"/>
  <c r="G188" i="4" s="1"/>
  <c r="X191" i="3"/>
  <c r="Y191" i="3" s="1"/>
  <c r="Z191" i="3" s="1"/>
  <c r="B185" i="4"/>
  <c r="X192" i="3"/>
  <c r="Y192" i="3" s="1"/>
  <c r="V191" i="3"/>
  <c r="W191" i="3" s="1"/>
  <c r="A194" i="3"/>
  <c r="A187" i="4"/>
  <c r="C193" i="3"/>
  <c r="E192" i="3" l="1"/>
  <c r="F186" i="4"/>
  <c r="M195" i="3"/>
  <c r="K189" i="4" s="1"/>
  <c r="O195" i="3"/>
  <c r="M189" i="4" s="1"/>
  <c r="N195" i="3"/>
  <c r="L189" i="4" s="1"/>
  <c r="R195" i="3"/>
  <c r="P189" i="4" s="1"/>
  <c r="T195" i="3"/>
  <c r="R189" i="4" s="1"/>
  <c r="K195" i="3"/>
  <c r="I189" i="4" s="1"/>
  <c r="U190" i="3"/>
  <c r="F190" i="3"/>
  <c r="D184" i="4" s="1"/>
  <c r="H193" i="3"/>
  <c r="Q195" i="3"/>
  <c r="O189" i="4" s="1"/>
  <c r="L195" i="3"/>
  <c r="J189" i="4" s="1"/>
  <c r="I195" i="3"/>
  <c r="G189" i="4" s="1"/>
  <c r="S195" i="3"/>
  <c r="Q189" i="4" s="1"/>
  <c r="P195" i="3"/>
  <c r="N189" i="4" s="1"/>
  <c r="J195" i="3"/>
  <c r="H189" i="4" s="1"/>
  <c r="G191" i="3"/>
  <c r="E185" i="4" s="1"/>
  <c r="V192" i="3"/>
  <c r="W192" i="3" s="1"/>
  <c r="D192" i="3"/>
  <c r="B186" i="4"/>
  <c r="D193" i="3"/>
  <c r="A195" i="3"/>
  <c r="Q196" i="3" s="1"/>
  <c r="A188" i="4"/>
  <c r="C194" i="3"/>
  <c r="E193" i="3" l="1"/>
  <c r="F187" i="4"/>
  <c r="AC16" i="3"/>
  <c r="O190" i="4"/>
  <c r="O196" i="3"/>
  <c r="M190" i="4" s="1"/>
  <c r="M196" i="3"/>
  <c r="K190" i="4" s="1"/>
  <c r="N196" i="3"/>
  <c r="L190" i="4" s="1"/>
  <c r="R196" i="3"/>
  <c r="P190" i="4" s="1"/>
  <c r="K196" i="3"/>
  <c r="U191" i="3"/>
  <c r="F191" i="3"/>
  <c r="D185" i="4" s="1"/>
  <c r="H194" i="3"/>
  <c r="C187" i="4"/>
  <c r="C186" i="4"/>
  <c r="Z192" i="3"/>
  <c r="G192" i="3"/>
  <c r="E186" i="4" s="1"/>
  <c r="P196" i="3"/>
  <c r="N190" i="4" s="1"/>
  <c r="J196" i="3"/>
  <c r="H190" i="4" s="1"/>
  <c r="L196" i="3"/>
  <c r="J190" i="4" s="1"/>
  <c r="I196" i="3"/>
  <c r="G190" i="4" s="1"/>
  <c r="B187" i="4"/>
  <c r="X193" i="3"/>
  <c r="Y193" i="3" s="1"/>
  <c r="Z193" i="3" s="1"/>
  <c r="D194" i="3"/>
  <c r="V193" i="3"/>
  <c r="W193" i="3" s="1"/>
  <c r="A196" i="3"/>
  <c r="A189" i="4"/>
  <c r="C195" i="3"/>
  <c r="E194" i="3" l="1"/>
  <c r="F188" i="4"/>
  <c r="I190" i="4"/>
  <c r="O197" i="3"/>
  <c r="M191" i="4" s="1"/>
  <c r="M197" i="3"/>
  <c r="K191" i="4" s="1"/>
  <c r="N197" i="3"/>
  <c r="L191" i="4" s="1"/>
  <c r="R197" i="3"/>
  <c r="P191" i="4" s="1"/>
  <c r="K197" i="3"/>
  <c r="I191" i="4" s="1"/>
  <c r="T197" i="3"/>
  <c r="R191" i="4" s="1"/>
  <c r="U192" i="3"/>
  <c r="F192" i="3"/>
  <c r="D186" i="4" s="1"/>
  <c r="H195" i="3"/>
  <c r="C188" i="4"/>
  <c r="AD16" i="3"/>
  <c r="Q197" i="3"/>
  <c r="O191" i="4" s="1"/>
  <c r="L197" i="3"/>
  <c r="J191" i="4" s="1"/>
  <c r="I197" i="3"/>
  <c r="G191" i="4" s="1"/>
  <c r="S197" i="3"/>
  <c r="Q191" i="4" s="1"/>
  <c r="P197" i="3"/>
  <c r="N191" i="4" s="1"/>
  <c r="J197" i="3"/>
  <c r="H191" i="4" s="1"/>
  <c r="G193" i="3"/>
  <c r="E187" i="4" s="1"/>
  <c r="B188" i="4"/>
  <c r="X194" i="3"/>
  <c r="Y194" i="3" s="1"/>
  <c r="Z194" i="3" s="1"/>
  <c r="D195" i="3"/>
  <c r="V194" i="3"/>
  <c r="W194" i="3" s="1"/>
  <c r="A197" i="3"/>
  <c r="A190" i="4"/>
  <c r="C196" i="3"/>
  <c r="E195" i="3" l="1"/>
  <c r="F189" i="4"/>
  <c r="O198" i="3"/>
  <c r="M192" i="4" s="1"/>
  <c r="N198" i="3"/>
  <c r="L192" i="4" s="1"/>
  <c r="M198" i="3"/>
  <c r="K192" i="4" s="1"/>
  <c r="R198" i="3"/>
  <c r="P192" i="4" s="1"/>
  <c r="K198" i="3"/>
  <c r="I192" i="4" s="1"/>
  <c r="T198" i="3"/>
  <c r="R192" i="4" s="1"/>
  <c r="U193" i="3"/>
  <c r="F193" i="3"/>
  <c r="D187" i="4" s="1"/>
  <c r="H196" i="3"/>
  <c r="C189" i="4"/>
  <c r="S198" i="3"/>
  <c r="Q192" i="4" s="1"/>
  <c r="P198" i="3"/>
  <c r="N192" i="4" s="1"/>
  <c r="J198" i="3"/>
  <c r="H192" i="4" s="1"/>
  <c r="Q198" i="3"/>
  <c r="O192" i="4" s="1"/>
  <c r="L198" i="3"/>
  <c r="J192" i="4" s="1"/>
  <c r="I198" i="3"/>
  <c r="G192" i="4" s="1"/>
  <c r="G194" i="3"/>
  <c r="E188" i="4" s="1"/>
  <c r="V195" i="3"/>
  <c r="W195" i="3" s="1"/>
  <c r="B189" i="4"/>
  <c r="D196" i="3"/>
  <c r="X195" i="3"/>
  <c r="Y195" i="3" s="1"/>
  <c r="Z195" i="3" s="1"/>
  <c r="A198" i="3"/>
  <c r="A191" i="4"/>
  <c r="C197" i="3"/>
  <c r="E196" i="3" l="1"/>
  <c r="F190" i="4"/>
  <c r="O199" i="3"/>
  <c r="M193" i="4" s="1"/>
  <c r="N199" i="3"/>
  <c r="L193" i="4" s="1"/>
  <c r="M199" i="3"/>
  <c r="K193" i="4" s="1"/>
  <c r="R199" i="3"/>
  <c r="P193" i="4" s="1"/>
  <c r="K199" i="3"/>
  <c r="I193" i="4" s="1"/>
  <c r="T199" i="3"/>
  <c r="R193" i="4" s="1"/>
  <c r="U194" i="3"/>
  <c r="F194" i="3"/>
  <c r="D188" i="4" s="1"/>
  <c r="H197" i="3"/>
  <c r="C190" i="4"/>
  <c r="Q199" i="3"/>
  <c r="O193" i="4" s="1"/>
  <c r="L199" i="3"/>
  <c r="J193" i="4" s="1"/>
  <c r="I199" i="3"/>
  <c r="G193" i="4" s="1"/>
  <c r="S199" i="3"/>
  <c r="Q193" i="4" s="1"/>
  <c r="P199" i="3"/>
  <c r="N193" i="4" s="1"/>
  <c r="J199" i="3"/>
  <c r="H193" i="4" s="1"/>
  <c r="G195" i="3"/>
  <c r="E189" i="4" s="1"/>
  <c r="B190" i="4"/>
  <c r="X196" i="3"/>
  <c r="Y196" i="3" s="1"/>
  <c r="Z196" i="3" s="1"/>
  <c r="V196" i="3"/>
  <c r="W196" i="3" s="1"/>
  <c r="D197" i="3"/>
  <c r="A199" i="3"/>
  <c r="A192" i="4"/>
  <c r="C198" i="3"/>
  <c r="E197" i="3" l="1"/>
  <c r="F191" i="4"/>
  <c r="O200" i="3"/>
  <c r="M194" i="4" s="1"/>
  <c r="N200" i="3"/>
  <c r="L194" i="4" s="1"/>
  <c r="M200" i="3"/>
  <c r="K194" i="4" s="1"/>
  <c r="R200" i="3"/>
  <c r="P194" i="4" s="1"/>
  <c r="K200" i="3"/>
  <c r="I194" i="4" s="1"/>
  <c r="T200" i="3"/>
  <c r="R194" i="4" s="1"/>
  <c r="U195" i="3"/>
  <c r="F195" i="3"/>
  <c r="D189" i="4" s="1"/>
  <c r="H198" i="3"/>
  <c r="C191" i="4"/>
  <c r="S200" i="3"/>
  <c r="Q194" i="4" s="1"/>
  <c r="P200" i="3"/>
  <c r="N194" i="4" s="1"/>
  <c r="J200" i="3"/>
  <c r="H194" i="4" s="1"/>
  <c r="Q200" i="3"/>
  <c r="O194" i="4" s="1"/>
  <c r="L200" i="3"/>
  <c r="J194" i="4" s="1"/>
  <c r="I200" i="3"/>
  <c r="G194" i="4" s="1"/>
  <c r="G196" i="3"/>
  <c r="E190" i="4" s="1"/>
  <c r="X197" i="3"/>
  <c r="Y197" i="3" s="1"/>
  <c r="Z197" i="3" s="1"/>
  <c r="V197" i="3"/>
  <c r="W197" i="3" s="1"/>
  <c r="D198" i="3"/>
  <c r="B191" i="4"/>
  <c r="A200" i="3"/>
  <c r="A193" i="4"/>
  <c r="C199" i="3"/>
  <c r="E198" i="3" l="1"/>
  <c r="F192" i="4"/>
  <c r="F196" i="3"/>
  <c r="D190" i="4" s="1"/>
  <c r="T196" i="3"/>
  <c r="R190" i="4" s="1"/>
  <c r="M201" i="3"/>
  <c r="K195" i="4" s="1"/>
  <c r="O201" i="3"/>
  <c r="M195" i="4" s="1"/>
  <c r="N201" i="3"/>
  <c r="L195" i="4" s="1"/>
  <c r="R201" i="3"/>
  <c r="P195" i="4" s="1"/>
  <c r="T201" i="3"/>
  <c r="R195" i="4" s="1"/>
  <c r="K201" i="3"/>
  <c r="I195" i="4" s="1"/>
  <c r="H199" i="3"/>
  <c r="C192" i="4"/>
  <c r="B192" i="4"/>
  <c r="Q201" i="3"/>
  <c r="O195" i="4" s="1"/>
  <c r="L201" i="3"/>
  <c r="J195" i="4" s="1"/>
  <c r="I201" i="3"/>
  <c r="G195" i="4" s="1"/>
  <c r="S201" i="3"/>
  <c r="Q195" i="4" s="1"/>
  <c r="P201" i="3"/>
  <c r="N195" i="4" s="1"/>
  <c r="J201" i="3"/>
  <c r="H195" i="4" s="1"/>
  <c r="G197" i="3"/>
  <c r="E191" i="4" s="1"/>
  <c r="X198" i="3"/>
  <c r="Y198" i="3" s="1"/>
  <c r="Z198" i="3" s="1"/>
  <c r="V198" i="3"/>
  <c r="W198" i="3" s="1"/>
  <c r="D199" i="3"/>
  <c r="A201" i="3"/>
  <c r="A194" i="4"/>
  <c r="C200" i="3"/>
  <c r="E199" i="3" l="1"/>
  <c r="F193" i="4"/>
  <c r="M202" i="3"/>
  <c r="K196" i="4" s="1"/>
  <c r="O202" i="3"/>
  <c r="M196" i="4" s="1"/>
  <c r="N202" i="3"/>
  <c r="L196" i="4" s="1"/>
  <c r="R202" i="3"/>
  <c r="P196" i="4" s="1"/>
  <c r="T202" i="3"/>
  <c r="R196" i="4" s="1"/>
  <c r="K202" i="3"/>
  <c r="I196" i="4" s="1"/>
  <c r="U197" i="3"/>
  <c r="F197" i="3"/>
  <c r="D191" i="4" s="1"/>
  <c r="H200" i="3"/>
  <c r="C193" i="4"/>
  <c r="S202" i="3"/>
  <c r="Q196" i="4" s="1"/>
  <c r="P202" i="3"/>
  <c r="N196" i="4" s="1"/>
  <c r="J202" i="3"/>
  <c r="H196" i="4" s="1"/>
  <c r="Q202" i="3"/>
  <c r="O196" i="4" s="1"/>
  <c r="L202" i="3"/>
  <c r="J196" i="4" s="1"/>
  <c r="I202" i="3"/>
  <c r="G196" i="4" s="1"/>
  <c r="G198" i="3"/>
  <c r="E192" i="4" s="1"/>
  <c r="X199" i="3"/>
  <c r="Y199" i="3" s="1"/>
  <c r="Z199" i="3" s="1"/>
  <c r="B193" i="4"/>
  <c r="B194" i="4"/>
  <c r="V199" i="3"/>
  <c r="W199" i="3" s="1"/>
  <c r="A202" i="3"/>
  <c r="A195" i="4"/>
  <c r="C201" i="3"/>
  <c r="E200" i="3" l="1"/>
  <c r="F194" i="4"/>
  <c r="M203" i="3"/>
  <c r="K197" i="4" s="1"/>
  <c r="O203" i="3"/>
  <c r="M197" i="4" s="1"/>
  <c r="N203" i="3"/>
  <c r="L197" i="4" s="1"/>
  <c r="R203" i="3"/>
  <c r="P197" i="4" s="1"/>
  <c r="T203" i="3"/>
  <c r="R197" i="4" s="1"/>
  <c r="K203" i="3"/>
  <c r="I197" i="4" s="1"/>
  <c r="U198" i="3"/>
  <c r="F198" i="3"/>
  <c r="D192" i="4" s="1"/>
  <c r="H201" i="3"/>
  <c r="Q203" i="3"/>
  <c r="O197" i="4" s="1"/>
  <c r="L203" i="3"/>
  <c r="J197" i="4" s="1"/>
  <c r="I203" i="3"/>
  <c r="G197" i="4" s="1"/>
  <c r="S203" i="3"/>
  <c r="Q197" i="4" s="1"/>
  <c r="P203" i="3"/>
  <c r="N197" i="4" s="1"/>
  <c r="J203" i="3"/>
  <c r="H197" i="4" s="1"/>
  <c r="G199" i="3"/>
  <c r="E193" i="4" s="1"/>
  <c r="D200" i="3"/>
  <c r="X200" i="3"/>
  <c r="Y200" i="3" s="1"/>
  <c r="V200" i="3"/>
  <c r="W200" i="3" s="1"/>
  <c r="D201" i="3"/>
  <c r="A203" i="3"/>
  <c r="A196" i="4"/>
  <c r="C202" i="3"/>
  <c r="E201" i="3" l="1"/>
  <c r="F195" i="4"/>
  <c r="O204" i="3"/>
  <c r="M198" i="4" s="1"/>
  <c r="M204" i="3"/>
  <c r="K198" i="4" s="1"/>
  <c r="N204" i="3"/>
  <c r="L198" i="4" s="1"/>
  <c r="R204" i="3"/>
  <c r="P198" i="4" s="1"/>
  <c r="K204" i="3"/>
  <c r="I198" i="4" s="1"/>
  <c r="T204" i="3"/>
  <c r="R198" i="4" s="1"/>
  <c r="U199" i="3"/>
  <c r="F199" i="3"/>
  <c r="D193" i="4" s="1"/>
  <c r="H202" i="3"/>
  <c r="C194" i="4"/>
  <c r="Z200" i="3"/>
  <c r="C195" i="4"/>
  <c r="S204" i="3"/>
  <c r="Q198" i="4" s="1"/>
  <c r="P204" i="3"/>
  <c r="N198" i="4" s="1"/>
  <c r="J204" i="3"/>
  <c r="H198" i="4" s="1"/>
  <c r="Q204" i="3"/>
  <c r="O198" i="4" s="1"/>
  <c r="L204" i="3"/>
  <c r="J198" i="4" s="1"/>
  <c r="I204" i="3"/>
  <c r="G198" i="4" s="1"/>
  <c r="G200" i="3"/>
  <c r="E194" i="4" s="1"/>
  <c r="V201" i="3"/>
  <c r="W201" i="3" s="1"/>
  <c r="X201" i="3"/>
  <c r="Y201" i="3" s="1"/>
  <c r="Z201" i="3" s="1"/>
  <c r="B195" i="4"/>
  <c r="B196" i="4"/>
  <c r="V202" i="3"/>
  <c r="W202" i="3" s="1"/>
  <c r="X202" i="3"/>
  <c r="Y202" i="3" s="1"/>
  <c r="A204" i="3"/>
  <c r="A197" i="4"/>
  <c r="C203" i="3"/>
  <c r="D202" i="3"/>
  <c r="E202" i="3" l="1"/>
  <c r="F196" i="4"/>
  <c r="O205" i="3"/>
  <c r="M199" i="4" s="1"/>
  <c r="M205" i="3"/>
  <c r="K199" i="4" s="1"/>
  <c r="N205" i="3"/>
  <c r="L199" i="4" s="1"/>
  <c r="R205" i="3"/>
  <c r="P199" i="4" s="1"/>
  <c r="K205" i="3"/>
  <c r="I199" i="4" s="1"/>
  <c r="T205" i="3"/>
  <c r="R199" i="4" s="1"/>
  <c r="U200" i="3"/>
  <c r="F200" i="3"/>
  <c r="D194" i="4" s="1"/>
  <c r="H203" i="3"/>
  <c r="C196" i="4"/>
  <c r="Z202" i="3"/>
  <c r="Q205" i="3"/>
  <c r="O199" i="4" s="1"/>
  <c r="L205" i="3"/>
  <c r="J199" i="4" s="1"/>
  <c r="I205" i="3"/>
  <c r="G199" i="4" s="1"/>
  <c r="S205" i="3"/>
  <c r="Q199" i="4" s="1"/>
  <c r="P205" i="3"/>
  <c r="N199" i="4" s="1"/>
  <c r="J205" i="3"/>
  <c r="H199" i="4" s="1"/>
  <c r="G202" i="3"/>
  <c r="E196" i="4" s="1"/>
  <c r="G201" i="3"/>
  <c r="E195" i="4" s="1"/>
  <c r="X203" i="3"/>
  <c r="Y203" i="3" s="1"/>
  <c r="B197" i="4"/>
  <c r="V203" i="3"/>
  <c r="W203" i="3" s="1"/>
  <c r="A205" i="3"/>
  <c r="A198" i="4"/>
  <c r="C204" i="3"/>
  <c r="D203" i="3"/>
  <c r="E203" i="3" l="1"/>
  <c r="F197" i="4"/>
  <c r="O206" i="3"/>
  <c r="M200" i="4" s="1"/>
  <c r="N206" i="3"/>
  <c r="L200" i="4" s="1"/>
  <c r="M206" i="3"/>
  <c r="K200" i="4" s="1"/>
  <c r="R206" i="3"/>
  <c r="P200" i="4" s="1"/>
  <c r="K206" i="3"/>
  <c r="I200" i="4" s="1"/>
  <c r="T206" i="3"/>
  <c r="R200" i="4" s="1"/>
  <c r="U202" i="3"/>
  <c r="F202" i="3"/>
  <c r="D196" i="4" s="1"/>
  <c r="U201" i="3"/>
  <c r="F201" i="3"/>
  <c r="D195" i="4" s="1"/>
  <c r="H204" i="3"/>
  <c r="C197" i="4"/>
  <c r="Z203" i="3"/>
  <c r="S206" i="3"/>
  <c r="Q200" i="4" s="1"/>
  <c r="P206" i="3"/>
  <c r="N200" i="4" s="1"/>
  <c r="J206" i="3"/>
  <c r="H200" i="4" s="1"/>
  <c r="Q206" i="3"/>
  <c r="O200" i="4" s="1"/>
  <c r="L206" i="3"/>
  <c r="J200" i="4" s="1"/>
  <c r="I206" i="3"/>
  <c r="G200" i="4" s="1"/>
  <c r="G203" i="3"/>
  <c r="E197" i="4" s="1"/>
  <c r="B198" i="4"/>
  <c r="A206" i="3"/>
  <c r="A199" i="4"/>
  <c r="C205" i="3"/>
  <c r="E204" i="3" l="1"/>
  <c r="F198" i="4"/>
  <c r="O207" i="3"/>
  <c r="M201" i="4" s="1"/>
  <c r="N207" i="3"/>
  <c r="L201" i="4" s="1"/>
  <c r="M207" i="3"/>
  <c r="K201" i="4" s="1"/>
  <c r="R207" i="3"/>
  <c r="P201" i="4" s="1"/>
  <c r="K207" i="3"/>
  <c r="I201" i="4" s="1"/>
  <c r="T207" i="3"/>
  <c r="R201" i="4" s="1"/>
  <c r="U203" i="3"/>
  <c r="F203" i="3"/>
  <c r="D197" i="4" s="1"/>
  <c r="H205" i="3"/>
  <c r="Q207" i="3"/>
  <c r="O201" i="4" s="1"/>
  <c r="L207" i="3"/>
  <c r="J201" i="4" s="1"/>
  <c r="I207" i="3"/>
  <c r="G201" i="4" s="1"/>
  <c r="S207" i="3"/>
  <c r="Q201" i="4" s="1"/>
  <c r="P207" i="3"/>
  <c r="N201" i="4" s="1"/>
  <c r="J207" i="3"/>
  <c r="H201" i="4" s="1"/>
  <c r="D204" i="3"/>
  <c r="V204" i="3"/>
  <c r="W204" i="3" s="1"/>
  <c r="X204" i="3"/>
  <c r="Y204" i="3" s="1"/>
  <c r="D205" i="3"/>
  <c r="A207" i="3"/>
  <c r="Q208" i="3" s="1"/>
  <c r="A200" i="4"/>
  <c r="C206" i="3"/>
  <c r="E205" i="3" l="1"/>
  <c r="F199" i="4"/>
  <c r="AC17" i="3"/>
  <c r="O202" i="4"/>
  <c r="O208" i="3"/>
  <c r="M202" i="4" s="1"/>
  <c r="N208" i="3"/>
  <c r="L202" i="4" s="1"/>
  <c r="M208" i="3"/>
  <c r="K202" i="4" s="1"/>
  <c r="R208" i="3"/>
  <c r="P202" i="4" s="1"/>
  <c r="T208" i="3"/>
  <c r="R202" i="4" s="1"/>
  <c r="K208" i="3"/>
  <c r="H206" i="3"/>
  <c r="C199" i="4"/>
  <c r="C198" i="4"/>
  <c r="Z204" i="3"/>
  <c r="G204" i="3"/>
  <c r="E198" i="4" s="1"/>
  <c r="P208" i="3"/>
  <c r="N202" i="4" s="1"/>
  <c r="J208" i="3"/>
  <c r="H202" i="4" s="1"/>
  <c r="L208" i="3"/>
  <c r="J202" i="4" s="1"/>
  <c r="I208" i="3"/>
  <c r="G202" i="4" s="1"/>
  <c r="B199" i="4"/>
  <c r="V205" i="3"/>
  <c r="W205" i="3" s="1"/>
  <c r="V206" i="3"/>
  <c r="W206" i="3" s="1"/>
  <c r="X205" i="3"/>
  <c r="Y205" i="3" s="1"/>
  <c r="Z205" i="3" s="1"/>
  <c r="A208" i="3"/>
  <c r="A201" i="4"/>
  <c r="C207" i="3"/>
  <c r="E206" i="3" l="1"/>
  <c r="F200" i="4"/>
  <c r="I202" i="4"/>
  <c r="M209" i="3"/>
  <c r="K203" i="4" s="1"/>
  <c r="O209" i="3"/>
  <c r="M203" i="4" s="1"/>
  <c r="N209" i="3"/>
  <c r="L203" i="4" s="1"/>
  <c r="R209" i="3"/>
  <c r="P203" i="4" s="1"/>
  <c r="K209" i="3"/>
  <c r="I203" i="4" s="1"/>
  <c r="T209" i="3"/>
  <c r="R203" i="4" s="1"/>
  <c r="U204" i="3"/>
  <c r="F204" i="3"/>
  <c r="D198" i="4" s="1"/>
  <c r="H207" i="3"/>
  <c r="AD17" i="3"/>
  <c r="Q209" i="3"/>
  <c r="O203" i="4" s="1"/>
  <c r="L209" i="3"/>
  <c r="J203" i="4" s="1"/>
  <c r="I209" i="3"/>
  <c r="G203" i="4" s="1"/>
  <c r="S209" i="3"/>
  <c r="Q203" i="4" s="1"/>
  <c r="P209" i="3"/>
  <c r="N203" i="4" s="1"/>
  <c r="J209" i="3"/>
  <c r="H203" i="4" s="1"/>
  <c r="G205" i="3"/>
  <c r="E199" i="4" s="1"/>
  <c r="D206" i="3"/>
  <c r="X206" i="3"/>
  <c r="Y206" i="3" s="1"/>
  <c r="B200" i="4"/>
  <c r="D207" i="3"/>
  <c r="A209" i="3"/>
  <c r="A202" i="4"/>
  <c r="C208" i="3"/>
  <c r="E207" i="3" l="1"/>
  <c r="F201" i="4"/>
  <c r="M210" i="3"/>
  <c r="K204" i="4" s="1"/>
  <c r="O210" i="3"/>
  <c r="M204" i="4" s="1"/>
  <c r="N210" i="3"/>
  <c r="L204" i="4" s="1"/>
  <c r="R210" i="3"/>
  <c r="P204" i="4" s="1"/>
  <c r="T210" i="3"/>
  <c r="R204" i="4" s="1"/>
  <c r="K210" i="3"/>
  <c r="I204" i="4" s="1"/>
  <c r="U205" i="3"/>
  <c r="F205" i="3"/>
  <c r="D199" i="4" s="1"/>
  <c r="H208" i="3"/>
  <c r="C200" i="4"/>
  <c r="Z206" i="3"/>
  <c r="C201" i="4"/>
  <c r="S210" i="3"/>
  <c r="Q204" i="4" s="1"/>
  <c r="P210" i="3"/>
  <c r="N204" i="4" s="1"/>
  <c r="J210" i="3"/>
  <c r="H204" i="4" s="1"/>
  <c r="Q210" i="3"/>
  <c r="O204" i="4" s="1"/>
  <c r="L210" i="3"/>
  <c r="J204" i="4" s="1"/>
  <c r="I210" i="3"/>
  <c r="G204" i="4" s="1"/>
  <c r="G206" i="3"/>
  <c r="E200" i="4" s="1"/>
  <c r="V207" i="3"/>
  <c r="W207" i="3" s="1"/>
  <c r="B201" i="4"/>
  <c r="X208" i="3"/>
  <c r="Y208" i="3" s="1"/>
  <c r="X207" i="3"/>
  <c r="Y207" i="3" s="1"/>
  <c r="Z207" i="3" s="1"/>
  <c r="A210" i="3"/>
  <c r="A203" i="4"/>
  <c r="C209" i="3"/>
  <c r="E208" i="3" l="1"/>
  <c r="F202" i="4"/>
  <c r="M211" i="3"/>
  <c r="K205" i="4" s="1"/>
  <c r="O211" i="3"/>
  <c r="M205" i="4" s="1"/>
  <c r="N211" i="3"/>
  <c r="L205" i="4" s="1"/>
  <c r="R211" i="3"/>
  <c r="P205" i="4" s="1"/>
  <c r="T211" i="3"/>
  <c r="R205" i="4" s="1"/>
  <c r="K211" i="3"/>
  <c r="I205" i="4" s="1"/>
  <c r="U206" i="3"/>
  <c r="F206" i="3"/>
  <c r="D200" i="4" s="1"/>
  <c r="H209" i="3"/>
  <c r="Q211" i="3"/>
  <c r="O205" i="4" s="1"/>
  <c r="L211" i="3"/>
  <c r="J205" i="4" s="1"/>
  <c r="I211" i="3"/>
  <c r="G205" i="4" s="1"/>
  <c r="S211" i="3"/>
  <c r="Q205" i="4" s="1"/>
  <c r="P211" i="3"/>
  <c r="N205" i="4" s="1"/>
  <c r="J211" i="3"/>
  <c r="H205" i="4" s="1"/>
  <c r="G207" i="3"/>
  <c r="E201" i="4" s="1"/>
  <c r="D208" i="3"/>
  <c r="V208" i="3"/>
  <c r="W208" i="3" s="1"/>
  <c r="B202" i="4"/>
  <c r="V209" i="3"/>
  <c r="W209" i="3" s="1"/>
  <c r="A211" i="3"/>
  <c r="A204" i="4"/>
  <c r="C210" i="3"/>
  <c r="E209" i="3" l="1"/>
  <c r="F203" i="4"/>
  <c r="O212" i="3"/>
  <c r="M206" i="4" s="1"/>
  <c r="M212" i="3"/>
  <c r="K206" i="4" s="1"/>
  <c r="N212" i="3"/>
  <c r="L206" i="4" s="1"/>
  <c r="R212" i="3"/>
  <c r="P206" i="4" s="1"/>
  <c r="K212" i="3"/>
  <c r="I206" i="4" s="1"/>
  <c r="T212" i="3"/>
  <c r="R206" i="4" s="1"/>
  <c r="U207" i="3"/>
  <c r="F207" i="3"/>
  <c r="D201" i="4" s="1"/>
  <c r="H210" i="3"/>
  <c r="C202" i="4"/>
  <c r="Z208" i="3"/>
  <c r="G208" i="3" s="1"/>
  <c r="S212" i="3"/>
  <c r="Q206" i="4" s="1"/>
  <c r="P212" i="3"/>
  <c r="N206" i="4" s="1"/>
  <c r="J212" i="3"/>
  <c r="H206" i="4" s="1"/>
  <c r="Q212" i="3"/>
  <c r="O206" i="4" s="1"/>
  <c r="L212" i="3"/>
  <c r="J206" i="4" s="1"/>
  <c r="I212" i="3"/>
  <c r="G206" i="4" s="1"/>
  <c r="D209" i="3"/>
  <c r="X209" i="3"/>
  <c r="Y209" i="3" s="1"/>
  <c r="B203" i="4"/>
  <c r="A212" i="3"/>
  <c r="A205" i="4"/>
  <c r="C211" i="3"/>
  <c r="D210" i="3"/>
  <c r="V210" i="3"/>
  <c r="W210" i="3" s="1"/>
  <c r="X210" i="3"/>
  <c r="Y210" i="3" s="1"/>
  <c r="B204" i="4"/>
  <c r="E210" i="3" l="1"/>
  <c r="F204" i="4"/>
  <c r="F208" i="3"/>
  <c r="D202" i="4" s="1"/>
  <c r="E202" i="4"/>
  <c r="O213" i="3"/>
  <c r="M207" i="4" s="1"/>
  <c r="N213" i="3"/>
  <c r="L207" i="4" s="1"/>
  <c r="M213" i="3"/>
  <c r="K207" i="4" s="1"/>
  <c r="R213" i="3"/>
  <c r="P207" i="4" s="1"/>
  <c r="K213" i="3"/>
  <c r="I207" i="4" s="1"/>
  <c r="T213" i="3"/>
  <c r="R207" i="4" s="1"/>
  <c r="H211" i="3"/>
  <c r="S208" i="3"/>
  <c r="C204" i="4"/>
  <c r="Z210" i="3"/>
  <c r="C203" i="4"/>
  <c r="Z209" i="3"/>
  <c r="G209" i="3" s="1"/>
  <c r="E203" i="4" s="1"/>
  <c r="G210" i="3"/>
  <c r="E204" i="4" s="1"/>
  <c r="Q213" i="3"/>
  <c r="O207" i="4" s="1"/>
  <c r="L213" i="3"/>
  <c r="J207" i="4" s="1"/>
  <c r="I213" i="3"/>
  <c r="G207" i="4" s="1"/>
  <c r="S213" i="3"/>
  <c r="Q207" i="4" s="1"/>
  <c r="P213" i="3"/>
  <c r="N207" i="4" s="1"/>
  <c r="J213" i="3"/>
  <c r="H207" i="4" s="1"/>
  <c r="X211" i="3"/>
  <c r="Y211" i="3" s="1"/>
  <c r="A213" i="3"/>
  <c r="A206" i="4"/>
  <c r="C212" i="3"/>
  <c r="E211" i="3" l="1"/>
  <c r="F205" i="4"/>
  <c r="U208" i="3"/>
  <c r="Q202" i="4"/>
  <c r="O214" i="3"/>
  <c r="M208" i="4" s="1"/>
  <c r="N214" i="3"/>
  <c r="L208" i="4" s="1"/>
  <c r="M214" i="3"/>
  <c r="K208" i="4" s="1"/>
  <c r="R214" i="3"/>
  <c r="P208" i="4" s="1"/>
  <c r="K214" i="3"/>
  <c r="I208" i="4" s="1"/>
  <c r="T214" i="3"/>
  <c r="R208" i="4" s="1"/>
  <c r="U209" i="3"/>
  <c r="F209" i="3"/>
  <c r="D203" i="4" s="1"/>
  <c r="U210" i="3"/>
  <c r="F210" i="3"/>
  <c r="D204" i="4" s="1"/>
  <c r="H212" i="3"/>
  <c r="S214" i="3"/>
  <c r="Q208" i="4" s="1"/>
  <c r="P214" i="3"/>
  <c r="N208" i="4" s="1"/>
  <c r="J214" i="3"/>
  <c r="H208" i="4" s="1"/>
  <c r="Q214" i="3"/>
  <c r="O208" i="4" s="1"/>
  <c r="L214" i="3"/>
  <c r="J208" i="4" s="1"/>
  <c r="I214" i="3"/>
  <c r="G208" i="4" s="1"/>
  <c r="B205" i="4"/>
  <c r="V211" i="3"/>
  <c r="W211" i="3" s="1"/>
  <c r="D211" i="3"/>
  <c r="V212" i="3"/>
  <c r="W212" i="3" s="1"/>
  <c r="A214" i="3"/>
  <c r="A207" i="4"/>
  <c r="C213" i="3"/>
  <c r="E212" i="3" l="1"/>
  <c r="F206" i="4"/>
  <c r="O215" i="3"/>
  <c r="M209" i="4" s="1"/>
  <c r="N215" i="3"/>
  <c r="L209" i="4" s="1"/>
  <c r="M215" i="3"/>
  <c r="K209" i="4" s="1"/>
  <c r="R215" i="3"/>
  <c r="P209" i="4" s="1"/>
  <c r="T215" i="3"/>
  <c r="R209" i="4" s="1"/>
  <c r="K215" i="3"/>
  <c r="I209" i="4" s="1"/>
  <c r="H213" i="3"/>
  <c r="C205" i="4"/>
  <c r="Z211" i="3"/>
  <c r="G211" i="3"/>
  <c r="E205" i="4" s="1"/>
  <c r="Q215" i="3"/>
  <c r="O209" i="4" s="1"/>
  <c r="L215" i="3"/>
  <c r="J209" i="4" s="1"/>
  <c r="I215" i="3"/>
  <c r="G209" i="4" s="1"/>
  <c r="S215" i="3"/>
  <c r="Q209" i="4" s="1"/>
  <c r="P215" i="3"/>
  <c r="N209" i="4" s="1"/>
  <c r="J215" i="3"/>
  <c r="H209" i="4" s="1"/>
  <c r="X212" i="3"/>
  <c r="Y212" i="3" s="1"/>
  <c r="D212" i="3"/>
  <c r="B206" i="4"/>
  <c r="A215" i="3"/>
  <c r="A208" i="4"/>
  <c r="C214" i="3"/>
  <c r="B207" i="4"/>
  <c r="V213" i="3"/>
  <c r="W213" i="3" s="1"/>
  <c r="X213" i="3"/>
  <c r="Y213" i="3" s="1"/>
  <c r="D213" i="3"/>
  <c r="E213" i="3" l="1"/>
  <c r="F207" i="4"/>
  <c r="O216" i="3"/>
  <c r="M210" i="4" s="1"/>
  <c r="N216" i="3"/>
  <c r="L210" i="4" s="1"/>
  <c r="M216" i="3"/>
  <c r="K210" i="4" s="1"/>
  <c r="R216" i="3"/>
  <c r="P210" i="4" s="1"/>
  <c r="T216" i="3"/>
  <c r="R210" i="4" s="1"/>
  <c r="K216" i="3"/>
  <c r="I210" i="4" s="1"/>
  <c r="U211" i="3"/>
  <c r="F211" i="3"/>
  <c r="D205" i="4" s="1"/>
  <c r="H214" i="3"/>
  <c r="C207" i="4"/>
  <c r="Z213" i="3"/>
  <c r="C206" i="4"/>
  <c r="Z212" i="3"/>
  <c r="G212" i="3" s="1"/>
  <c r="E206" i="4" s="1"/>
  <c r="S216" i="3"/>
  <c r="Q210" i="4" s="1"/>
  <c r="P216" i="3"/>
  <c r="N210" i="4" s="1"/>
  <c r="J216" i="3"/>
  <c r="H210" i="4" s="1"/>
  <c r="Q216" i="3"/>
  <c r="O210" i="4" s="1"/>
  <c r="L216" i="3"/>
  <c r="J210" i="4" s="1"/>
  <c r="I216" i="3"/>
  <c r="G210" i="4" s="1"/>
  <c r="G213" i="3"/>
  <c r="E207" i="4" s="1"/>
  <c r="D214" i="3"/>
  <c r="A216" i="3"/>
  <c r="A209" i="4"/>
  <c r="C215" i="3"/>
  <c r="E214" i="3" l="1"/>
  <c r="F208" i="4"/>
  <c r="M217" i="3"/>
  <c r="K211" i="4" s="1"/>
  <c r="O217" i="3"/>
  <c r="M211" i="4" s="1"/>
  <c r="N217" i="3"/>
  <c r="L211" i="4" s="1"/>
  <c r="R217" i="3"/>
  <c r="P211" i="4" s="1"/>
  <c r="T217" i="3"/>
  <c r="R211" i="4" s="1"/>
  <c r="K217" i="3"/>
  <c r="I211" i="4" s="1"/>
  <c r="U213" i="3"/>
  <c r="F213" i="3"/>
  <c r="D207" i="4" s="1"/>
  <c r="U212" i="3"/>
  <c r="F212" i="3"/>
  <c r="D206" i="4" s="1"/>
  <c r="H215" i="3"/>
  <c r="C208" i="4"/>
  <c r="B208" i="4"/>
  <c r="Q217" i="3"/>
  <c r="O211" i="4" s="1"/>
  <c r="L217" i="3"/>
  <c r="J211" i="4" s="1"/>
  <c r="I217" i="3"/>
  <c r="G211" i="4" s="1"/>
  <c r="S217" i="3"/>
  <c r="Q211" i="4" s="1"/>
  <c r="P217" i="3"/>
  <c r="N211" i="4" s="1"/>
  <c r="J217" i="3"/>
  <c r="H211" i="4" s="1"/>
  <c r="X214" i="3"/>
  <c r="Y214" i="3" s="1"/>
  <c r="Z214" i="3" s="1"/>
  <c r="V214" i="3"/>
  <c r="W214" i="3" s="1"/>
  <c r="D215" i="3"/>
  <c r="A217" i="3"/>
  <c r="A210" i="4"/>
  <c r="C216" i="3"/>
  <c r="E215" i="3" l="1"/>
  <c r="F209" i="4"/>
  <c r="M218" i="3"/>
  <c r="K212" i="4" s="1"/>
  <c r="O218" i="3"/>
  <c r="M212" i="4" s="1"/>
  <c r="N218" i="3"/>
  <c r="L212" i="4" s="1"/>
  <c r="R218" i="3"/>
  <c r="P212" i="4" s="1"/>
  <c r="T218" i="3"/>
  <c r="R212" i="4" s="1"/>
  <c r="K218" i="3"/>
  <c r="I212" i="4" s="1"/>
  <c r="H216" i="3"/>
  <c r="C209" i="4"/>
  <c r="B209" i="4"/>
  <c r="X215" i="3"/>
  <c r="Y215" i="3" s="1"/>
  <c r="Z215" i="3" s="1"/>
  <c r="S218" i="3"/>
  <c r="Q212" i="4" s="1"/>
  <c r="P218" i="3"/>
  <c r="N212" i="4" s="1"/>
  <c r="J218" i="3"/>
  <c r="H212" i="4" s="1"/>
  <c r="Q218" i="3"/>
  <c r="O212" i="4" s="1"/>
  <c r="L218" i="3"/>
  <c r="J212" i="4" s="1"/>
  <c r="I218" i="3"/>
  <c r="G212" i="4" s="1"/>
  <c r="G214" i="3"/>
  <c r="E208" i="4" s="1"/>
  <c r="V215" i="3"/>
  <c r="W215" i="3" s="1"/>
  <c r="X216" i="3"/>
  <c r="Y216" i="3" s="1"/>
  <c r="A218" i="3"/>
  <c r="A211" i="4"/>
  <c r="C217" i="3"/>
  <c r="E216" i="3" l="1"/>
  <c r="F210" i="4"/>
  <c r="M219" i="3"/>
  <c r="K213" i="4" s="1"/>
  <c r="O219" i="3"/>
  <c r="M213" i="4" s="1"/>
  <c r="N219" i="3"/>
  <c r="L213" i="4" s="1"/>
  <c r="R219" i="3"/>
  <c r="P213" i="4" s="1"/>
  <c r="T219" i="3"/>
  <c r="R213" i="4" s="1"/>
  <c r="K219" i="3"/>
  <c r="I213" i="4" s="1"/>
  <c r="U214" i="3"/>
  <c r="F214" i="3"/>
  <c r="D208" i="4" s="1"/>
  <c r="H217" i="3"/>
  <c r="Q219" i="3"/>
  <c r="O213" i="4" s="1"/>
  <c r="L219" i="3"/>
  <c r="J213" i="4" s="1"/>
  <c r="I219" i="3"/>
  <c r="G213" i="4" s="1"/>
  <c r="S219" i="3"/>
  <c r="Q213" i="4" s="1"/>
  <c r="P219" i="3"/>
  <c r="N213" i="4" s="1"/>
  <c r="J219" i="3"/>
  <c r="H213" i="4" s="1"/>
  <c r="G215" i="3"/>
  <c r="E209" i="4" s="1"/>
  <c r="B210" i="4"/>
  <c r="D216" i="3"/>
  <c r="V216" i="3"/>
  <c r="W216" i="3" s="1"/>
  <c r="X217" i="3"/>
  <c r="Y217" i="3" s="1"/>
  <c r="A219" i="3"/>
  <c r="Q220" i="3" s="1"/>
  <c r="A212" i="4"/>
  <c r="C218" i="3"/>
  <c r="E217" i="3" l="1"/>
  <c r="F211" i="4"/>
  <c r="AC18" i="3"/>
  <c r="O214" i="4"/>
  <c r="O220" i="3"/>
  <c r="M214" i="4" s="1"/>
  <c r="M220" i="3"/>
  <c r="K214" i="4" s="1"/>
  <c r="N220" i="3"/>
  <c r="L214" i="4" s="1"/>
  <c r="R220" i="3"/>
  <c r="P214" i="4" s="1"/>
  <c r="K220" i="3"/>
  <c r="T220" i="3"/>
  <c r="R214" i="4" s="1"/>
  <c r="U215" i="3"/>
  <c r="F215" i="3"/>
  <c r="D209" i="4" s="1"/>
  <c r="H218" i="3"/>
  <c r="C210" i="4"/>
  <c r="Z216" i="3"/>
  <c r="G216" i="3"/>
  <c r="E210" i="4" s="1"/>
  <c r="P220" i="3"/>
  <c r="N214" i="4" s="1"/>
  <c r="J220" i="3"/>
  <c r="H214" i="4" s="1"/>
  <c r="L220" i="3"/>
  <c r="J214" i="4" s="1"/>
  <c r="I220" i="3"/>
  <c r="G214" i="4" s="1"/>
  <c r="D217" i="3"/>
  <c r="B211" i="4"/>
  <c r="V217" i="3"/>
  <c r="W217" i="3" s="1"/>
  <c r="V218" i="3"/>
  <c r="W218" i="3" s="1"/>
  <c r="A220" i="3"/>
  <c r="A213" i="4"/>
  <c r="C219" i="3"/>
  <c r="E218" i="3" l="1"/>
  <c r="F212" i="4"/>
  <c r="I214" i="4"/>
  <c r="O221" i="3"/>
  <c r="M215" i="4" s="1"/>
  <c r="N221" i="3"/>
  <c r="L215" i="4" s="1"/>
  <c r="M221" i="3"/>
  <c r="K215" i="4" s="1"/>
  <c r="R221" i="3"/>
  <c r="P215" i="4" s="1"/>
  <c r="K221" i="3"/>
  <c r="I215" i="4" s="1"/>
  <c r="T221" i="3"/>
  <c r="R215" i="4" s="1"/>
  <c r="U216" i="3"/>
  <c r="F216" i="3"/>
  <c r="D210" i="4" s="1"/>
  <c r="H219" i="3"/>
  <c r="G217" i="3"/>
  <c r="E211" i="4" s="1"/>
  <c r="C211" i="4"/>
  <c r="Z217" i="3"/>
  <c r="AD18" i="3"/>
  <c r="Q221" i="3"/>
  <c r="O215" i="4" s="1"/>
  <c r="L221" i="3"/>
  <c r="J215" i="4" s="1"/>
  <c r="I221" i="3"/>
  <c r="G215" i="4" s="1"/>
  <c r="S221" i="3"/>
  <c r="Q215" i="4" s="1"/>
  <c r="P221" i="3"/>
  <c r="N215" i="4" s="1"/>
  <c r="J221" i="3"/>
  <c r="H215" i="4" s="1"/>
  <c r="D218" i="3"/>
  <c r="B212" i="4"/>
  <c r="X218" i="3"/>
  <c r="Y218" i="3" s="1"/>
  <c r="D219" i="3"/>
  <c r="A221" i="3"/>
  <c r="A214" i="4"/>
  <c r="C220" i="3"/>
  <c r="E219" i="3" l="1"/>
  <c r="F213" i="4"/>
  <c r="O222" i="3"/>
  <c r="M216" i="4" s="1"/>
  <c r="N222" i="3"/>
  <c r="L216" i="4" s="1"/>
  <c r="M222" i="3"/>
  <c r="K216" i="4" s="1"/>
  <c r="R222" i="3"/>
  <c r="P216" i="4" s="1"/>
  <c r="K222" i="3"/>
  <c r="I216" i="4" s="1"/>
  <c r="T222" i="3"/>
  <c r="R216" i="4" s="1"/>
  <c r="U217" i="3"/>
  <c r="F217" i="3"/>
  <c r="D211" i="4" s="1"/>
  <c r="H220" i="3"/>
  <c r="C213" i="4"/>
  <c r="C212" i="4"/>
  <c r="Z218" i="3"/>
  <c r="G218" i="3"/>
  <c r="E212" i="4" s="1"/>
  <c r="S222" i="3"/>
  <c r="Q216" i="4" s="1"/>
  <c r="P222" i="3"/>
  <c r="N216" i="4" s="1"/>
  <c r="J222" i="3"/>
  <c r="H216" i="4" s="1"/>
  <c r="Q222" i="3"/>
  <c r="O216" i="4" s="1"/>
  <c r="L222" i="3"/>
  <c r="J216" i="4" s="1"/>
  <c r="I222" i="3"/>
  <c r="G216" i="4" s="1"/>
  <c r="V219" i="3"/>
  <c r="W219" i="3" s="1"/>
  <c r="B213" i="4"/>
  <c r="X219" i="3"/>
  <c r="Y219" i="3" s="1"/>
  <c r="Z219" i="3" s="1"/>
  <c r="B214" i="4"/>
  <c r="V220" i="3"/>
  <c r="W220" i="3" s="1"/>
  <c r="X220" i="3"/>
  <c r="Y220" i="3" s="1"/>
  <c r="A222" i="3"/>
  <c r="A215" i="4"/>
  <c r="C221" i="3"/>
  <c r="D220" i="3"/>
  <c r="E220" i="3" l="1"/>
  <c r="F214" i="4"/>
  <c r="O223" i="3"/>
  <c r="M217" i="4" s="1"/>
  <c r="N223" i="3"/>
  <c r="L217" i="4" s="1"/>
  <c r="M223" i="3"/>
  <c r="K217" i="4" s="1"/>
  <c r="R223" i="3"/>
  <c r="P217" i="4" s="1"/>
  <c r="K223" i="3"/>
  <c r="I217" i="4" s="1"/>
  <c r="T223" i="3"/>
  <c r="R217" i="4" s="1"/>
  <c r="U218" i="3"/>
  <c r="F218" i="3"/>
  <c r="D212" i="4" s="1"/>
  <c r="H221" i="3"/>
  <c r="C214" i="4"/>
  <c r="Z220" i="3"/>
  <c r="Q223" i="3"/>
  <c r="O217" i="4" s="1"/>
  <c r="L223" i="3"/>
  <c r="J217" i="4" s="1"/>
  <c r="I223" i="3"/>
  <c r="G217" i="4" s="1"/>
  <c r="S223" i="3"/>
  <c r="Q217" i="4" s="1"/>
  <c r="P223" i="3"/>
  <c r="N217" i="4" s="1"/>
  <c r="J223" i="3"/>
  <c r="H217" i="4" s="1"/>
  <c r="G219" i="3"/>
  <c r="E213" i="4" s="1"/>
  <c r="D221" i="3"/>
  <c r="A223" i="3"/>
  <c r="A216" i="4"/>
  <c r="C222" i="3"/>
  <c r="E221" i="3" l="1"/>
  <c r="F215" i="4"/>
  <c r="O224" i="3"/>
  <c r="M218" i="4" s="1"/>
  <c r="N224" i="3"/>
  <c r="L218" i="4" s="1"/>
  <c r="M224" i="3"/>
  <c r="K218" i="4" s="1"/>
  <c r="R224" i="3"/>
  <c r="P218" i="4" s="1"/>
  <c r="K224" i="3"/>
  <c r="I218" i="4" s="1"/>
  <c r="T224" i="3"/>
  <c r="R218" i="4" s="1"/>
  <c r="U219" i="3"/>
  <c r="F219" i="3"/>
  <c r="D213" i="4" s="1"/>
  <c r="H222" i="3"/>
  <c r="G220" i="3"/>
  <c r="C215" i="4"/>
  <c r="S224" i="3"/>
  <c r="Q218" i="4" s="1"/>
  <c r="P224" i="3"/>
  <c r="N218" i="4" s="1"/>
  <c r="J224" i="3"/>
  <c r="H218" i="4" s="1"/>
  <c r="Q224" i="3"/>
  <c r="O218" i="4" s="1"/>
  <c r="L224" i="3"/>
  <c r="J218" i="4" s="1"/>
  <c r="I224" i="3"/>
  <c r="G218" i="4" s="1"/>
  <c r="X221" i="3"/>
  <c r="Y221" i="3" s="1"/>
  <c r="Z221" i="3" s="1"/>
  <c r="V221" i="3"/>
  <c r="W221" i="3" s="1"/>
  <c r="D222" i="3"/>
  <c r="B215" i="4"/>
  <c r="A224" i="3"/>
  <c r="A217" i="4"/>
  <c r="C223" i="3"/>
  <c r="E222" i="3" l="1"/>
  <c r="F216" i="4"/>
  <c r="F220" i="3"/>
  <c r="D214" i="4" s="1"/>
  <c r="E214" i="4"/>
  <c r="M225" i="3"/>
  <c r="K219" i="4" s="1"/>
  <c r="O225" i="3"/>
  <c r="M219" i="4" s="1"/>
  <c r="N225" i="3"/>
  <c r="L219" i="4" s="1"/>
  <c r="R225" i="3"/>
  <c r="P219" i="4" s="1"/>
  <c r="T225" i="3"/>
  <c r="R219" i="4" s="1"/>
  <c r="K225" i="3"/>
  <c r="I219" i="4" s="1"/>
  <c r="H223" i="3"/>
  <c r="S220" i="3"/>
  <c r="Q214" i="4" s="1"/>
  <c r="C216" i="4"/>
  <c r="Q225" i="3"/>
  <c r="O219" i="4" s="1"/>
  <c r="L225" i="3"/>
  <c r="J219" i="4" s="1"/>
  <c r="I225" i="3"/>
  <c r="G219" i="4" s="1"/>
  <c r="S225" i="3"/>
  <c r="Q219" i="4" s="1"/>
  <c r="P225" i="3"/>
  <c r="N219" i="4" s="1"/>
  <c r="J225" i="3"/>
  <c r="H219" i="4" s="1"/>
  <c r="G221" i="3"/>
  <c r="E215" i="4" s="1"/>
  <c r="V222" i="3"/>
  <c r="W222" i="3" s="1"/>
  <c r="B216" i="4"/>
  <c r="X222" i="3"/>
  <c r="Y222" i="3" s="1"/>
  <c r="Z222" i="3" s="1"/>
  <c r="V223" i="3"/>
  <c r="W223" i="3" s="1"/>
  <c r="A225" i="3"/>
  <c r="A218" i="4"/>
  <c r="C224" i="3"/>
  <c r="E223" i="3" l="1"/>
  <c r="F217" i="4"/>
  <c r="M226" i="3"/>
  <c r="K220" i="4" s="1"/>
  <c r="O226" i="3"/>
  <c r="M220" i="4" s="1"/>
  <c r="N226" i="3"/>
  <c r="L220" i="4" s="1"/>
  <c r="R226" i="3"/>
  <c r="P220" i="4" s="1"/>
  <c r="T226" i="3"/>
  <c r="R220" i="4" s="1"/>
  <c r="K226" i="3"/>
  <c r="I220" i="4" s="1"/>
  <c r="U221" i="3"/>
  <c r="F221" i="3"/>
  <c r="D215" i="4" s="1"/>
  <c r="U220" i="3"/>
  <c r="H224" i="3"/>
  <c r="S226" i="3"/>
  <c r="Q220" i="4" s="1"/>
  <c r="P226" i="3"/>
  <c r="N220" i="4" s="1"/>
  <c r="J226" i="3"/>
  <c r="H220" i="4" s="1"/>
  <c r="Q226" i="3"/>
  <c r="O220" i="4" s="1"/>
  <c r="L226" i="3"/>
  <c r="J220" i="4" s="1"/>
  <c r="I226" i="3"/>
  <c r="G220" i="4" s="1"/>
  <c r="G222" i="3"/>
  <c r="E216" i="4" s="1"/>
  <c r="D223" i="3"/>
  <c r="X223" i="3"/>
  <c r="Y223" i="3" s="1"/>
  <c r="B217" i="4"/>
  <c r="V224" i="3"/>
  <c r="W224" i="3" s="1"/>
  <c r="B218" i="4"/>
  <c r="X224" i="3"/>
  <c r="Y224" i="3" s="1"/>
  <c r="A226" i="3"/>
  <c r="A219" i="4"/>
  <c r="C225" i="3"/>
  <c r="D224" i="3"/>
  <c r="E224" i="3" l="1"/>
  <c r="F218" i="4"/>
  <c r="M227" i="3"/>
  <c r="K221" i="4" s="1"/>
  <c r="O227" i="3"/>
  <c r="M221" i="4" s="1"/>
  <c r="N227" i="3"/>
  <c r="L221" i="4" s="1"/>
  <c r="R227" i="3"/>
  <c r="P221" i="4" s="1"/>
  <c r="T227" i="3"/>
  <c r="R221" i="4" s="1"/>
  <c r="K227" i="3"/>
  <c r="I221" i="4" s="1"/>
  <c r="U222" i="3"/>
  <c r="F222" i="3"/>
  <c r="D216" i="4" s="1"/>
  <c r="H225" i="3"/>
  <c r="C218" i="4"/>
  <c r="Z224" i="3"/>
  <c r="C217" i="4"/>
  <c r="Z223" i="3"/>
  <c r="Q227" i="3"/>
  <c r="O221" i="4" s="1"/>
  <c r="L227" i="3"/>
  <c r="J221" i="4" s="1"/>
  <c r="I227" i="3"/>
  <c r="G221" i="4" s="1"/>
  <c r="S227" i="3"/>
  <c r="Q221" i="4" s="1"/>
  <c r="P227" i="3"/>
  <c r="N221" i="4" s="1"/>
  <c r="J227" i="3"/>
  <c r="H221" i="4" s="1"/>
  <c r="G224" i="3"/>
  <c r="E218" i="4" s="1"/>
  <c r="G223" i="3"/>
  <c r="E217" i="4" s="1"/>
  <c r="D225" i="3"/>
  <c r="A227" i="3"/>
  <c r="A220" i="4"/>
  <c r="C226" i="3"/>
  <c r="E225" i="3" l="1"/>
  <c r="F219" i="4"/>
  <c r="O228" i="3"/>
  <c r="M222" i="4" s="1"/>
  <c r="M228" i="3"/>
  <c r="K222" i="4" s="1"/>
  <c r="N228" i="3"/>
  <c r="L222" i="4" s="1"/>
  <c r="R228" i="3"/>
  <c r="P222" i="4" s="1"/>
  <c r="K228" i="3"/>
  <c r="I222" i="4" s="1"/>
  <c r="T228" i="3"/>
  <c r="R222" i="4" s="1"/>
  <c r="U223" i="3"/>
  <c r="F223" i="3"/>
  <c r="D217" i="4" s="1"/>
  <c r="U224" i="3"/>
  <c r="F224" i="3"/>
  <c r="D218" i="4" s="1"/>
  <c r="H226" i="3"/>
  <c r="C219" i="4"/>
  <c r="S228" i="3"/>
  <c r="Q222" i="4" s="1"/>
  <c r="P228" i="3"/>
  <c r="N222" i="4" s="1"/>
  <c r="J228" i="3"/>
  <c r="H222" i="4" s="1"/>
  <c r="Q228" i="3"/>
  <c r="O222" i="4" s="1"/>
  <c r="L228" i="3"/>
  <c r="J222" i="4" s="1"/>
  <c r="I228" i="3"/>
  <c r="G222" i="4" s="1"/>
  <c r="X225" i="3"/>
  <c r="Y225" i="3" s="1"/>
  <c r="Z225" i="3" s="1"/>
  <c r="B219" i="4"/>
  <c r="V225" i="3"/>
  <c r="W225" i="3" s="1"/>
  <c r="G225" i="3" s="1"/>
  <c r="E219" i="4" s="1"/>
  <c r="D226" i="3"/>
  <c r="A228" i="3"/>
  <c r="A221" i="4"/>
  <c r="C227" i="3"/>
  <c r="E226" i="3" l="1"/>
  <c r="F220" i="4"/>
  <c r="O229" i="3"/>
  <c r="M223" i="4" s="1"/>
  <c r="N229" i="3"/>
  <c r="L223" i="4" s="1"/>
  <c r="M229" i="3"/>
  <c r="K223" i="4" s="1"/>
  <c r="R229" i="3"/>
  <c r="P223" i="4" s="1"/>
  <c r="K229" i="3"/>
  <c r="I223" i="4" s="1"/>
  <c r="T229" i="3"/>
  <c r="R223" i="4" s="1"/>
  <c r="U225" i="3"/>
  <c r="F225" i="3"/>
  <c r="D219" i="4" s="1"/>
  <c r="H227" i="3"/>
  <c r="C220" i="4"/>
  <c r="Q229" i="3"/>
  <c r="O223" i="4" s="1"/>
  <c r="L229" i="3"/>
  <c r="J223" i="4" s="1"/>
  <c r="I229" i="3"/>
  <c r="G223" i="4" s="1"/>
  <c r="S229" i="3"/>
  <c r="Q223" i="4" s="1"/>
  <c r="P229" i="3"/>
  <c r="N223" i="4" s="1"/>
  <c r="J229" i="3"/>
  <c r="H223" i="4" s="1"/>
  <c r="B220" i="4"/>
  <c r="V226" i="3"/>
  <c r="W226" i="3" s="1"/>
  <c r="X226" i="3"/>
  <c r="Y226" i="3" s="1"/>
  <c r="Z226" i="3" s="1"/>
  <c r="A229" i="3"/>
  <c r="A222" i="4"/>
  <c r="C228" i="3"/>
  <c r="V227" i="3"/>
  <c r="W227" i="3" s="1"/>
  <c r="B221" i="4"/>
  <c r="X227" i="3"/>
  <c r="Y227" i="3" s="1"/>
  <c r="D227" i="3"/>
  <c r="E227" i="3" l="1"/>
  <c r="F221" i="4"/>
  <c r="O230" i="3"/>
  <c r="M224" i="4" s="1"/>
  <c r="N230" i="3"/>
  <c r="L224" i="4" s="1"/>
  <c r="M230" i="3"/>
  <c r="K224" i="4" s="1"/>
  <c r="R230" i="3"/>
  <c r="P224" i="4" s="1"/>
  <c r="K230" i="3"/>
  <c r="I224" i="4" s="1"/>
  <c r="T230" i="3"/>
  <c r="R224" i="4" s="1"/>
  <c r="H228" i="3"/>
  <c r="C221" i="4"/>
  <c r="Z227" i="3"/>
  <c r="G226" i="3"/>
  <c r="E220" i="4" s="1"/>
  <c r="S230" i="3"/>
  <c r="Q224" i="4" s="1"/>
  <c r="P230" i="3"/>
  <c r="N224" i="4" s="1"/>
  <c r="J230" i="3"/>
  <c r="H224" i="4" s="1"/>
  <c r="Q230" i="3"/>
  <c r="O224" i="4" s="1"/>
  <c r="L230" i="3"/>
  <c r="J224" i="4" s="1"/>
  <c r="I230" i="3"/>
  <c r="G224" i="4" s="1"/>
  <c r="G227" i="3"/>
  <c r="E221" i="4" s="1"/>
  <c r="B222" i="4"/>
  <c r="A230" i="3"/>
  <c r="A223" i="4"/>
  <c r="C229" i="3"/>
  <c r="E228" i="3" l="1"/>
  <c r="F222" i="4"/>
  <c r="O231" i="3"/>
  <c r="M225" i="4" s="1"/>
  <c r="N231" i="3"/>
  <c r="L225" i="4" s="1"/>
  <c r="M231" i="3"/>
  <c r="K225" i="4" s="1"/>
  <c r="R231" i="3"/>
  <c r="P225" i="4" s="1"/>
  <c r="K231" i="3"/>
  <c r="I225" i="4" s="1"/>
  <c r="T231" i="3"/>
  <c r="R225" i="4" s="1"/>
  <c r="U227" i="3"/>
  <c r="F227" i="3"/>
  <c r="D221" i="4" s="1"/>
  <c r="U226" i="3"/>
  <c r="F226" i="3"/>
  <c r="D220" i="4" s="1"/>
  <c r="H229" i="3"/>
  <c r="Q231" i="3"/>
  <c r="O225" i="4" s="1"/>
  <c r="L231" i="3"/>
  <c r="J225" i="4" s="1"/>
  <c r="I231" i="3"/>
  <c r="G225" i="4" s="1"/>
  <c r="S231" i="3"/>
  <c r="Q225" i="4" s="1"/>
  <c r="P231" i="3"/>
  <c r="N225" i="4" s="1"/>
  <c r="J231" i="3"/>
  <c r="H225" i="4" s="1"/>
  <c r="X228" i="3"/>
  <c r="Y228" i="3" s="1"/>
  <c r="V228" i="3"/>
  <c r="W228" i="3" s="1"/>
  <c r="D228" i="3"/>
  <c r="D229" i="3"/>
  <c r="A231" i="3"/>
  <c r="Q232" i="3" s="1"/>
  <c r="A224" i="4"/>
  <c r="C230" i="3"/>
  <c r="E229" i="3" l="1"/>
  <c r="F223" i="4"/>
  <c r="AC19" i="3"/>
  <c r="O226" i="4"/>
  <c r="O232" i="3"/>
  <c r="M226" i="4" s="1"/>
  <c r="N232" i="3"/>
  <c r="L226" i="4" s="1"/>
  <c r="M232" i="3"/>
  <c r="K226" i="4" s="1"/>
  <c r="R232" i="3"/>
  <c r="P226" i="4" s="1"/>
  <c r="T232" i="3"/>
  <c r="R226" i="4" s="1"/>
  <c r="K232" i="3"/>
  <c r="H230" i="3"/>
  <c r="C223" i="4"/>
  <c r="C222" i="4"/>
  <c r="Z228" i="3"/>
  <c r="G228" i="3"/>
  <c r="E222" i="4" s="1"/>
  <c r="P232" i="3"/>
  <c r="N226" i="4" s="1"/>
  <c r="J232" i="3"/>
  <c r="H226" i="4" s="1"/>
  <c r="L232" i="3"/>
  <c r="J226" i="4" s="1"/>
  <c r="I232" i="3"/>
  <c r="G226" i="4" s="1"/>
  <c r="V229" i="3"/>
  <c r="W229" i="3" s="1"/>
  <c r="X229" i="3"/>
  <c r="Y229" i="3" s="1"/>
  <c r="Z229" i="3" s="1"/>
  <c r="B223" i="4"/>
  <c r="D230" i="3"/>
  <c r="A232" i="3"/>
  <c r="A225" i="4"/>
  <c r="C231" i="3"/>
  <c r="E230" i="3" l="1"/>
  <c r="F224" i="4"/>
  <c r="I226" i="4"/>
  <c r="M233" i="3"/>
  <c r="K227" i="4" s="1"/>
  <c r="O233" i="3"/>
  <c r="M227" i="4" s="1"/>
  <c r="N233" i="3"/>
  <c r="L227" i="4" s="1"/>
  <c r="R233" i="3"/>
  <c r="P227" i="4" s="1"/>
  <c r="K233" i="3"/>
  <c r="I227" i="4" s="1"/>
  <c r="T233" i="3"/>
  <c r="R227" i="4" s="1"/>
  <c r="U228" i="3"/>
  <c r="F228" i="3"/>
  <c r="D222" i="4" s="1"/>
  <c r="H231" i="3"/>
  <c r="C224" i="4"/>
  <c r="AD19" i="3"/>
  <c r="Q233" i="3"/>
  <c r="O227" i="4" s="1"/>
  <c r="L233" i="3"/>
  <c r="J227" i="4" s="1"/>
  <c r="I233" i="3"/>
  <c r="G227" i="4" s="1"/>
  <c r="S233" i="3"/>
  <c r="Q227" i="4" s="1"/>
  <c r="P233" i="3"/>
  <c r="N227" i="4" s="1"/>
  <c r="J233" i="3"/>
  <c r="H227" i="4" s="1"/>
  <c r="G229" i="3"/>
  <c r="E223" i="4" s="1"/>
  <c r="X230" i="3"/>
  <c r="Y230" i="3" s="1"/>
  <c r="Z230" i="3" s="1"/>
  <c r="B224" i="4"/>
  <c r="D231" i="3"/>
  <c r="V230" i="3"/>
  <c r="W230" i="3" s="1"/>
  <c r="A233" i="3"/>
  <c r="A226" i="4"/>
  <c r="C232" i="3"/>
  <c r="E231" i="3" l="1"/>
  <c r="F225" i="4"/>
  <c r="M234" i="3"/>
  <c r="K228" i="4" s="1"/>
  <c r="O234" i="3"/>
  <c r="M228" i="4" s="1"/>
  <c r="N234" i="3"/>
  <c r="L228" i="4" s="1"/>
  <c r="R234" i="3"/>
  <c r="P228" i="4" s="1"/>
  <c r="T234" i="3"/>
  <c r="R228" i="4" s="1"/>
  <c r="K234" i="3"/>
  <c r="I228" i="4" s="1"/>
  <c r="U229" i="3"/>
  <c r="F229" i="3"/>
  <c r="D223" i="4" s="1"/>
  <c r="H232" i="3"/>
  <c r="C225" i="4"/>
  <c r="S234" i="3"/>
  <c r="Q228" i="4" s="1"/>
  <c r="P234" i="3"/>
  <c r="N228" i="4" s="1"/>
  <c r="J234" i="3"/>
  <c r="H228" i="4" s="1"/>
  <c r="Q234" i="3"/>
  <c r="O228" i="4" s="1"/>
  <c r="L234" i="3"/>
  <c r="J228" i="4" s="1"/>
  <c r="I234" i="3"/>
  <c r="G228" i="4" s="1"/>
  <c r="G230" i="3"/>
  <c r="E224" i="4" s="1"/>
  <c r="V231" i="3"/>
  <c r="W231" i="3" s="1"/>
  <c r="X231" i="3"/>
  <c r="Y231" i="3" s="1"/>
  <c r="Z231" i="3" s="1"/>
  <c r="D232" i="3"/>
  <c r="B225" i="4"/>
  <c r="A234" i="3"/>
  <c r="A227" i="4"/>
  <c r="C233" i="3"/>
  <c r="E232" i="3" l="1"/>
  <c r="F226" i="4"/>
  <c r="M235" i="3"/>
  <c r="K229" i="4" s="1"/>
  <c r="O235" i="3"/>
  <c r="M229" i="4" s="1"/>
  <c r="N235" i="3"/>
  <c r="L229" i="4" s="1"/>
  <c r="R235" i="3"/>
  <c r="P229" i="4" s="1"/>
  <c r="T235" i="3"/>
  <c r="R229" i="4" s="1"/>
  <c r="K235" i="3"/>
  <c r="I229" i="4" s="1"/>
  <c r="U230" i="3"/>
  <c r="F230" i="3"/>
  <c r="D224" i="4" s="1"/>
  <c r="H233" i="3"/>
  <c r="C226" i="4"/>
  <c r="Q235" i="3"/>
  <c r="O229" i="4" s="1"/>
  <c r="L235" i="3"/>
  <c r="J229" i="4" s="1"/>
  <c r="I235" i="3"/>
  <c r="G229" i="4" s="1"/>
  <c r="S235" i="3"/>
  <c r="Q229" i="4" s="1"/>
  <c r="P235" i="3"/>
  <c r="N229" i="4" s="1"/>
  <c r="J235" i="3"/>
  <c r="H229" i="4" s="1"/>
  <c r="G231" i="3"/>
  <c r="E225" i="4" s="1"/>
  <c r="X232" i="3"/>
  <c r="Y232" i="3" s="1"/>
  <c r="Z232" i="3" s="1"/>
  <c r="B226" i="4"/>
  <c r="V232" i="3"/>
  <c r="W232" i="3" s="1"/>
  <c r="G232" i="3" s="1"/>
  <c r="D233" i="3"/>
  <c r="A235" i="3"/>
  <c r="A228" i="4"/>
  <c r="C234" i="3"/>
  <c r="E233" i="3" l="1"/>
  <c r="F227" i="4"/>
  <c r="F232" i="3"/>
  <c r="D226" i="4" s="1"/>
  <c r="E226" i="4"/>
  <c r="O236" i="3"/>
  <c r="M230" i="4" s="1"/>
  <c r="M236" i="3"/>
  <c r="K230" i="4" s="1"/>
  <c r="N236" i="3"/>
  <c r="L230" i="4" s="1"/>
  <c r="R236" i="3"/>
  <c r="P230" i="4" s="1"/>
  <c r="K236" i="3"/>
  <c r="I230" i="4" s="1"/>
  <c r="T236" i="3"/>
  <c r="R230" i="4" s="1"/>
  <c r="U231" i="3"/>
  <c r="F231" i="3"/>
  <c r="D225" i="4" s="1"/>
  <c r="H234" i="3"/>
  <c r="C227" i="4"/>
  <c r="S232" i="3"/>
  <c r="Q226" i="4" s="1"/>
  <c r="S236" i="3"/>
  <c r="Q230" i="4" s="1"/>
  <c r="P236" i="3"/>
  <c r="N230" i="4" s="1"/>
  <c r="J236" i="3"/>
  <c r="H230" i="4" s="1"/>
  <c r="Q236" i="3"/>
  <c r="O230" i="4" s="1"/>
  <c r="L236" i="3"/>
  <c r="J230" i="4" s="1"/>
  <c r="I236" i="3"/>
  <c r="G230" i="4" s="1"/>
  <c r="B227" i="4"/>
  <c r="X233" i="3"/>
  <c r="Y233" i="3" s="1"/>
  <c r="Z233" i="3" s="1"/>
  <c r="V233" i="3"/>
  <c r="W233" i="3" s="1"/>
  <c r="B228" i="4"/>
  <c r="V234" i="3"/>
  <c r="W234" i="3" s="1"/>
  <c r="X234" i="3"/>
  <c r="Y234" i="3" s="1"/>
  <c r="A236" i="3"/>
  <c r="A229" i="4"/>
  <c r="C235" i="3"/>
  <c r="D234" i="3"/>
  <c r="E234" i="3" l="1"/>
  <c r="F228" i="4"/>
  <c r="O237" i="3"/>
  <c r="M231" i="4" s="1"/>
  <c r="M237" i="3"/>
  <c r="K231" i="4" s="1"/>
  <c r="N237" i="3"/>
  <c r="L231" i="4" s="1"/>
  <c r="R237" i="3"/>
  <c r="P231" i="4" s="1"/>
  <c r="K237" i="3"/>
  <c r="I231" i="4" s="1"/>
  <c r="T237" i="3"/>
  <c r="R231" i="4" s="1"/>
  <c r="U232" i="3"/>
  <c r="H235" i="3"/>
  <c r="C228" i="4"/>
  <c r="Z234" i="3"/>
  <c r="Q237" i="3"/>
  <c r="O231" i="4" s="1"/>
  <c r="L237" i="3"/>
  <c r="J231" i="4" s="1"/>
  <c r="I237" i="3"/>
  <c r="G231" i="4" s="1"/>
  <c r="S237" i="3"/>
  <c r="Q231" i="4" s="1"/>
  <c r="P237" i="3"/>
  <c r="N231" i="4" s="1"/>
  <c r="J237" i="3"/>
  <c r="H231" i="4" s="1"/>
  <c r="G234" i="3"/>
  <c r="E228" i="4" s="1"/>
  <c r="G233" i="3"/>
  <c r="E227" i="4" s="1"/>
  <c r="B229" i="4"/>
  <c r="V235" i="3"/>
  <c r="W235" i="3" s="1"/>
  <c r="X235" i="3"/>
  <c r="Y235" i="3" s="1"/>
  <c r="A237" i="3"/>
  <c r="A230" i="4"/>
  <c r="C236" i="3"/>
  <c r="D235" i="3"/>
  <c r="E235" i="3" l="1"/>
  <c r="F229" i="4"/>
  <c r="O238" i="3"/>
  <c r="M232" i="4" s="1"/>
  <c r="N238" i="3"/>
  <c r="L232" i="4" s="1"/>
  <c r="M238" i="3"/>
  <c r="K232" i="4" s="1"/>
  <c r="R238" i="3"/>
  <c r="P232" i="4" s="1"/>
  <c r="K238" i="3"/>
  <c r="I232" i="4" s="1"/>
  <c r="T238" i="3"/>
  <c r="R232" i="4" s="1"/>
  <c r="U234" i="3"/>
  <c r="F234" i="3"/>
  <c r="D228" i="4" s="1"/>
  <c r="U233" i="3"/>
  <c r="F233" i="3"/>
  <c r="D227" i="4" s="1"/>
  <c r="H236" i="3"/>
  <c r="C229" i="4"/>
  <c r="Z235" i="3"/>
  <c r="S238" i="3"/>
  <c r="Q232" i="4" s="1"/>
  <c r="P238" i="3"/>
  <c r="N232" i="4" s="1"/>
  <c r="J238" i="3"/>
  <c r="H232" i="4" s="1"/>
  <c r="Q238" i="3"/>
  <c r="O232" i="4" s="1"/>
  <c r="L238" i="3"/>
  <c r="J232" i="4" s="1"/>
  <c r="I238" i="3"/>
  <c r="G232" i="4" s="1"/>
  <c r="G235" i="3"/>
  <c r="E229" i="4" s="1"/>
  <c r="D236" i="3"/>
  <c r="A238" i="3"/>
  <c r="A231" i="4"/>
  <c r="C237" i="3"/>
  <c r="E236" i="3" l="1"/>
  <c r="F230" i="4"/>
  <c r="O239" i="3"/>
  <c r="M233" i="4" s="1"/>
  <c r="N239" i="3"/>
  <c r="L233" i="4" s="1"/>
  <c r="M239" i="3"/>
  <c r="K233" i="4" s="1"/>
  <c r="R239" i="3"/>
  <c r="P233" i="4" s="1"/>
  <c r="T239" i="3"/>
  <c r="R233" i="4" s="1"/>
  <c r="K239" i="3"/>
  <c r="I233" i="4" s="1"/>
  <c r="U235" i="3"/>
  <c r="F235" i="3"/>
  <c r="D229" i="4" s="1"/>
  <c r="H237" i="3"/>
  <c r="C230" i="4"/>
  <c r="B230" i="4"/>
  <c r="Q239" i="3"/>
  <c r="O233" i="4" s="1"/>
  <c r="L239" i="3"/>
  <c r="J233" i="4" s="1"/>
  <c r="I239" i="3"/>
  <c r="G233" i="4" s="1"/>
  <c r="S239" i="3"/>
  <c r="Q233" i="4" s="1"/>
  <c r="P239" i="3"/>
  <c r="N233" i="4" s="1"/>
  <c r="J239" i="3"/>
  <c r="H233" i="4" s="1"/>
  <c r="X236" i="3"/>
  <c r="Y236" i="3" s="1"/>
  <c r="Z236" i="3" s="1"/>
  <c r="V236" i="3"/>
  <c r="W236" i="3" s="1"/>
  <c r="D237" i="3"/>
  <c r="A239" i="3"/>
  <c r="A232" i="4"/>
  <c r="C238" i="3"/>
  <c r="E237" i="3" l="1"/>
  <c r="F231" i="4"/>
  <c r="O240" i="3"/>
  <c r="M234" i="4" s="1"/>
  <c r="N240" i="3"/>
  <c r="L234" i="4" s="1"/>
  <c r="M240" i="3"/>
  <c r="K234" i="4" s="1"/>
  <c r="R240" i="3"/>
  <c r="P234" i="4" s="1"/>
  <c r="T240" i="3"/>
  <c r="R234" i="4" s="1"/>
  <c r="K240" i="3"/>
  <c r="I234" i="4" s="1"/>
  <c r="H238" i="3"/>
  <c r="C231" i="4"/>
  <c r="S240" i="3"/>
  <c r="Q234" i="4" s="1"/>
  <c r="P240" i="3"/>
  <c r="N234" i="4" s="1"/>
  <c r="J240" i="3"/>
  <c r="H234" i="4" s="1"/>
  <c r="Q240" i="3"/>
  <c r="O234" i="4" s="1"/>
  <c r="L240" i="3"/>
  <c r="J234" i="4" s="1"/>
  <c r="I240" i="3"/>
  <c r="G234" i="4" s="1"/>
  <c r="G236" i="3"/>
  <c r="E230" i="4" s="1"/>
  <c r="B231" i="4"/>
  <c r="X237" i="3"/>
  <c r="Y237" i="3" s="1"/>
  <c r="Z237" i="3" s="1"/>
  <c r="D238" i="3"/>
  <c r="V237" i="3"/>
  <c r="W237" i="3" s="1"/>
  <c r="A240" i="3"/>
  <c r="A233" i="4"/>
  <c r="C239" i="3"/>
  <c r="E238" i="3" l="1"/>
  <c r="F232" i="4"/>
  <c r="M241" i="3"/>
  <c r="K235" i="4" s="1"/>
  <c r="O241" i="3"/>
  <c r="M235" i="4" s="1"/>
  <c r="N241" i="3"/>
  <c r="L235" i="4" s="1"/>
  <c r="R241" i="3"/>
  <c r="P235" i="4" s="1"/>
  <c r="K241" i="3"/>
  <c r="I235" i="4" s="1"/>
  <c r="T241" i="3"/>
  <c r="R235" i="4" s="1"/>
  <c r="U236" i="3"/>
  <c r="F236" i="3"/>
  <c r="D230" i="4" s="1"/>
  <c r="H239" i="3"/>
  <c r="C232" i="4"/>
  <c r="Q241" i="3"/>
  <c r="O235" i="4" s="1"/>
  <c r="L241" i="3"/>
  <c r="J235" i="4" s="1"/>
  <c r="I241" i="3"/>
  <c r="G235" i="4" s="1"/>
  <c r="S241" i="3"/>
  <c r="Q235" i="4" s="1"/>
  <c r="P241" i="3"/>
  <c r="N235" i="4" s="1"/>
  <c r="J241" i="3"/>
  <c r="H235" i="4" s="1"/>
  <c r="G237" i="3"/>
  <c r="E231" i="4" s="1"/>
  <c r="X238" i="3"/>
  <c r="Y238" i="3" s="1"/>
  <c r="Z238" i="3" s="1"/>
  <c r="V238" i="3"/>
  <c r="W238" i="3" s="1"/>
  <c r="G238" i="3" s="1"/>
  <c r="E232" i="4" s="1"/>
  <c r="D239" i="3"/>
  <c r="B232" i="4"/>
  <c r="A241" i="3"/>
  <c r="A234" i="4"/>
  <c r="C240" i="3"/>
  <c r="E239" i="3" l="1"/>
  <c r="F233" i="4"/>
  <c r="M242" i="3"/>
  <c r="K236" i="4" s="1"/>
  <c r="O242" i="3"/>
  <c r="M236" i="4" s="1"/>
  <c r="N242" i="3"/>
  <c r="L236" i="4" s="1"/>
  <c r="R242" i="3"/>
  <c r="P236" i="4" s="1"/>
  <c r="T242" i="3"/>
  <c r="R236" i="4" s="1"/>
  <c r="K242" i="3"/>
  <c r="I236" i="4" s="1"/>
  <c r="U237" i="3"/>
  <c r="F237" i="3"/>
  <c r="D231" i="4" s="1"/>
  <c r="U238" i="3"/>
  <c r="F238" i="3"/>
  <c r="D232" i="4" s="1"/>
  <c r="H240" i="3"/>
  <c r="C233" i="4"/>
  <c r="S242" i="3"/>
  <c r="Q236" i="4" s="1"/>
  <c r="P242" i="3"/>
  <c r="N236" i="4" s="1"/>
  <c r="J242" i="3"/>
  <c r="H236" i="4" s="1"/>
  <c r="Q242" i="3"/>
  <c r="O236" i="4" s="1"/>
  <c r="L242" i="3"/>
  <c r="J236" i="4" s="1"/>
  <c r="I242" i="3"/>
  <c r="G236" i="4" s="1"/>
  <c r="X239" i="3"/>
  <c r="Y239" i="3" s="1"/>
  <c r="Z239" i="3" s="1"/>
  <c r="V239" i="3"/>
  <c r="W239" i="3" s="1"/>
  <c r="X240" i="3"/>
  <c r="Y240" i="3" s="1"/>
  <c r="B233" i="4"/>
  <c r="A242" i="3"/>
  <c r="A235" i="4"/>
  <c r="C241" i="3"/>
  <c r="E240" i="3" l="1"/>
  <c r="F234" i="4"/>
  <c r="M243" i="3"/>
  <c r="K237" i="4" s="1"/>
  <c r="O243" i="3"/>
  <c r="M237" i="4" s="1"/>
  <c r="N243" i="3"/>
  <c r="L237" i="4" s="1"/>
  <c r="R243" i="3"/>
  <c r="P237" i="4" s="1"/>
  <c r="T243" i="3"/>
  <c r="R237" i="4" s="1"/>
  <c r="K243" i="3"/>
  <c r="I237" i="4" s="1"/>
  <c r="H241" i="3"/>
  <c r="Q243" i="3"/>
  <c r="O237" i="4" s="1"/>
  <c r="L243" i="3"/>
  <c r="J237" i="4" s="1"/>
  <c r="I243" i="3"/>
  <c r="G237" i="4" s="1"/>
  <c r="S243" i="3"/>
  <c r="Q237" i="4" s="1"/>
  <c r="P243" i="3"/>
  <c r="N237" i="4" s="1"/>
  <c r="J243" i="3"/>
  <c r="H237" i="4" s="1"/>
  <c r="G239" i="3"/>
  <c r="E233" i="4" s="1"/>
  <c r="V240" i="3"/>
  <c r="W240" i="3" s="1"/>
  <c r="D240" i="3"/>
  <c r="B234" i="4"/>
  <c r="D241" i="3"/>
  <c r="A243" i="3"/>
  <c r="Q244" i="3" s="1"/>
  <c r="A236" i="4"/>
  <c r="C242" i="3"/>
  <c r="E241" i="3" l="1"/>
  <c r="F235" i="4"/>
  <c r="AC20" i="3"/>
  <c r="O238" i="4"/>
  <c r="O244" i="3"/>
  <c r="M238" i="4" s="1"/>
  <c r="M244" i="3"/>
  <c r="K238" i="4" s="1"/>
  <c r="N244" i="3"/>
  <c r="L238" i="4" s="1"/>
  <c r="R244" i="3"/>
  <c r="P238" i="4" s="1"/>
  <c r="K244" i="3"/>
  <c r="T244" i="3"/>
  <c r="R238" i="4" s="1"/>
  <c r="U239" i="3"/>
  <c r="F239" i="3"/>
  <c r="D233" i="4" s="1"/>
  <c r="H242" i="3"/>
  <c r="C235" i="4"/>
  <c r="C234" i="4"/>
  <c r="Z240" i="3"/>
  <c r="G240" i="3"/>
  <c r="E234" i="4" s="1"/>
  <c r="P244" i="3"/>
  <c r="N238" i="4" s="1"/>
  <c r="J244" i="3"/>
  <c r="H238" i="4" s="1"/>
  <c r="L244" i="3"/>
  <c r="J238" i="4" s="1"/>
  <c r="I244" i="3"/>
  <c r="G238" i="4" s="1"/>
  <c r="X241" i="3"/>
  <c r="Y241" i="3" s="1"/>
  <c r="Z241" i="3" s="1"/>
  <c r="V241" i="3"/>
  <c r="W241" i="3" s="1"/>
  <c r="B235" i="4"/>
  <c r="B236" i="4"/>
  <c r="A244" i="3"/>
  <c r="A237" i="4"/>
  <c r="C243" i="3"/>
  <c r="E242" i="3" l="1"/>
  <c r="F236" i="4"/>
  <c r="I238" i="4"/>
  <c r="O245" i="3"/>
  <c r="M239" i="4" s="1"/>
  <c r="M245" i="3"/>
  <c r="K239" i="4" s="1"/>
  <c r="N245" i="3"/>
  <c r="L239" i="4" s="1"/>
  <c r="R245" i="3"/>
  <c r="P239" i="4" s="1"/>
  <c r="K245" i="3"/>
  <c r="I239" i="4" s="1"/>
  <c r="T245" i="3"/>
  <c r="R239" i="4" s="1"/>
  <c r="U240" i="3"/>
  <c r="F240" i="3"/>
  <c r="D234" i="4" s="1"/>
  <c r="H243" i="3"/>
  <c r="AD20" i="3"/>
  <c r="Q245" i="3"/>
  <c r="O239" i="4" s="1"/>
  <c r="L245" i="3"/>
  <c r="J239" i="4" s="1"/>
  <c r="S245" i="3"/>
  <c r="Q239" i="4" s="1"/>
  <c r="P245" i="3"/>
  <c r="N239" i="4" s="1"/>
  <c r="I245" i="3"/>
  <c r="G239" i="4" s="1"/>
  <c r="J245" i="3"/>
  <c r="H239" i="4" s="1"/>
  <c r="G241" i="3"/>
  <c r="E235" i="4" s="1"/>
  <c r="X242" i="3"/>
  <c r="Y242" i="3" s="1"/>
  <c r="D242" i="3"/>
  <c r="V242" i="3"/>
  <c r="W242" i="3" s="1"/>
  <c r="B237" i="4"/>
  <c r="A245" i="3"/>
  <c r="A238" i="4"/>
  <c r="C244" i="3"/>
  <c r="E243" i="3" l="1"/>
  <c r="F237" i="4"/>
  <c r="O246" i="3"/>
  <c r="M240" i="4" s="1"/>
  <c r="N246" i="3"/>
  <c r="L240" i="4" s="1"/>
  <c r="M246" i="3"/>
  <c r="K240" i="4" s="1"/>
  <c r="R246" i="3"/>
  <c r="P240" i="4" s="1"/>
  <c r="K246" i="3"/>
  <c r="I240" i="4" s="1"/>
  <c r="T246" i="3"/>
  <c r="R240" i="4" s="1"/>
  <c r="U241" i="3"/>
  <c r="F241" i="3"/>
  <c r="D235" i="4" s="1"/>
  <c r="H244" i="3"/>
  <c r="C236" i="4"/>
  <c r="Z242" i="3"/>
  <c r="G242" i="3"/>
  <c r="E236" i="4" s="1"/>
  <c r="S246" i="3"/>
  <c r="Q240" i="4" s="1"/>
  <c r="P246" i="3"/>
  <c r="N240" i="4" s="1"/>
  <c r="J246" i="3"/>
  <c r="H240" i="4" s="1"/>
  <c r="Q246" i="3"/>
  <c r="O240" i="4" s="1"/>
  <c r="L246" i="3"/>
  <c r="J240" i="4" s="1"/>
  <c r="I246" i="3"/>
  <c r="G240" i="4" s="1"/>
  <c r="V243" i="3"/>
  <c r="W243" i="3" s="1"/>
  <c r="D243" i="3"/>
  <c r="X243" i="3"/>
  <c r="Y243" i="3" s="1"/>
  <c r="X244" i="3"/>
  <c r="Y244" i="3" s="1"/>
  <c r="A246" i="3"/>
  <c r="A239" i="4"/>
  <c r="C245" i="3"/>
  <c r="E244" i="3" l="1"/>
  <c r="F238" i="4"/>
  <c r="O247" i="3"/>
  <c r="M241" i="4" s="1"/>
  <c r="N247" i="3"/>
  <c r="L241" i="4" s="1"/>
  <c r="M247" i="3"/>
  <c r="K241" i="4" s="1"/>
  <c r="R247" i="3"/>
  <c r="P241" i="4" s="1"/>
  <c r="K247" i="3"/>
  <c r="I241" i="4" s="1"/>
  <c r="T247" i="3"/>
  <c r="R241" i="4" s="1"/>
  <c r="U242" i="3"/>
  <c r="F242" i="3"/>
  <c r="D236" i="4" s="1"/>
  <c r="H245" i="3"/>
  <c r="C237" i="4"/>
  <c r="Z243" i="3"/>
  <c r="G243" i="3"/>
  <c r="E237" i="4" s="1"/>
  <c r="Q247" i="3"/>
  <c r="O241" i="4" s="1"/>
  <c r="L247" i="3"/>
  <c r="J241" i="4" s="1"/>
  <c r="I247" i="3"/>
  <c r="G241" i="4" s="1"/>
  <c r="S247" i="3"/>
  <c r="Q241" i="4" s="1"/>
  <c r="P247" i="3"/>
  <c r="N241" i="4" s="1"/>
  <c r="J247" i="3"/>
  <c r="H241" i="4" s="1"/>
  <c r="B238" i="4"/>
  <c r="V244" i="3"/>
  <c r="W244" i="3" s="1"/>
  <c r="D244" i="3"/>
  <c r="B239" i="4"/>
  <c r="V245" i="3"/>
  <c r="W245" i="3" s="1"/>
  <c r="X245" i="3"/>
  <c r="Y245" i="3" s="1"/>
  <c r="A247" i="3"/>
  <c r="A240" i="4"/>
  <c r="C246" i="3"/>
  <c r="D245" i="3"/>
  <c r="E245" i="3" l="1"/>
  <c r="F239" i="4"/>
  <c r="O248" i="3"/>
  <c r="M242" i="4" s="1"/>
  <c r="N248" i="3"/>
  <c r="L242" i="4" s="1"/>
  <c r="M248" i="3"/>
  <c r="K242" i="4" s="1"/>
  <c r="R248" i="3"/>
  <c r="P242" i="4" s="1"/>
  <c r="K248" i="3"/>
  <c r="I242" i="4" s="1"/>
  <c r="T248" i="3"/>
  <c r="R242" i="4" s="1"/>
  <c r="U243" i="3"/>
  <c r="F243" i="3"/>
  <c r="D237" i="4" s="1"/>
  <c r="H246" i="3"/>
  <c r="C238" i="4"/>
  <c r="Z244" i="3"/>
  <c r="G244" i="3" s="1"/>
  <c r="C239" i="4"/>
  <c r="Z245" i="3"/>
  <c r="S248" i="3"/>
  <c r="Q242" i="4" s="1"/>
  <c r="P248" i="3"/>
  <c r="N242" i="4" s="1"/>
  <c r="J248" i="3"/>
  <c r="H242" i="4" s="1"/>
  <c r="Q248" i="3"/>
  <c r="O242" i="4" s="1"/>
  <c r="L248" i="3"/>
  <c r="J242" i="4" s="1"/>
  <c r="I248" i="3"/>
  <c r="G242" i="4" s="1"/>
  <c r="G245" i="3"/>
  <c r="E239" i="4" s="1"/>
  <c r="D246" i="3"/>
  <c r="A248" i="3"/>
  <c r="A241" i="4"/>
  <c r="C247" i="3"/>
  <c r="E246" i="3" l="1"/>
  <c r="F240" i="4"/>
  <c r="F244" i="3"/>
  <c r="D238" i="4" s="1"/>
  <c r="E238" i="4"/>
  <c r="M249" i="3"/>
  <c r="K243" i="4" s="1"/>
  <c r="O249" i="3"/>
  <c r="M243" i="4" s="1"/>
  <c r="N249" i="3"/>
  <c r="L243" i="4" s="1"/>
  <c r="R249" i="3"/>
  <c r="P243" i="4" s="1"/>
  <c r="T249" i="3"/>
  <c r="R243" i="4" s="1"/>
  <c r="K249" i="3"/>
  <c r="I243" i="4" s="1"/>
  <c r="U245" i="3"/>
  <c r="F245" i="3"/>
  <c r="D239" i="4" s="1"/>
  <c r="H247" i="3"/>
  <c r="C240" i="4"/>
  <c r="Q249" i="3"/>
  <c r="O243" i="4" s="1"/>
  <c r="L249" i="3"/>
  <c r="J243" i="4" s="1"/>
  <c r="I249" i="3"/>
  <c r="G243" i="4" s="1"/>
  <c r="S249" i="3"/>
  <c r="Q243" i="4" s="1"/>
  <c r="P249" i="3"/>
  <c r="N243" i="4" s="1"/>
  <c r="J249" i="3"/>
  <c r="H243" i="4" s="1"/>
  <c r="X246" i="3"/>
  <c r="Y246" i="3" s="1"/>
  <c r="Z246" i="3" s="1"/>
  <c r="S244" i="3"/>
  <c r="Q238" i="4" s="1"/>
  <c r="V246" i="3"/>
  <c r="W246" i="3" s="1"/>
  <c r="B240" i="4"/>
  <c r="A249" i="3"/>
  <c r="A242" i="4"/>
  <c r="C248" i="3"/>
  <c r="B241" i="4"/>
  <c r="V247" i="3"/>
  <c r="W247" i="3" s="1"/>
  <c r="X247" i="3"/>
  <c r="Y247" i="3" s="1"/>
  <c r="D247" i="3"/>
  <c r="E247" i="3" l="1"/>
  <c r="F241" i="4"/>
  <c r="M250" i="3"/>
  <c r="K244" i="4" s="1"/>
  <c r="O250" i="3"/>
  <c r="M244" i="4" s="1"/>
  <c r="N250" i="3"/>
  <c r="L244" i="4" s="1"/>
  <c r="R250" i="3"/>
  <c r="P244" i="4" s="1"/>
  <c r="T250" i="3"/>
  <c r="R244" i="4" s="1"/>
  <c r="K250" i="3"/>
  <c r="I244" i="4" s="1"/>
  <c r="U244" i="3"/>
  <c r="H248" i="3"/>
  <c r="C241" i="4"/>
  <c r="Z247" i="3"/>
  <c r="S250" i="3"/>
  <c r="Q244" i="4" s="1"/>
  <c r="P250" i="3"/>
  <c r="N244" i="4" s="1"/>
  <c r="J250" i="3"/>
  <c r="H244" i="4" s="1"/>
  <c r="Q250" i="3"/>
  <c r="O244" i="4" s="1"/>
  <c r="L250" i="3"/>
  <c r="J244" i="4" s="1"/>
  <c r="I250" i="3"/>
  <c r="G244" i="4" s="1"/>
  <c r="G247" i="3"/>
  <c r="E241" i="4" s="1"/>
  <c r="G246" i="3"/>
  <c r="E240" i="4" s="1"/>
  <c r="A250" i="3"/>
  <c r="A243" i="4"/>
  <c r="C249" i="3"/>
  <c r="X248" i="3"/>
  <c r="Y248" i="3" s="1"/>
  <c r="B242" i="4"/>
  <c r="V248" i="3"/>
  <c r="W248" i="3" s="1"/>
  <c r="D248" i="3"/>
  <c r="E248" i="3" l="1"/>
  <c r="F242" i="4"/>
  <c r="M251" i="3"/>
  <c r="K245" i="4" s="1"/>
  <c r="O251" i="3"/>
  <c r="M245" i="4" s="1"/>
  <c r="N251" i="3"/>
  <c r="L245" i="4" s="1"/>
  <c r="R251" i="3"/>
  <c r="P245" i="4" s="1"/>
  <c r="T251" i="3"/>
  <c r="R245" i="4" s="1"/>
  <c r="K251" i="3"/>
  <c r="I245" i="4" s="1"/>
  <c r="U247" i="3"/>
  <c r="F247" i="3"/>
  <c r="D241" i="4" s="1"/>
  <c r="U246" i="3"/>
  <c r="F246" i="3"/>
  <c r="D240" i="4" s="1"/>
  <c r="H249" i="3"/>
  <c r="C242" i="4"/>
  <c r="Z248" i="3"/>
  <c r="G248" i="3"/>
  <c r="E242" i="4" s="1"/>
  <c r="Q251" i="3"/>
  <c r="O245" i="4" s="1"/>
  <c r="L251" i="3"/>
  <c r="J245" i="4" s="1"/>
  <c r="I251" i="3"/>
  <c r="G245" i="4" s="1"/>
  <c r="S251" i="3"/>
  <c r="Q245" i="4" s="1"/>
  <c r="P251" i="3"/>
  <c r="N245" i="4" s="1"/>
  <c r="J251" i="3"/>
  <c r="H245" i="4" s="1"/>
  <c r="X249" i="3"/>
  <c r="Y249" i="3" s="1"/>
  <c r="A251" i="3"/>
  <c r="A244" i="4"/>
  <c r="C250" i="3"/>
  <c r="E249" i="3" l="1"/>
  <c r="F243" i="4"/>
  <c r="O252" i="3"/>
  <c r="M246" i="4" s="1"/>
  <c r="M252" i="3"/>
  <c r="K246" i="4" s="1"/>
  <c r="N252" i="3"/>
  <c r="L246" i="4" s="1"/>
  <c r="R252" i="3"/>
  <c r="P246" i="4" s="1"/>
  <c r="K252" i="3"/>
  <c r="I246" i="4" s="1"/>
  <c r="T252" i="3"/>
  <c r="R246" i="4" s="1"/>
  <c r="U248" i="3"/>
  <c r="F248" i="3"/>
  <c r="D242" i="4" s="1"/>
  <c r="H250" i="3"/>
  <c r="B243" i="4"/>
  <c r="S252" i="3"/>
  <c r="Q246" i="4" s="1"/>
  <c r="P252" i="3"/>
  <c r="N246" i="4" s="1"/>
  <c r="J252" i="3"/>
  <c r="H246" i="4" s="1"/>
  <c r="Q252" i="3"/>
  <c r="O246" i="4" s="1"/>
  <c r="L252" i="3"/>
  <c r="J246" i="4" s="1"/>
  <c r="I252" i="3"/>
  <c r="G246" i="4" s="1"/>
  <c r="D249" i="3"/>
  <c r="V249" i="3"/>
  <c r="W249" i="3" s="1"/>
  <c r="X250" i="3"/>
  <c r="Y250" i="3" s="1"/>
  <c r="A252" i="3"/>
  <c r="A245" i="4"/>
  <c r="C251" i="3"/>
  <c r="E250" i="3" l="1"/>
  <c r="F244" i="4"/>
  <c r="O253" i="3"/>
  <c r="M247" i="4" s="1"/>
  <c r="M253" i="3"/>
  <c r="K247" i="4" s="1"/>
  <c r="N253" i="3"/>
  <c r="L247" i="4" s="1"/>
  <c r="R253" i="3"/>
  <c r="P247" i="4" s="1"/>
  <c r="K253" i="3"/>
  <c r="I247" i="4" s="1"/>
  <c r="T253" i="3"/>
  <c r="R247" i="4" s="1"/>
  <c r="H251" i="3"/>
  <c r="C243" i="4"/>
  <c r="Z249" i="3"/>
  <c r="G249" i="3" s="1"/>
  <c r="E243" i="4" s="1"/>
  <c r="Q253" i="3"/>
  <c r="O247" i="4" s="1"/>
  <c r="L253" i="3"/>
  <c r="J247" i="4" s="1"/>
  <c r="I253" i="3"/>
  <c r="G247" i="4" s="1"/>
  <c r="S253" i="3"/>
  <c r="Q247" i="4" s="1"/>
  <c r="P253" i="3"/>
  <c r="N247" i="4" s="1"/>
  <c r="J253" i="3"/>
  <c r="H247" i="4" s="1"/>
  <c r="V250" i="3"/>
  <c r="W250" i="3" s="1"/>
  <c r="B244" i="4"/>
  <c r="X251" i="3"/>
  <c r="Y251" i="3" s="1"/>
  <c r="D250" i="3"/>
  <c r="A253" i="3"/>
  <c r="A246" i="4"/>
  <c r="C252" i="3"/>
  <c r="E251" i="3" l="1"/>
  <c r="F245" i="4"/>
  <c r="O254" i="3"/>
  <c r="M248" i="4" s="1"/>
  <c r="N254" i="3"/>
  <c r="L248" i="4" s="1"/>
  <c r="M254" i="3"/>
  <c r="K248" i="4" s="1"/>
  <c r="R254" i="3"/>
  <c r="P248" i="4" s="1"/>
  <c r="K254" i="3"/>
  <c r="I248" i="4" s="1"/>
  <c r="T254" i="3"/>
  <c r="R248" i="4" s="1"/>
  <c r="U249" i="3"/>
  <c r="F249" i="3"/>
  <c r="D243" i="4" s="1"/>
  <c r="H252" i="3"/>
  <c r="C244" i="4"/>
  <c r="Z250" i="3"/>
  <c r="S254" i="3"/>
  <c r="Q248" i="4" s="1"/>
  <c r="P254" i="3"/>
  <c r="N248" i="4" s="1"/>
  <c r="J254" i="3"/>
  <c r="H248" i="4" s="1"/>
  <c r="Q254" i="3"/>
  <c r="O248" i="4" s="1"/>
  <c r="L254" i="3"/>
  <c r="J248" i="4" s="1"/>
  <c r="I254" i="3"/>
  <c r="G248" i="4" s="1"/>
  <c r="G250" i="3"/>
  <c r="E244" i="4" s="1"/>
  <c r="D251" i="3"/>
  <c r="B245" i="4"/>
  <c r="V251" i="3"/>
  <c r="W251" i="3" s="1"/>
  <c r="D252" i="3"/>
  <c r="A254" i="3"/>
  <c r="A247" i="4"/>
  <c r="C253" i="3"/>
  <c r="E252" i="3" l="1"/>
  <c r="F246" i="4"/>
  <c r="O255" i="3"/>
  <c r="M249" i="4" s="1"/>
  <c r="N255" i="3"/>
  <c r="L249" i="4" s="1"/>
  <c r="M255" i="3"/>
  <c r="K249" i="4" s="1"/>
  <c r="R255" i="3"/>
  <c r="P249" i="4" s="1"/>
  <c r="K255" i="3"/>
  <c r="I249" i="4" s="1"/>
  <c r="T255" i="3"/>
  <c r="R249" i="4" s="1"/>
  <c r="U250" i="3"/>
  <c r="F250" i="3"/>
  <c r="D244" i="4" s="1"/>
  <c r="H253" i="3"/>
  <c r="G251" i="3"/>
  <c r="E245" i="4" s="1"/>
  <c r="C246" i="4"/>
  <c r="C245" i="4"/>
  <c r="Z251" i="3"/>
  <c r="Q255" i="3"/>
  <c r="O249" i="4" s="1"/>
  <c r="L255" i="3"/>
  <c r="J249" i="4" s="1"/>
  <c r="I255" i="3"/>
  <c r="G249" i="4" s="1"/>
  <c r="S255" i="3"/>
  <c r="Q249" i="4" s="1"/>
  <c r="P255" i="3"/>
  <c r="N249" i="4" s="1"/>
  <c r="J255" i="3"/>
  <c r="H249" i="4" s="1"/>
  <c r="B246" i="4"/>
  <c r="X252" i="3"/>
  <c r="Y252" i="3" s="1"/>
  <c r="Z252" i="3" s="1"/>
  <c r="X253" i="3"/>
  <c r="Y253" i="3" s="1"/>
  <c r="V252" i="3"/>
  <c r="W252" i="3" s="1"/>
  <c r="A255" i="3"/>
  <c r="Q256" i="3" s="1"/>
  <c r="A248" i="4"/>
  <c r="C254" i="3"/>
  <c r="E253" i="3" l="1"/>
  <c r="F247" i="4"/>
  <c r="AC21" i="3"/>
  <c r="O250" i="4"/>
  <c r="O256" i="3"/>
  <c r="M250" i="4" s="1"/>
  <c r="N256" i="3"/>
  <c r="L250" i="4" s="1"/>
  <c r="M256" i="3"/>
  <c r="K250" i="4" s="1"/>
  <c r="R256" i="3"/>
  <c r="P250" i="4" s="1"/>
  <c r="T256" i="3"/>
  <c r="R250" i="4" s="1"/>
  <c r="K256" i="3"/>
  <c r="U251" i="3"/>
  <c r="F251" i="3"/>
  <c r="D245" i="4" s="1"/>
  <c r="H254" i="3"/>
  <c r="P256" i="3"/>
  <c r="N250" i="4" s="1"/>
  <c r="J256" i="3"/>
  <c r="H250" i="4" s="1"/>
  <c r="L256" i="3"/>
  <c r="J250" i="4" s="1"/>
  <c r="I256" i="3"/>
  <c r="G250" i="4" s="1"/>
  <c r="G252" i="3"/>
  <c r="E246" i="4" s="1"/>
  <c r="D253" i="3"/>
  <c r="V253" i="3"/>
  <c r="W253" i="3" s="1"/>
  <c r="B247" i="4"/>
  <c r="A256" i="3"/>
  <c r="A249" i="4"/>
  <c r="C255" i="3"/>
  <c r="X254" i="3"/>
  <c r="Y254" i="3" s="1"/>
  <c r="B248" i="4"/>
  <c r="V254" i="3"/>
  <c r="W254" i="3" s="1"/>
  <c r="D254" i="3"/>
  <c r="E254" i="3" l="1"/>
  <c r="F248" i="4"/>
  <c r="AH22" i="3"/>
  <c r="R15" i="3" s="1"/>
  <c r="I250" i="4"/>
  <c r="M257" i="3"/>
  <c r="K251" i="4" s="1"/>
  <c r="O257" i="3"/>
  <c r="M251" i="4" s="1"/>
  <c r="N257" i="3"/>
  <c r="L251" i="4" s="1"/>
  <c r="R257" i="3"/>
  <c r="P251" i="4" s="1"/>
  <c r="T257" i="3"/>
  <c r="R251" i="4" s="1"/>
  <c r="K257" i="3"/>
  <c r="I251" i="4" s="1"/>
  <c r="U252" i="3"/>
  <c r="F252" i="3"/>
  <c r="D246" i="4" s="1"/>
  <c r="H255" i="3"/>
  <c r="G253" i="3"/>
  <c r="E247" i="4" s="1"/>
  <c r="C248" i="4"/>
  <c r="Z254" i="3"/>
  <c r="G254" i="3" s="1"/>
  <c r="E248" i="4" s="1"/>
  <c r="C247" i="4"/>
  <c r="Z253" i="3"/>
  <c r="AB22" i="3"/>
  <c r="S257" i="3"/>
  <c r="Q251" i="4" s="1"/>
  <c r="P257" i="3"/>
  <c r="N251" i="4" s="1"/>
  <c r="I257" i="3"/>
  <c r="G251" i="4" s="1"/>
  <c r="Q257" i="3"/>
  <c r="O251" i="4" s="1"/>
  <c r="L257" i="3"/>
  <c r="J251" i="4" s="1"/>
  <c r="J257" i="3"/>
  <c r="H251" i="4" s="1"/>
  <c r="B249" i="4"/>
  <c r="A257" i="3"/>
  <c r="A250" i="4"/>
  <c r="C256" i="3"/>
  <c r="E255" i="3" l="1"/>
  <c r="F249" i="4"/>
  <c r="M258" i="3"/>
  <c r="K252" i="4" s="1"/>
  <c r="O258" i="3"/>
  <c r="M252" i="4" s="1"/>
  <c r="N258" i="3"/>
  <c r="L252" i="4" s="1"/>
  <c r="R258" i="3"/>
  <c r="P252" i="4" s="1"/>
  <c r="T258" i="3"/>
  <c r="R252" i="4" s="1"/>
  <c r="K258" i="3"/>
  <c r="I252" i="4" s="1"/>
  <c r="U253" i="3"/>
  <c r="F253" i="3"/>
  <c r="D247" i="4" s="1"/>
  <c r="U254" i="3"/>
  <c r="F254" i="3"/>
  <c r="D248" i="4" s="1"/>
  <c r="H256" i="3"/>
  <c r="AD21" i="3"/>
  <c r="S258" i="3"/>
  <c r="Q252" i="4" s="1"/>
  <c r="P258" i="3"/>
  <c r="N252" i="4" s="1"/>
  <c r="I258" i="3"/>
  <c r="G252" i="4" s="1"/>
  <c r="Q258" i="3"/>
  <c r="O252" i="4" s="1"/>
  <c r="L258" i="3"/>
  <c r="J252" i="4" s="1"/>
  <c r="J258" i="3"/>
  <c r="H252" i="4" s="1"/>
  <c r="V255" i="3"/>
  <c r="W255" i="3" s="1"/>
  <c r="X255" i="3"/>
  <c r="Y255" i="3" s="1"/>
  <c r="X256" i="3"/>
  <c r="Y256" i="3" s="1"/>
  <c r="D255" i="3"/>
  <c r="A258" i="3"/>
  <c r="A251" i="4"/>
  <c r="C257" i="3"/>
  <c r="E256" i="3" l="1"/>
  <c r="F250" i="4"/>
  <c r="AC22" i="3"/>
  <c r="M259" i="3"/>
  <c r="K253" i="4" s="1"/>
  <c r="O259" i="3"/>
  <c r="M253" i="4" s="1"/>
  <c r="N259" i="3"/>
  <c r="L253" i="4" s="1"/>
  <c r="R259" i="3"/>
  <c r="P253" i="4" s="1"/>
  <c r="T259" i="3"/>
  <c r="R253" i="4" s="1"/>
  <c r="K259" i="3"/>
  <c r="I253" i="4" s="1"/>
  <c r="H257" i="3"/>
  <c r="C249" i="4"/>
  <c r="Z255" i="3"/>
  <c r="G255" i="3"/>
  <c r="E249" i="4" s="1"/>
  <c r="S259" i="3"/>
  <c r="Q253" i="4" s="1"/>
  <c r="P259" i="3"/>
  <c r="N253" i="4" s="1"/>
  <c r="I259" i="3"/>
  <c r="G253" i="4" s="1"/>
  <c r="Q259" i="3"/>
  <c r="O253" i="4" s="1"/>
  <c r="L259" i="3"/>
  <c r="J253" i="4" s="1"/>
  <c r="J259" i="3"/>
  <c r="H253" i="4" s="1"/>
  <c r="B250" i="4"/>
  <c r="X257" i="3"/>
  <c r="Y257" i="3" s="1"/>
  <c r="V256" i="3"/>
  <c r="W256" i="3" s="1"/>
  <c r="D256" i="3"/>
  <c r="V257" i="3"/>
  <c r="W257" i="3" s="1"/>
  <c r="A259" i="3"/>
  <c r="A252" i="4"/>
  <c r="C258" i="3"/>
  <c r="R11" i="3" l="1"/>
  <c r="E257" i="3"/>
  <c r="F251" i="4"/>
  <c r="O260" i="3"/>
  <c r="M254" i="4" s="1"/>
  <c r="M260" i="3"/>
  <c r="K254" i="4" s="1"/>
  <c r="N260" i="3"/>
  <c r="L254" i="4" s="1"/>
  <c r="R260" i="3"/>
  <c r="P254" i="4" s="1"/>
  <c r="K260" i="3"/>
  <c r="I254" i="4" s="1"/>
  <c r="T260" i="3"/>
  <c r="R254" i="4" s="1"/>
  <c r="U255" i="3"/>
  <c r="F255" i="3"/>
  <c r="D249" i="4" s="1"/>
  <c r="H258" i="3"/>
  <c r="T9" i="3"/>
  <c r="C250" i="4"/>
  <c r="Z256" i="3"/>
  <c r="G256" i="3" s="1"/>
  <c r="S260" i="3"/>
  <c r="Q254" i="4" s="1"/>
  <c r="P260" i="3"/>
  <c r="N254" i="4" s="1"/>
  <c r="I260" i="3"/>
  <c r="G254" i="4" s="1"/>
  <c r="Q260" i="3"/>
  <c r="O254" i="4" s="1"/>
  <c r="L260" i="3"/>
  <c r="J254" i="4" s="1"/>
  <c r="J260" i="3"/>
  <c r="H254" i="4" s="1"/>
  <c r="D257" i="3"/>
  <c r="B251" i="4"/>
  <c r="X258" i="3"/>
  <c r="Y258" i="3" s="1"/>
  <c r="A260" i="3"/>
  <c r="A253" i="4"/>
  <c r="C259" i="3"/>
  <c r="T11" i="3" l="1"/>
  <c r="D50" i="1"/>
  <c r="E258" i="3"/>
  <c r="F252" i="4"/>
  <c r="F256" i="3"/>
  <c r="D250" i="4" s="1"/>
  <c r="E250" i="4"/>
  <c r="O261" i="3"/>
  <c r="M255" i="4" s="1"/>
  <c r="M261" i="3"/>
  <c r="K255" i="4" s="1"/>
  <c r="N261" i="3"/>
  <c r="L255" i="4" s="1"/>
  <c r="R261" i="3"/>
  <c r="P255" i="4" s="1"/>
  <c r="K261" i="3"/>
  <c r="I255" i="4" s="1"/>
  <c r="T261" i="3"/>
  <c r="R255" i="4" s="1"/>
  <c r="H259" i="3"/>
  <c r="K9" i="7"/>
  <c r="C251" i="4"/>
  <c r="Z257" i="3"/>
  <c r="G257" i="3" s="1"/>
  <c r="E251" i="4" s="1"/>
  <c r="S261" i="3"/>
  <c r="Q255" i="4" s="1"/>
  <c r="P261" i="3"/>
  <c r="N255" i="4" s="1"/>
  <c r="I261" i="3"/>
  <c r="G255" i="4" s="1"/>
  <c r="Q261" i="3"/>
  <c r="O255" i="4" s="1"/>
  <c r="L261" i="3"/>
  <c r="J255" i="4" s="1"/>
  <c r="J261" i="3"/>
  <c r="H255" i="4" s="1"/>
  <c r="S256" i="3"/>
  <c r="B252" i="4"/>
  <c r="D258" i="3"/>
  <c r="V258" i="3"/>
  <c r="W258" i="3" s="1"/>
  <c r="X259" i="3"/>
  <c r="Y259" i="3" s="1"/>
  <c r="A261" i="3"/>
  <c r="A254" i="4"/>
  <c r="C260" i="3"/>
  <c r="E50" i="1" l="1"/>
  <c r="B50" i="1" s="1"/>
  <c r="E259" i="3"/>
  <c r="F253" i="4"/>
  <c r="U256" i="3"/>
  <c r="Q250" i="4"/>
  <c r="O262" i="3"/>
  <c r="M256" i="4" s="1"/>
  <c r="N262" i="3"/>
  <c r="L256" i="4" s="1"/>
  <c r="M262" i="3"/>
  <c r="K256" i="4" s="1"/>
  <c r="R262" i="3"/>
  <c r="P256" i="4" s="1"/>
  <c r="K262" i="3"/>
  <c r="I256" i="4" s="1"/>
  <c r="T262" i="3"/>
  <c r="R256" i="4" s="1"/>
  <c r="U257" i="3"/>
  <c r="F257" i="3"/>
  <c r="D251" i="4" s="1"/>
  <c r="H260" i="3"/>
  <c r="J18" i="7"/>
  <c r="B31" i="8"/>
  <c r="C252" i="4"/>
  <c r="Z258" i="3"/>
  <c r="G258" i="3"/>
  <c r="E252" i="4" s="1"/>
  <c r="S262" i="3"/>
  <c r="Q256" i="4" s="1"/>
  <c r="P262" i="3"/>
  <c r="N256" i="4" s="1"/>
  <c r="I262" i="3"/>
  <c r="G256" i="4" s="1"/>
  <c r="Q262" i="3"/>
  <c r="O256" i="4" s="1"/>
  <c r="L262" i="3"/>
  <c r="J256" i="4" s="1"/>
  <c r="J262" i="3"/>
  <c r="H256" i="4" s="1"/>
  <c r="D259" i="3"/>
  <c r="B253" i="4"/>
  <c r="V259" i="3"/>
  <c r="W259" i="3" s="1"/>
  <c r="B254" i="4"/>
  <c r="V260" i="3"/>
  <c r="W260" i="3" s="1"/>
  <c r="X260" i="3"/>
  <c r="Y260" i="3" s="1"/>
  <c r="A262" i="3"/>
  <c r="A255" i="4"/>
  <c r="C261" i="3"/>
  <c r="D260" i="3"/>
  <c r="E260" i="3" l="1"/>
  <c r="F254" i="4"/>
  <c r="L59" i="7"/>
  <c r="L79" i="7"/>
  <c r="L55" i="7"/>
  <c r="L67" i="7"/>
  <c r="L23" i="7"/>
  <c r="L43" i="7"/>
  <c r="O263" i="3"/>
  <c r="M257" i="4" s="1"/>
  <c r="N263" i="3"/>
  <c r="L257" i="4" s="1"/>
  <c r="M263" i="3"/>
  <c r="K257" i="4" s="1"/>
  <c r="R263" i="3"/>
  <c r="P257" i="4" s="1"/>
  <c r="T263" i="3"/>
  <c r="R257" i="4" s="1"/>
  <c r="K263" i="3"/>
  <c r="I257" i="4" s="1"/>
  <c r="H18" i="7"/>
  <c r="L31" i="7"/>
  <c r="U258" i="3"/>
  <c r="F258" i="3"/>
  <c r="D252" i="4" s="1"/>
  <c r="H261" i="3"/>
  <c r="C253" i="4"/>
  <c r="Z259" i="3"/>
  <c r="G259" i="3" s="1"/>
  <c r="E253" i="4" s="1"/>
  <c r="C254" i="4"/>
  <c r="Z260" i="3"/>
  <c r="G260" i="3" s="1"/>
  <c r="E254" i="4" s="1"/>
  <c r="S263" i="3"/>
  <c r="Q257" i="4" s="1"/>
  <c r="P263" i="3"/>
  <c r="N257" i="4" s="1"/>
  <c r="I263" i="3"/>
  <c r="G257" i="4" s="1"/>
  <c r="Q263" i="3"/>
  <c r="O257" i="4" s="1"/>
  <c r="L263" i="3"/>
  <c r="J257" i="4" s="1"/>
  <c r="J263" i="3"/>
  <c r="H257" i="4" s="1"/>
  <c r="B255" i="4"/>
  <c r="X261" i="3"/>
  <c r="Y261" i="3" s="1"/>
  <c r="V261" i="3"/>
  <c r="W261" i="3" s="1"/>
  <c r="A263" i="3"/>
  <c r="A256" i="4"/>
  <c r="C262" i="3"/>
  <c r="D261" i="3"/>
  <c r="E261" i="3" l="1"/>
  <c r="F255" i="4"/>
  <c r="K23" i="7"/>
  <c r="H23" i="7"/>
  <c r="O264" i="3"/>
  <c r="M258" i="4" s="1"/>
  <c r="N264" i="3"/>
  <c r="L258" i="4" s="1"/>
  <c r="M264" i="3"/>
  <c r="K258" i="4" s="1"/>
  <c r="R264" i="3"/>
  <c r="P258" i="4" s="1"/>
  <c r="T264" i="3"/>
  <c r="R258" i="4" s="1"/>
  <c r="K264" i="3"/>
  <c r="I258" i="4" s="1"/>
  <c r="U259" i="3"/>
  <c r="F259" i="3"/>
  <c r="D253" i="4" s="1"/>
  <c r="U260" i="3"/>
  <c r="F260" i="3"/>
  <c r="D254" i="4" s="1"/>
  <c r="H262" i="3"/>
  <c r="C255" i="4"/>
  <c r="Z261" i="3"/>
  <c r="G261" i="3" s="1"/>
  <c r="E255" i="4" s="1"/>
  <c r="S264" i="3"/>
  <c r="Q258" i="4" s="1"/>
  <c r="P264" i="3"/>
  <c r="N258" i="4" s="1"/>
  <c r="I264" i="3"/>
  <c r="G258" i="4" s="1"/>
  <c r="Q264" i="3"/>
  <c r="O258" i="4" s="1"/>
  <c r="L264" i="3"/>
  <c r="J258" i="4" s="1"/>
  <c r="J264" i="3"/>
  <c r="H258" i="4" s="1"/>
  <c r="B256" i="4"/>
  <c r="V262" i="3"/>
  <c r="W262" i="3" s="1"/>
  <c r="X262" i="3"/>
  <c r="Y262" i="3" s="1"/>
  <c r="A264" i="3"/>
  <c r="A257" i="4"/>
  <c r="C263" i="3"/>
  <c r="D262" i="3"/>
  <c r="E262" i="3" l="1"/>
  <c r="F256" i="4"/>
  <c r="H31" i="7"/>
  <c r="H43" i="7" s="1"/>
  <c r="K31" i="7"/>
  <c r="K43" i="7"/>
  <c r="M265" i="3"/>
  <c r="K259" i="4" s="1"/>
  <c r="O265" i="3"/>
  <c r="M259" i="4" s="1"/>
  <c r="N265" i="3"/>
  <c r="L259" i="4" s="1"/>
  <c r="R265" i="3"/>
  <c r="P259" i="4" s="1"/>
  <c r="T265" i="3"/>
  <c r="R259" i="4" s="1"/>
  <c r="K265" i="3"/>
  <c r="I259" i="4" s="1"/>
  <c r="U261" i="3"/>
  <c r="F261" i="3"/>
  <c r="D255" i="4" s="1"/>
  <c r="H263" i="3"/>
  <c r="C256" i="4"/>
  <c r="Z262" i="3"/>
  <c r="G262" i="3" s="1"/>
  <c r="E256" i="4" s="1"/>
  <c r="S265" i="3"/>
  <c r="Q259" i="4" s="1"/>
  <c r="P265" i="3"/>
  <c r="N259" i="4" s="1"/>
  <c r="I265" i="3"/>
  <c r="G259" i="4" s="1"/>
  <c r="Q265" i="3"/>
  <c r="O259" i="4" s="1"/>
  <c r="L265" i="3"/>
  <c r="J259" i="4" s="1"/>
  <c r="J265" i="3"/>
  <c r="H259" i="4" s="1"/>
  <c r="D263" i="3"/>
  <c r="A265" i="3"/>
  <c r="A258" i="4"/>
  <c r="C264" i="3"/>
  <c r="E263" i="3" l="1"/>
  <c r="F257" i="4"/>
  <c r="K55" i="7"/>
  <c r="H55" i="7"/>
  <c r="M266" i="3"/>
  <c r="K260" i="4" s="1"/>
  <c r="O266" i="3"/>
  <c r="M260" i="4" s="1"/>
  <c r="N266" i="3"/>
  <c r="L260" i="4" s="1"/>
  <c r="R266" i="3"/>
  <c r="P260" i="4" s="1"/>
  <c r="T266" i="3"/>
  <c r="R260" i="4" s="1"/>
  <c r="K266" i="3"/>
  <c r="I260" i="4" s="1"/>
  <c r="U262" i="3"/>
  <c r="F262" i="3"/>
  <c r="D256" i="4" s="1"/>
  <c r="H264" i="3"/>
  <c r="C257" i="4"/>
  <c r="S266" i="3"/>
  <c r="Q260" i="4" s="1"/>
  <c r="P266" i="3"/>
  <c r="N260" i="4" s="1"/>
  <c r="I266" i="3"/>
  <c r="G260" i="4" s="1"/>
  <c r="Q266" i="3"/>
  <c r="O260" i="4" s="1"/>
  <c r="L266" i="3"/>
  <c r="J260" i="4" s="1"/>
  <c r="J266" i="3"/>
  <c r="H260" i="4" s="1"/>
  <c r="V263" i="3"/>
  <c r="W263" i="3" s="1"/>
  <c r="G263" i="3" s="1"/>
  <c r="E257" i="4" s="1"/>
  <c r="X263" i="3"/>
  <c r="Y263" i="3" s="1"/>
  <c r="Z263" i="3" s="1"/>
  <c r="B257" i="4"/>
  <c r="D264" i="3"/>
  <c r="A266" i="3"/>
  <c r="A259" i="4"/>
  <c r="C265" i="3"/>
  <c r="E264" i="3" l="1"/>
  <c r="F258" i="4"/>
  <c r="H59" i="7"/>
  <c r="K67" i="7" s="1"/>
  <c r="K59" i="7"/>
  <c r="M267" i="3"/>
  <c r="K261" i="4" s="1"/>
  <c r="O267" i="3"/>
  <c r="M261" i="4" s="1"/>
  <c r="N267" i="3"/>
  <c r="L261" i="4" s="1"/>
  <c r="R267" i="3"/>
  <c r="P261" i="4" s="1"/>
  <c r="T267" i="3"/>
  <c r="R261" i="4" s="1"/>
  <c r="K267" i="3"/>
  <c r="I261" i="4" s="1"/>
  <c r="U263" i="3"/>
  <c r="F263" i="3"/>
  <c r="D257" i="4" s="1"/>
  <c r="H265" i="3"/>
  <c r="C258" i="4"/>
  <c r="S267" i="3"/>
  <c r="Q261" i="4" s="1"/>
  <c r="P267" i="3"/>
  <c r="N261" i="4" s="1"/>
  <c r="I267" i="3"/>
  <c r="G261" i="4" s="1"/>
  <c r="Q267" i="3"/>
  <c r="O261" i="4" s="1"/>
  <c r="L267" i="3"/>
  <c r="J261" i="4" s="1"/>
  <c r="J267" i="3"/>
  <c r="H261" i="4" s="1"/>
  <c r="B258" i="4"/>
  <c r="X264" i="3"/>
  <c r="Y264" i="3" s="1"/>
  <c r="Z264" i="3" s="1"/>
  <c r="V264" i="3"/>
  <c r="W264" i="3" s="1"/>
  <c r="G264" i="3" s="1"/>
  <c r="E258" i="4" s="1"/>
  <c r="B259" i="4"/>
  <c r="V265" i="3"/>
  <c r="W265" i="3" s="1"/>
  <c r="X265" i="3"/>
  <c r="Y265" i="3" s="1"/>
  <c r="A267" i="3"/>
  <c r="A260" i="4"/>
  <c r="C266" i="3"/>
  <c r="D265" i="3"/>
  <c r="E265" i="3" l="1"/>
  <c r="F259" i="4"/>
  <c r="H67" i="7"/>
  <c r="O268" i="3"/>
  <c r="M262" i="4" s="1"/>
  <c r="M268" i="3"/>
  <c r="K262" i="4" s="1"/>
  <c r="N268" i="3"/>
  <c r="L262" i="4" s="1"/>
  <c r="R268" i="3"/>
  <c r="P262" i="4" s="1"/>
  <c r="U264" i="3"/>
  <c r="F264" i="3"/>
  <c r="D258" i="4" s="1"/>
  <c r="H266" i="3"/>
  <c r="K268" i="3"/>
  <c r="I262" i="4" s="1"/>
  <c r="Q268" i="3"/>
  <c r="O262" i="4" s="1"/>
  <c r="C259" i="4"/>
  <c r="Z265" i="3"/>
  <c r="L268" i="3"/>
  <c r="J262" i="4" s="1"/>
  <c r="I268" i="3"/>
  <c r="G262" i="4" s="1"/>
  <c r="J268" i="3"/>
  <c r="H262" i="4" s="1"/>
  <c r="P268" i="3"/>
  <c r="N262" i="4" s="1"/>
  <c r="G265" i="3"/>
  <c r="E259" i="4" s="1"/>
  <c r="D266" i="3"/>
  <c r="A268" i="3"/>
  <c r="A261" i="4"/>
  <c r="E266" i="3" l="1"/>
  <c r="F260" i="4"/>
  <c r="K79" i="7"/>
  <c r="H79" i="7"/>
  <c r="C267" i="3"/>
  <c r="X267" i="3" s="1"/>
  <c r="Y267" i="3" s="1"/>
  <c r="U265" i="3"/>
  <c r="F265" i="3"/>
  <c r="D259" i="4" s="1"/>
  <c r="H267" i="3"/>
  <c r="C260" i="4"/>
  <c r="V266" i="3"/>
  <c r="W266" i="3" s="1"/>
  <c r="X266" i="3"/>
  <c r="Y266" i="3" s="1"/>
  <c r="Z266" i="3" s="1"/>
  <c r="B260" i="4"/>
  <c r="A269" i="3"/>
  <c r="A262" i="4"/>
  <c r="E268" i="3"/>
  <c r="E267" i="3" l="1"/>
  <c r="F261" i="4"/>
  <c r="K91" i="7"/>
  <c r="H91" i="7"/>
  <c r="D267" i="3"/>
  <c r="C261" i="4" s="1"/>
  <c r="B261" i="4"/>
  <c r="V267" i="3"/>
  <c r="W267" i="3" s="1"/>
  <c r="H268" i="3"/>
  <c r="F262" i="4" s="1"/>
  <c r="G266" i="3"/>
  <c r="E260" i="4" s="1"/>
  <c r="A270" i="3"/>
  <c r="A271" i="3" s="1"/>
  <c r="A272" i="3" s="1"/>
  <c r="A273" i="3" s="1"/>
  <c r="A274" i="3" s="1"/>
  <c r="A275" i="3" s="1"/>
  <c r="A276" i="3" s="1"/>
  <c r="A277" i="3" s="1"/>
  <c r="A278" i="3" s="1"/>
  <c r="A279" i="3" s="1"/>
  <c r="K103" i="7" l="1"/>
  <c r="B35" i="8" s="1"/>
  <c r="H103" i="7"/>
  <c r="B34" i="8" s="1"/>
  <c r="B33" i="8" s="1"/>
  <c r="Z267" i="3"/>
  <c r="G267" i="3"/>
  <c r="U266" i="3"/>
  <c r="F266" i="3"/>
  <c r="D260" i="4" s="1"/>
  <c r="G268" i="3" l="1"/>
  <c r="E261" i="4"/>
  <c r="F267" i="3"/>
  <c r="U267" i="3"/>
  <c r="T268" i="3" l="1"/>
  <c r="R262" i="4" s="1"/>
  <c r="E262" i="4"/>
  <c r="F268" i="3"/>
  <c r="D262" i="4" s="1"/>
  <c r="D261" i="4"/>
  <c r="S196" i="3"/>
  <c r="Q190" i="4" s="1"/>
  <c r="U196" i="3" l="1"/>
  <c r="S40" i="3"/>
  <c r="Q34" i="4" s="1"/>
  <c r="T32" i="3"/>
  <c r="R26" i="4" l="1"/>
  <c r="B42" i="1" s="1"/>
  <c r="U32" i="3"/>
  <c r="U40" i="3"/>
  <c r="S52" i="3"/>
  <c r="Q46" i="4" s="1"/>
  <c r="B41" i="1" l="1"/>
  <c r="D24" i="10"/>
  <c r="U52" i="3"/>
  <c r="S170" i="3" s="1"/>
  <c r="S64" i="3" l="1"/>
  <c r="Q58" i="4" s="1"/>
  <c r="U170" i="3"/>
  <c r="Q164" i="4"/>
  <c r="U64" i="3" l="1"/>
  <c r="S68" i="3"/>
  <c r="Q62" i="4" s="1"/>
  <c r="U68" i="3" l="1"/>
  <c r="S76" i="3" l="1"/>
  <c r="U76" i="3" l="1"/>
  <c r="S88" i="3" s="1"/>
  <c r="Q82" i="4" s="1"/>
  <c r="Q70" i="4"/>
  <c r="U88" i="3" l="1"/>
  <c r="S100" i="3"/>
  <c r="Q94" i="4" s="1"/>
  <c r="U100" i="3" l="1"/>
  <c r="S112" i="3" s="1"/>
  <c r="Q106" i="4" s="1"/>
  <c r="U112" i="3" l="1"/>
  <c r="S148" i="3"/>
  <c r="Q142" i="4" s="1"/>
  <c r="U148" i="3" l="1"/>
  <c r="S172" i="3" s="1"/>
  <c r="U172" i="3" l="1"/>
  <c r="S268" i="3" s="1"/>
  <c r="Q262" i="4" s="1"/>
  <c r="Q166" i="4"/>
  <c r="B43" i="1" l="1"/>
  <c r="D23" i="10" s="1"/>
  <c r="C10" i="10" l="1"/>
  <c r="C11" i="10" s="1"/>
  <c r="C12" i="10" s="1"/>
  <c r="C13"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Safonov Sergii Viktorovych</author>
    <author>Lashniev Georgii Sergiiovych</author>
  </authors>
  <commentList>
    <comment ref="R3" authorId="0" shapeId="0" xr:uid="{00000000-0006-0000-0100-000001000000}">
      <text>
        <r>
          <rPr>
            <b/>
            <sz val="8"/>
            <color indexed="81"/>
            <rFont val="Tahoma"/>
            <family val="2"/>
            <charset val="204"/>
          </rPr>
          <t>згідно кредитної програми</t>
        </r>
      </text>
    </comment>
    <comment ref="R7" authorId="0" shapeId="0" xr:uid="{00000000-0006-0000-0100-000002000000}">
      <text>
        <r>
          <rPr>
            <b/>
            <sz val="8"/>
            <color indexed="81"/>
            <rFont val="Tahoma"/>
            <family val="2"/>
            <charset val="204"/>
          </rPr>
          <t>витрати на нотаріуса</t>
        </r>
      </text>
    </comment>
    <comment ref="R8" authorId="1" shapeId="0" xr:uid="{00000000-0006-0000-0100-000003000000}">
      <text>
        <r>
          <rPr>
            <b/>
            <sz val="8"/>
            <color indexed="81"/>
            <rFont val="Tahoma"/>
            <family val="2"/>
            <charset val="204"/>
          </rPr>
          <t>згідно кредитної програми</t>
        </r>
      </text>
    </comment>
    <comment ref="S8" authorId="1" shapeId="0" xr:uid="{00000000-0006-0000-0100-000004000000}">
      <text>
        <r>
          <rPr>
            <b/>
            <sz val="8"/>
            <color indexed="81"/>
            <rFont val="Tahoma"/>
            <family val="2"/>
            <charset val="204"/>
          </rPr>
          <t>залежить від умов кредитування, страхової компанії, франшизи</t>
        </r>
        <r>
          <rPr>
            <sz val="8"/>
            <color indexed="81"/>
            <rFont val="Tahoma"/>
            <family val="2"/>
            <charset val="204"/>
          </rPr>
          <t xml:space="preserve">
</t>
        </r>
      </text>
    </comment>
    <comment ref="R10" authorId="0" shapeId="0" xr:uid="{00000000-0006-0000-0100-000005000000}">
      <text>
        <r>
          <rPr>
            <b/>
            <sz val="8"/>
            <color indexed="81"/>
            <rFont val="Tahoma"/>
            <family val="2"/>
            <charset val="204"/>
          </rPr>
          <t>згідно обраного тарифу</t>
        </r>
      </text>
    </comment>
    <comment ref="R12" authorId="0" shapeId="0" xr:uid="{00000000-0006-0000-0100-000006000000}">
      <text>
        <r>
          <rPr>
            <b/>
            <sz val="8"/>
            <color indexed="81"/>
            <rFont val="Tahoma"/>
            <family val="2"/>
            <charset val="204"/>
          </rPr>
          <t>витрати на оцінку застави</t>
        </r>
      </text>
    </comment>
    <comment ref="R13" authorId="0" shapeId="0" xr:uid="{00000000-0006-0000-0100-000007000000}">
      <text>
        <r>
          <rPr>
            <b/>
            <sz val="8"/>
            <color indexed="81"/>
            <rFont val="Tahoma"/>
            <family val="2"/>
            <charset val="204"/>
          </rPr>
          <t>інші можливі додаткові витрати позичальнка</t>
        </r>
      </text>
    </comment>
    <comment ref="R14" authorId="0" shapeId="0" xr:uid="{00000000-0006-0000-0100-000008000000}">
      <text>
        <r>
          <rPr>
            <b/>
            <sz val="8"/>
            <color indexed="81"/>
            <rFont val="Tahoma"/>
            <family val="2"/>
            <charset val="204"/>
          </rPr>
          <t>У разі наявності пакету "Фамільний" або якщо він не оформлюється ставиться -0, в нішому випадку  зазначається вартість пакету на один рік</t>
        </r>
      </text>
    </comment>
  </commentList>
</comments>
</file>

<file path=xl/sharedStrings.xml><?xml version="1.0" encoding="utf-8"?>
<sst xmlns="http://schemas.openxmlformats.org/spreadsheetml/2006/main" count="765" uniqueCount="597">
  <si>
    <r>
      <t>1.</t>
    </r>
    <r>
      <rPr>
        <sz val="7"/>
        <color theme="1"/>
        <rFont val="Times New Roman"/>
        <family val="1"/>
        <charset val="204"/>
      </rPr>
      <t xml:space="preserve">        </t>
    </r>
    <r>
      <rPr>
        <b/>
        <sz val="9"/>
        <color theme="1"/>
        <rFont val="Times New Roman"/>
        <family val="1"/>
        <charset val="204"/>
      </rPr>
      <t>Інформація та контактні дані кредитодавця</t>
    </r>
  </si>
  <si>
    <t>Найменування кредитодавця та його структурного або відокремленого підрозділу, в якому поширюється інформація</t>
  </si>
  <si>
    <t>_______________________ відділення </t>
  </si>
  <si>
    <t>Місцезнаходження кредитодавця та адреса структурного або відокремленого підрозділу, в якому поширюється інформація</t>
  </si>
  <si>
    <r>
      <t xml:space="preserve">Адреса Банку: </t>
    </r>
    <r>
      <rPr>
        <sz val="9"/>
        <color theme="1"/>
        <rFont val="Times New Roman"/>
        <family val="1"/>
        <charset val="204"/>
      </rPr>
      <t>Україна, м. Київ, Кловський узвіз, 9\2</t>
    </r>
  </si>
  <si>
    <t>Адреса відділення Банку:</t>
  </si>
  <si>
    <t>Ліцензія/Свідоцтво</t>
  </si>
  <si>
    <t>Ліцензія Національного банку України</t>
  </si>
  <si>
    <t>Номер контактного телефону</t>
  </si>
  <si>
    <t>0 800 500 450 </t>
  </si>
  <si>
    <t>Адреса електронної пошти</t>
  </si>
  <si>
    <t>bank@pravex.kiev.ua  </t>
  </si>
  <si>
    <t>Адреса офіційного веб-сайту</t>
  </si>
  <si>
    <r>
      <t>www.pravex.com.ua</t>
    </r>
    <r>
      <rPr>
        <sz val="9"/>
        <color theme="1"/>
        <rFont val="Times New Roman"/>
        <family val="1"/>
        <charset val="204"/>
      </rPr>
      <t> </t>
    </r>
  </si>
  <si>
    <r>
      <t>2.</t>
    </r>
    <r>
      <rPr>
        <b/>
        <sz val="7"/>
        <color theme="1"/>
        <rFont val="Times New Roman"/>
        <family val="1"/>
        <charset val="204"/>
      </rPr>
      <t xml:space="preserve">        </t>
    </r>
    <r>
      <rPr>
        <b/>
        <sz val="9"/>
        <color theme="1"/>
        <rFont val="Times New Roman"/>
        <family val="1"/>
        <charset val="204"/>
      </rPr>
      <t>Інформація та контактні дані кредитного посередника – не залучається</t>
    </r>
  </si>
  <si>
    <t>3. Основні умови кредитування з урахуванням побажань споживача</t>
  </si>
  <si>
    <t>Тип кредиту</t>
  </si>
  <si>
    <t>Сума кредиту, грн.</t>
  </si>
  <si>
    <t>Мета отримання кредиту</t>
  </si>
  <si>
    <t>Спосіб та строк надання кредиту</t>
  </si>
  <si>
    <t>Можливі види (форми) забезпечення кредиту</t>
  </si>
  <si>
    <t>Необхідність проведення оцінки забезпечення кредиту</t>
  </si>
  <si>
    <t>ні</t>
  </si>
  <si>
    <t>Мінімальний розмір власного платежу (фінансової участі) споживача за умови отримання кредиту на придбання товару/роботи/послуги, %</t>
  </si>
  <si>
    <t>4. Інформація щодо реальної річної процентної ставки та орієнтовної загальної вартості кредиту для споживача</t>
  </si>
  <si>
    <t>Процентна ставка, відсотків річних</t>
  </si>
  <si>
    <t>Тип процентної ставки</t>
  </si>
  <si>
    <t>Порядок зміни змінюваної процентної ставки</t>
  </si>
  <si>
    <t>Платежі за додаткові та супутні послуги кредитодавця, обов'язкові для укладання договору, грн.:</t>
  </si>
  <si>
    <t>Зазначаються розмір платежу та база його розрахунку</t>
  </si>
  <si>
    <t>Щомісячна комісія за обслуговування кредиту</t>
  </si>
  <si>
    <t>Розрахунково-касове обслуговування кредиту (річне/ щомісячне)</t>
  </si>
  <si>
    <t>Загальні витрати за кредитом, грн.</t>
  </si>
  <si>
    <t>Орієнтовна загальна вартість кредиту для споживача за весь строк користування кредитом (у т. ч. тіло кредиту, відсотки, комісії та інші платежі), грн.</t>
  </si>
  <si>
    <t>Реальна річна процентна ставка, відсотків річних</t>
  </si>
  <si>
    <t xml:space="preserve">Застереження: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 викладених вище, і на припущенні, що договір про споживчий кредит залишатиметься дійсним протягом погодженого строку, а кредитодавець і споживач виконають свої обов'язки на умовах та у строки, визначені в договорі. </t>
  </si>
  <si>
    <t>Реальна річна процентна ставка обчислена на основі припущення,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t>
  </si>
  <si>
    <t>Застереження: використання інших способів надання кредиту та/або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t>
  </si>
  <si>
    <t>5. Порядок повернення кредиту</t>
  </si>
  <si>
    <t>Кількість та розмір платежів, періодичність внесення</t>
  </si>
  <si>
    <t xml:space="preserve">Вказано у додатку 1 до даного паспорту </t>
  </si>
  <si>
    <t>6. Додаткова інформація</t>
  </si>
  <si>
    <t>Додаткові та супутні послуги третіх осіб, обов'язкові для отримання кредиту:</t>
  </si>
  <si>
    <t>Нотаріальне засвідчення договору застави</t>
  </si>
  <si>
    <r>
      <t>Наслідки прострочення виконання та/або невиконання зобов'язань за договором про споживчий кредит:</t>
    </r>
    <r>
      <rPr>
        <sz val="8"/>
        <color theme="1"/>
        <rFont val="Calibri"/>
        <family val="2"/>
        <charset val="204"/>
        <scheme val="minor"/>
      </rPr>
      <t> </t>
    </r>
  </si>
  <si>
    <t>пеня</t>
  </si>
  <si>
    <t>Подвійна облікова ставка НБУ</t>
  </si>
  <si>
    <t>інші платежі</t>
  </si>
  <si>
    <t>7. Інші важливі правові аспекти</t>
  </si>
  <si>
    <t xml:space="preserve">Споживач має право безкоштовно отримати копію проекту договору про споживчий кредит у письмовій чи електронній формі за своїм вибором. Це положення не застосовується у разі відмови кредитодавця від продовження процесу укладання договору зі споживачем. </t>
  </si>
  <si>
    <t>Споживач має право відмовитися від договору про споживчий кредит протягом 14 календарних днів у порядку та на умовах, визначених Законом України "Про споживче кредитування".</t>
  </si>
  <si>
    <t>Споживач має право достроково повернути споживчий кредит без будь-якої додаткової плати, пов'язаної з достроковим поверненням. Договором про споживчий кредит може бути встановлений обов'язок повідомлення кредитодавця про намір дострокового повернення споживчого кредиту з оформленням відповідного документа.</t>
  </si>
  <si>
    <t>Умови договору про споживчий кредит можуть відрізнятися від інформації, наведеної в цьому Паспорті споживчого кредиту, та будуть залежати від проведеної кредитодавцем оцінки кредитоспроможності споживача з урахуванням, зокрема, наданої ним інформації про майновий та сімейний стан, розмір доходів тощо.</t>
  </si>
  <si>
    <t>Дата надання інформації: __/__/____</t>
  </si>
  <si>
    <t xml:space="preserve">Ця інформація зберігає чинність та є актуальною до __//__//__ </t>
  </si>
  <si>
    <t>Підпис кредитодавця:</t>
  </si>
  <si>
    <t>_______________________П. І. Б., _________підпис</t>
  </si>
  <si>
    <t>Підтверджую отримання та ознайомлення з інформацією про умови кредитування та орієнтовну загальну вартість кредиту, надані виходячи із обраних мною умов кредитування.</t>
  </si>
  <si>
    <t xml:space="preserve">Підтверджую отримання мною всіх пояснень, необхідних для забезпечення можливості оцінити, чи адаптовано договір до моїх потреб та фінансової ситуації, зокрема шляхом роз'яснення наведеної інформації, в тому числі суттєвих характеристик запропонованих послуг та певних наслідків, які вони можуть мати для мене, в тому числі в разі невиконання мною зобов'язань за таким договором. </t>
  </si>
  <si>
    <t>Підпис споживача:</t>
  </si>
  <si>
    <t xml:space="preserve">__ __ ____Дата, _____________П. І. Б., __________підпис. </t>
  </si>
  <si>
    <t>Дата</t>
  </si>
  <si>
    <t>Відсоткова ставка</t>
  </si>
  <si>
    <t>Строк кредиту, міс</t>
  </si>
  <si>
    <t>Сумма кредиту, грн</t>
  </si>
  <si>
    <t>Перший внесок, грн</t>
  </si>
  <si>
    <t>Вартість автомобіля, грн</t>
  </si>
  <si>
    <t>Перший внесок,%</t>
  </si>
  <si>
    <t>№</t>
  </si>
  <si>
    <t>Дата платежу</t>
  </si>
  <si>
    <t>Кіль-кість днів у звітньо-му періоді</t>
  </si>
  <si>
    <t>Залишок основного боргу для нарахування відсотків</t>
  </si>
  <si>
    <t>Погашення основної суми кредиту</t>
  </si>
  <si>
    <t>Орієнтовна сума відсотків</t>
  </si>
  <si>
    <t>Орієнтовна сума платежу за розрахунковий період</t>
  </si>
  <si>
    <t>Одноразова комісія за надання кредиту</t>
  </si>
  <si>
    <t>Одноразова комісія за надання кредиту, грн</t>
  </si>
  <si>
    <t>Строк кредитування, міс</t>
  </si>
  <si>
    <t>споживчий кредит</t>
  </si>
  <si>
    <t>відсутні</t>
  </si>
  <si>
    <t>Маржа</t>
  </si>
  <si>
    <t>Дата початку плаваючої ставки</t>
  </si>
  <si>
    <t xml:space="preserve"> +3% річних до діючої річної ставки по кредиту</t>
  </si>
  <si>
    <t>ПМ</t>
  </si>
  <si>
    <t>Відсоткова ставка *:</t>
  </si>
  <si>
    <t>Діє з*</t>
  </si>
  <si>
    <t>% ставка*</t>
  </si>
  <si>
    <t>Маржа*</t>
  </si>
  <si>
    <t>Індекс*</t>
  </si>
  <si>
    <t>Загальна вартість кредиту, грн</t>
  </si>
  <si>
    <t>* даний розділ використовується в разі змінної ставки по кредиту</t>
  </si>
  <si>
    <t>кредит</t>
  </si>
  <si>
    <t>за власні кошти</t>
  </si>
  <si>
    <t>Таблиця обчислення орієнтовної вартості споживчого кредиту</t>
  </si>
  <si>
    <t>Комісія за надання кредиту, % від суми кредиту</t>
  </si>
  <si>
    <t>АТ «ПРАВЕКС БАНК»</t>
  </si>
  <si>
    <t>від 18.04.2018 № 7</t>
  </si>
  <si>
    <t>Ставка з 61 місяця</t>
  </si>
  <si>
    <t>на споживчі цілі</t>
  </si>
  <si>
    <t xml:space="preserve">Безготівковим шляхом на поточний рахунок </t>
  </si>
  <si>
    <t>відсутній</t>
  </si>
  <si>
    <t>Інші додаткові витрати</t>
  </si>
  <si>
    <t>Страхування позичальника, грн</t>
  </si>
  <si>
    <t>Діючий Індекс UIDR (12міс у гривні)</t>
  </si>
  <si>
    <t>відсутнє</t>
  </si>
  <si>
    <t>наявне</t>
  </si>
  <si>
    <r>
      <t xml:space="preserve">Комісії банка, </t>
    </r>
    <r>
      <rPr>
        <sz val="11"/>
        <color theme="1"/>
        <rFont val="Calibri"/>
        <family val="2"/>
        <charset val="204"/>
        <scheme val="minor"/>
      </rPr>
      <t>% від суми кредиту</t>
    </r>
  </si>
  <si>
    <t>Загальна вартість кредиту, грн.</t>
  </si>
  <si>
    <t>Реальна річна процентна ставка, %</t>
  </si>
  <si>
    <t>відсутне</t>
  </si>
  <si>
    <t xml:space="preserve">Страхування застави </t>
  </si>
  <si>
    <t>так</t>
  </si>
  <si>
    <t xml:space="preserve">Страхування позичальника </t>
  </si>
  <si>
    <t>Фіксована</t>
  </si>
  <si>
    <t>-</t>
  </si>
  <si>
    <t>Розрахунково-касове обслуговування, грн</t>
  </si>
  <si>
    <t>порука (якщо було прийнято по клієнту відповідне рішення)</t>
  </si>
  <si>
    <t>процентна ставка, яка застосовується при невиконанні зобов'язання щодо повернення кредиту</t>
  </si>
  <si>
    <r>
      <rPr>
        <b/>
        <sz val="10"/>
        <color theme="1"/>
        <rFont val="Times New Roman"/>
        <family val="1"/>
        <charset val="204"/>
      </rPr>
      <t>/</t>
    </r>
    <r>
      <rPr>
        <sz val="9"/>
        <color theme="1"/>
        <rFont val="Times New Roman"/>
        <family val="1"/>
        <charset val="204"/>
      </rPr>
      <t>34,99% в разі невиконання умов пункт 1.8 загальної частини договору кредиту</t>
    </r>
  </si>
  <si>
    <t>Діючий Індекс UIDR (12 міс у гривні)</t>
  </si>
  <si>
    <t>Споживач має право достроково повернути споживчий кредит без будь-якої додаткової плати, пов'язаної з достроковим поверненням. Договором про споживчий кредит може бути встановлений обов'язок повідомлення кредитодавця про намір дострокового повернення кредиту з оформленням відповідного документа.</t>
  </si>
  <si>
    <t>Вартість квартири, грн</t>
  </si>
  <si>
    <t>Одноразова комісія за надання кредиту, % від суми кредиту</t>
  </si>
  <si>
    <t>процентна ставка, яка застосовується при невиконанні зобов'язання згідно договору кредиту (за кожне порушеня)</t>
  </si>
  <si>
    <t>Найменування кредитного посередника</t>
  </si>
  <si>
    <t>*Інформація не заповнюється, у звязку з відсутністю кредитного посередника при наданні Банком кредиту</t>
  </si>
  <si>
    <t>Місцезнаходження</t>
  </si>
  <si>
    <t>Адреса офіційного веб-сайту*</t>
  </si>
  <si>
    <t>Строк кредитування</t>
  </si>
  <si>
    <t xml:space="preserve"> міс.</t>
  </si>
  <si>
    <t>Застереження: витрати на такі послуги можуть змінюватися протягом строку дії договору про споживчий кредит</t>
  </si>
  <si>
    <t>[якщо платежі за послуги кредитодавця, повязані з отриманням, обслуговуванням і поверненням кредиту, є періодичними]</t>
  </si>
  <si>
    <t>Платежі за послуги кредитного посередника, що підлягають сплаті споживачем, грн.*</t>
  </si>
  <si>
    <t>* не заповнюється, у звязку з відсутністю кредитного посередника при наданні Банком кредиту</t>
  </si>
  <si>
    <t>[зазначаються розмір платежу, база його розрахунку та умови його застосування]</t>
  </si>
  <si>
    <t>штрафи</t>
  </si>
  <si>
    <t>Послуги третіх осіб</t>
  </si>
  <si>
    <t>Послуги нотаріуса</t>
  </si>
  <si>
    <t>Послуги оцінювача</t>
  </si>
  <si>
    <t>Послуги страховика</t>
  </si>
  <si>
    <t>Інші послуги третіх осіб</t>
  </si>
  <si>
    <t>Додаткові витрати, повязані з оформленням кредиту</t>
  </si>
  <si>
    <t>Послуги нотаріуса, грн</t>
  </si>
  <si>
    <t>Страхування застави (перший рік) %/грн</t>
  </si>
  <si>
    <t>Страхування застави (за весь строк),грн</t>
  </si>
  <si>
    <t>Страхування позичальника (перший рік),%/грн</t>
  </si>
  <si>
    <t>Страхування позичальника (весь строк),грн</t>
  </si>
  <si>
    <t>Послуги оцінювача, грн</t>
  </si>
  <si>
    <t>Інші послуги банку</t>
  </si>
  <si>
    <t>позичальник</t>
  </si>
  <si>
    <t>Грошовий потік</t>
  </si>
  <si>
    <t>Відсоткова ставка з 25 місяця</t>
  </si>
  <si>
    <t xml:space="preserve">1. Послуги нотаріуса </t>
  </si>
  <si>
    <t>Дата закінчення договору</t>
  </si>
  <si>
    <t>4. Інформація щодо орієнтовної реальної річної процентної ставки та орієнтовної загальної вартості кредиту для споживача</t>
  </si>
  <si>
    <t xml:space="preserve">м. Київ </t>
  </si>
  <si>
    <t>081   15326804226768260081</t>
  </si>
  <si>
    <t>Івашин 
Дмитро Миколайович</t>
  </si>
  <si>
    <t>050-981-06-79, 
097-983-11-31</t>
  </si>
  <si>
    <t>4223 - директор, 
4225, 4226, 4227, 4228, 4229, 4231</t>
  </si>
  <si>
    <t xml:space="preserve">(044)363-03-67
(044)363-03-68
</t>
  </si>
  <si>
    <t>Пн. – Пт.: 8:45 – 17:45,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</si>
  <si>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Виноградарське відділення </t>
  </si>
  <si>
    <t>048   15326804226768260048</t>
  </si>
  <si>
    <t>Педченко 
Віра Володимирівна</t>
  </si>
  <si>
    <t>050-809-46-47</t>
  </si>
  <si>
    <t>04215, м. Київ, 
просп. Свободи, 15/1</t>
  </si>
  <si>
    <t>15/1 Svobody Boulevard, Kyiv, 04215</t>
  </si>
  <si>
    <t>4233 - директор,
4235,4236,4237</t>
  </si>
  <si>
    <t xml:space="preserve">(044)363-02-28
(044)363-02-29
</t>
  </si>
  <si>
    <t>050   15326804226768260050</t>
  </si>
  <si>
    <t xml:space="preserve">(044)363-07-58
(044)363-07-59
</t>
  </si>
  <si>
    <t>Деміївське відділення</t>
  </si>
  <si>
    <t>068   15326804226768260068</t>
  </si>
  <si>
    <t>т.в.о.  Резанова 
Наталія Миколаївна</t>
  </si>
  <si>
    <t>099-558-86-80</t>
  </si>
  <si>
    <t>03039, м. Київ, 
Голосіївський просп., 48</t>
  </si>
  <si>
    <t>48 Holosiivskyi Boulevard, Kyiv, 03039</t>
  </si>
  <si>
    <t>4300 - директор,
4297, 4299,4302,4303, 4304</t>
  </si>
  <si>
    <t xml:space="preserve">(044)363-06-91
(044)363-06-92
</t>
  </si>
  <si>
    <t xml:space="preserve">Залізничне відділення </t>
  </si>
  <si>
    <t>047   15326804226768260047</t>
  </si>
  <si>
    <t>Майкін 
Сергій Миколайович</t>
  </si>
  <si>
    <t>066-117-23-40</t>
  </si>
  <si>
    <t>03186, м. Київ, 
бульв. Чоколівський, 9/13</t>
  </si>
  <si>
    <t>9/13 Chokolivskyi Boulevard, Kyiv, 03186</t>
  </si>
  <si>
    <t>4332- директор,
4330,4331,4333,4334,4335</t>
  </si>
  <si>
    <t xml:space="preserve">(044)363-07-08
(044)363-07-09
</t>
  </si>
  <si>
    <t xml:space="preserve">Індустріальне відділення </t>
  </si>
  <si>
    <t>057   15326804226768260057</t>
  </si>
  <si>
    <t>Близнюк 
Олена Володимирівна</t>
  </si>
  <si>
    <t>050-590-21-78</t>
  </si>
  <si>
    <t xml:space="preserve">01032, м. Київ, 
вул. Саксаганського, 120 </t>
  </si>
  <si>
    <t>120 Saksahanskoho St., Kyiv, 01032</t>
  </si>
  <si>
    <t>4344 - директор,
4345,4346,4347,4348,4349</t>
  </si>
  <si>
    <t xml:space="preserve">
(044)363-02-56
(044)363-02-57
</t>
  </si>
  <si>
    <t xml:space="preserve">Інститутське відділення </t>
  </si>
  <si>
    <t>102  
15326804226768260066</t>
  </si>
  <si>
    <t>Літенко 
Ірина Олексіївна</t>
  </si>
  <si>
    <t xml:space="preserve">  067-773-01-98,
093-993-64-68</t>
  </si>
  <si>
    <t>01021, м. Київ, 
вул. Інститутська, 27/6</t>
  </si>
  <si>
    <t>27/6 Instytutska St., Kyiv, 01021</t>
  </si>
  <si>
    <t>4353 - директор,
 4354,  4355, 4356,   4357</t>
  </si>
  <si>
    <t xml:space="preserve">
(044)363-02-36
(044)363-02-37
</t>
  </si>
  <si>
    <t xml:space="preserve">Лівобережне відділення  </t>
  </si>
  <si>
    <t>052   15326804226768260052</t>
  </si>
  <si>
    <t>Нечупій 
Ольга Віталіївна</t>
  </si>
  <si>
    <t>096-701-38-42</t>
  </si>
  <si>
    <t>4531- директор,
4526, 4527,4528,4529,4530,, 4532</t>
  </si>
  <si>
    <t>(044)363-02-78, 
(044)363-02-79</t>
  </si>
  <si>
    <t xml:space="preserve">Лук’янівське відділення </t>
  </si>
  <si>
    <t>034   15326804226768260034</t>
  </si>
  <si>
    <t>Дорошенко 
Леся Василівна</t>
  </si>
  <si>
    <t>093-062-81-35</t>
  </si>
  <si>
    <t>04053, м. Київ, 
вул. Січових Стрільців, 7</t>
  </si>
  <si>
    <t>7 Sichovych Striltsiv St., Kyiv, 04053</t>
  </si>
  <si>
    <t xml:space="preserve">4410- директор, 
  4407, 4408, 4409, 4411, 4412, 4413, 4414, 4415 </t>
  </si>
  <si>
    <t xml:space="preserve">(044)363-07-16
(044)363-07-17
</t>
  </si>
  <si>
    <t xml:space="preserve">Либідське відділення </t>
  </si>
  <si>
    <t>079   15326804226768260079</t>
  </si>
  <si>
    <t>Галайба 
Тетяна Петрівна</t>
  </si>
  <si>
    <t>067-907-97-15</t>
  </si>
  <si>
    <t xml:space="preserve">03150, м. Київ,вул. Антоновича (Горького), 155 </t>
  </si>
  <si>
    <t>155 Antonovych (Gorkiy) St., Kyiv, 03150</t>
  </si>
  <si>
    <t>4420 -директор,
  4422, 4423, 4424, 4425</t>
  </si>
  <si>
    <t xml:space="preserve">(044)363-07-01
(044)363-07-02
</t>
  </si>
  <si>
    <t xml:space="preserve">Осокорківське відділення </t>
  </si>
  <si>
    <t>085   15326804226768260085</t>
  </si>
  <si>
    <t xml:space="preserve">Павелко 
Олена Олександрівна </t>
  </si>
  <si>
    <t>067-737-67-24</t>
  </si>
  <si>
    <t>02095, м. Київ, 
вул. Княжий Затон, 4</t>
  </si>
  <si>
    <t>4 Kniazhyi Zaton St., Kyiv, 02095</t>
  </si>
  <si>
    <t xml:space="preserve"> 4475 - директор
4472, 4473, 4474, 4476</t>
  </si>
  <si>
    <t xml:space="preserve">(044)363-02-76
(044)363-02-77
</t>
  </si>
  <si>
    <t xml:space="preserve">Саксаганське відділення </t>
  </si>
  <si>
    <t>065   15326804226768260065</t>
  </si>
  <si>
    <t>Усатюк 
Юлія Володимирівна</t>
  </si>
  <si>
    <t>097-333-75-59</t>
  </si>
  <si>
    <t>01023, м. КиЇв, 
ул. Шота Руставелі, 40/10</t>
  </si>
  <si>
    <t>40/10 Shota Rustaveli St., Kyiv, 01023</t>
  </si>
  <si>
    <t>4488 - директор,
4487, 4489, 4491, 4492, 4493</t>
  </si>
  <si>
    <t xml:space="preserve">(044)363-02-38
(044)363-02-39
</t>
  </si>
  <si>
    <t xml:space="preserve">Подільське відділення  </t>
  </si>
  <si>
    <t>053   15326804226768260053</t>
  </si>
  <si>
    <t>Балабанцева 
Іванна Сергіївна</t>
  </si>
  <si>
    <t>050-078-44-04</t>
  </si>
  <si>
    <t>04071, м. Київ, 
вул. Верхній Вал, 32</t>
  </si>
  <si>
    <t xml:space="preserve">  32,  Verhniy Vаl St., Kyiv, 04071</t>
  </si>
  <si>
    <t>4145 - директор,
4505, 4506,  4509, 4510, 4511, 4512,  4514, 4515, 4516,  4518, 4146</t>
  </si>
  <si>
    <t xml:space="preserve">(044)363-07-18
(044)363-07-19
</t>
  </si>
  <si>
    <t xml:space="preserve">Політехнічне відділення </t>
  </si>
  <si>
    <t>054   15326804226768260054</t>
  </si>
  <si>
    <t>75/2 Peremohy Boulevard / Kulibin St., Kyiv, 03062</t>
  </si>
  <si>
    <t>4374 - директор,
4375,4378</t>
  </si>
  <si>
    <t xml:space="preserve">(044)363-06-93
(044)363-06-94
</t>
  </si>
  <si>
    <t>Полярне відділення</t>
  </si>
  <si>
    <t>506   15326804226768260506</t>
  </si>
  <si>
    <t>Леоненко 
Анна Анатоліївна</t>
  </si>
  <si>
    <t>093 -460-24-71</t>
  </si>
  <si>
    <t>04050, м. Київ,  
вул. Глибочицька, 29-31</t>
  </si>
  <si>
    <t>29-31 Hlybochytska St., Kyiv, 04050</t>
  </si>
  <si>
    <t>4542-директор,
4537,  4539,  4543</t>
  </si>
  <si>
    <t xml:space="preserve">(044)363-07-14
(044)363-07-15
</t>
  </si>
  <si>
    <t>066   15326804226768260102</t>
  </si>
  <si>
    <t xml:space="preserve"> Руденко 
Катерина Іванівна</t>
  </si>
  <si>
    <t>093-294-25-82</t>
  </si>
  <si>
    <t>4560 - директор,
4556, 4557, 4558, 4559, , 4561, 4562</t>
  </si>
  <si>
    <t xml:space="preserve">(044)363-02-34
(044)363-02-35
</t>
  </si>
  <si>
    <t xml:space="preserve">Святошинське відділення </t>
  </si>
  <si>
    <t>041   15326804226768260041</t>
  </si>
  <si>
    <t>063-178-81-66,  
050-215-99-11,
067-121-32-42</t>
  </si>
  <si>
    <t>03062, м. Київ, 
просп. Перемоги/
вул. Кулібіна, 75/2</t>
  </si>
  <si>
    <t>4585 - директор,
4579,4580,4581,4582,4583,4584,,4586</t>
  </si>
  <si>
    <t xml:space="preserve">(044)363-06-95
(044)363-06-96
</t>
  </si>
  <si>
    <t xml:space="preserve">"Сімейний банкінг"
(Family Banking) </t>
  </si>
  <si>
    <t>061   15326804226768260061</t>
  </si>
  <si>
    <t>Бурдейний 
Дмитро Володимирович</t>
  </si>
  <si>
    <t>097-008-30-80</t>
  </si>
  <si>
    <t>01133, м. Київ, 
вул.Мечникова, 10/2</t>
  </si>
  <si>
    <t>10/2 Mechnykov St., Kyiv, 01133</t>
  </si>
  <si>
    <t xml:space="preserve">43-93  - директор
4391, 4192, 4194
</t>
  </si>
  <si>
    <t xml:space="preserve">(044)363-02-72
(044)363-02-73
</t>
  </si>
  <si>
    <t>Столичне відділення</t>
  </si>
  <si>
    <t>290  
15326804226768260290</t>
  </si>
  <si>
    <t>Попович-Д'якова 
Наталія Валеріївна</t>
  </si>
  <si>
    <t>050-581-89-09
067-320-28-53</t>
  </si>
  <si>
    <t>01021, м. Київ, 
вул. Кловський узвіз, 9/2</t>
  </si>
  <si>
    <t>9/2 Klovskyi uzviz St., Kyiv, 01021</t>
  </si>
  <si>
    <t xml:space="preserve">
32-84-директор 
4617-4618-МРК
4613,4615,4624-сектор фізичних осіб 
4616 –ГФОК сектору фізичних осіб
4627-ГФОК сектору юридичних осіб
4626, 4628, 4629, 4630, 4631 - сектор юридичних осіб
</t>
  </si>
  <si>
    <t>(044)521-02-17,                    (044)521-02-54,                   (044)521-02-46</t>
  </si>
  <si>
    <t>Пн. – Пт.: 8:45 – 18:25,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</si>
  <si>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Відділення «Вінницька обласна дирекція»  </t>
  </si>
  <si>
    <t>569   15326804226768010569</t>
  </si>
  <si>
    <t xml:space="preserve">  Душкевич    
Людмила Василівна</t>
  </si>
  <si>
    <t>050-353-54-48 
067-32-11-956</t>
  </si>
  <si>
    <t>2400 - директор
  2402, 2403, 2404, 2406, 2414, 2416, 2417, 2418, 2421, 2422, 2423</t>
  </si>
  <si>
    <t xml:space="preserve">(043)250-42-56
(043)250-42-60
(043)250-42-61
(043)250-42-63
(043)250-42-64
</t>
  </si>
  <si>
    <t>Відділення «Волинська обласна дирекція»</t>
  </si>
  <si>
    <t>115     15326804226768020115</t>
  </si>
  <si>
    <t>Гатті 
 Вікторія Анатоліївна</t>
  </si>
  <si>
    <t>050-611-23-49</t>
  </si>
  <si>
    <t>43025, м. Луцьк, 
просп. Волі, 21</t>
  </si>
  <si>
    <t>21 Voli Boulevard, Lutsk, 43025</t>
  </si>
  <si>
    <t>2560 -директор,
2561, 2565, 2566, 2567, 2570</t>
  </si>
  <si>
    <t xml:space="preserve">(0332)78-99-25
(0332)78-99-26
(0332)78-99-27
(0332)78-99-28
(0332)78-99-29
</t>
  </si>
  <si>
    <t>Відділення «Дніпровська обласна дирекція»</t>
  </si>
  <si>
    <t>400   15326804226768030400</t>
  </si>
  <si>
    <t>Сідорова 
Марина Сергіївна</t>
  </si>
  <si>
    <t>066-535-41-76</t>
  </si>
  <si>
    <t>49020, м. Дніпро, 
вул.  Шевченка, 59</t>
  </si>
  <si>
    <t>59 Shevchenko St., Dnipro, 49020</t>
  </si>
  <si>
    <t>2655 - директор,
2650-2659,  2664</t>
  </si>
  <si>
    <t xml:space="preserve">(056)7873045
(056)7873046 
(056)7873047 
(056)7873048 
(056)7873049 
</t>
  </si>
  <si>
    <t xml:space="preserve">Криворізьке відділення </t>
  </si>
  <si>
    <t>361   15326804226768030361</t>
  </si>
  <si>
    <t xml:space="preserve"> Собіна  
Анна Андріївна</t>
  </si>
  <si>
    <t>066-930-38-73,
097-353-86-36</t>
  </si>
  <si>
    <t>50027, м. Кривий Ріг, 
пр-т. Гагаріна, 38 а.</t>
  </si>
  <si>
    <t>38 a Gagarin Boulevard, Kryvyi Rih, 50027</t>
  </si>
  <si>
    <t>2585 - директор,
2580, 2581,2582,2583,2584, 2585, 2587, 2588, 2589</t>
  </si>
  <si>
    <t xml:space="preserve">(0564)70-12-59
(0564)70-12-60
(0564)70-12-63
(0564)70-12-65
(0564)70-12-67
</t>
  </si>
  <si>
    <t>Азовське відділення</t>
  </si>
  <si>
    <t>522   15326804226768040522</t>
  </si>
  <si>
    <t>Лисакова 
Джульєтта Геннадіївна</t>
  </si>
  <si>
    <t>097-319-09-78</t>
  </si>
  <si>
    <t>87500, м. Маріуполь, 
просп.  Миру (Леніна), 81</t>
  </si>
  <si>
    <t>81 Myru (Lenin) Boulevard, Mariupol, 87500</t>
  </si>
  <si>
    <t xml:space="preserve">2023 - директор, 
2020, 2022, 2024
</t>
  </si>
  <si>
    <t>(0629) 52-62-17,
(0629) 52-62-18</t>
  </si>
  <si>
    <t>Відділення «Житомирська обласна дирекція»</t>
  </si>
  <si>
    <t>111   15326804226768050111</t>
  </si>
  <si>
    <t>т.в.о. директора Добровольська 
Світлана Сергіївна</t>
  </si>
  <si>
    <t>067-411-78-97</t>
  </si>
  <si>
    <t xml:space="preserve">10001,  м. Житомир, 
вул. Київська, 79
 </t>
  </si>
  <si>
    <t>79 Kyivska St., Zhytomyr, 10001</t>
  </si>
  <si>
    <t>2316- директор,
2308, 2309, 2311, 2313</t>
  </si>
  <si>
    <t>(412) 42-26-46,            (412) 42-26-44,            (412) 42-26-45,           (412) 42-26-43,          (412) 42-26-47,           (412)42-26-48,          (412)42-19-30</t>
  </si>
  <si>
    <t xml:space="preserve">Відділення «Закарпатська обласна дирекція» </t>
  </si>
  <si>
    <t>157   15326804226768060157</t>
  </si>
  <si>
    <t>Ступак 
Олександр Олександрович</t>
  </si>
  <si>
    <t>050-96-57-179</t>
  </si>
  <si>
    <t>88000, м. Ужгород, 
вул. Київська набережна, 2</t>
  </si>
  <si>
    <t>2 Kyivska Naberezhna St., Uzhhorod, 88000</t>
  </si>
  <si>
    <t>2500- директор,
2501, 2502, 2503 ,2504, 2505, 2507, 2510</t>
  </si>
  <si>
    <t xml:space="preserve">(0312) 63-06-10,
(0312) 63-06-11,
(0312) 63-06-12,
(0312) 63-06-15,
(0312)  63-06-16
(0312) 63-06-18,
(0312) 63-06-19 
</t>
  </si>
  <si>
    <t>Відділення «Запорізька обласна дирекція»</t>
  </si>
  <si>
    <t>282   15326804226768070282</t>
  </si>
  <si>
    <t xml:space="preserve"> Петряєв 
Анатолій Володимирович</t>
  </si>
  <si>
    <t>097-302-86-18</t>
  </si>
  <si>
    <t>69035, м. Запоріжжя,
пр-т. Соборний, 172</t>
  </si>
  <si>
    <t>172 Sobornyi Boulevard, Zaporizhzhia, 69035</t>
  </si>
  <si>
    <t xml:space="preserve">
2772 -директор,
2770, 2778, 2783, 2784, 2786
</t>
  </si>
  <si>
    <t xml:space="preserve">(061)280-55-40
(061)280-55-41
(061)280-55-42
(061)280-55-43
(061)280-55-44
       </t>
  </si>
  <si>
    <t>Відділення «Івано-Франківська обласна дирекція»</t>
  </si>
  <si>
    <t>453   15326804226768080453</t>
  </si>
  <si>
    <t>Срібна 
Оксана Михайлівна</t>
  </si>
  <si>
    <t>050-384-01-16</t>
  </si>
  <si>
    <t xml:space="preserve">76018, м. Івано-Франківськ, 
вул. Січових Стрільців, 48 </t>
  </si>
  <si>
    <t xml:space="preserve">48 Sichovych Striltsiv St., Ivano-Frankivsk, 76018 </t>
  </si>
  <si>
    <t xml:space="preserve"> 2065- директор,
 2051,   2060,  2063, 2064</t>
  </si>
  <si>
    <r>
      <rPr>
        <sz val="11"/>
        <rFont val="Calibri"/>
        <family val="2"/>
        <charset val="204"/>
      </rPr>
      <t>(0342) 55-72-01
(0</t>
    </r>
    <r>
      <rPr>
        <sz val="12"/>
        <rFont val="Calibri"/>
        <family val="2"/>
        <charset val="204"/>
      </rPr>
      <t>342)55-72-00
(0342)55-72-02
(0342)55-72-03
(0342)55-72-04
(0342)55-72-05
(0342)55-72-10
(0342)55-72-11</t>
    </r>
    <r>
      <rPr>
        <sz val="11"/>
        <rFont val="Calibri"/>
        <family val="2"/>
        <charset val="204"/>
      </rPr>
      <t xml:space="preserve">
</t>
    </r>
  </si>
  <si>
    <t>468   15326804226768100468</t>
  </si>
  <si>
    <t>Бондар 
Михайло Іссакович</t>
  </si>
  <si>
    <t>067-520-07-75</t>
  </si>
  <si>
    <t>25006, м. Кропивницький, 
вул. Шевченка, 3</t>
  </si>
  <si>
    <t>3 Shevchenko St., Kropyvnytskyi, 25006</t>
  </si>
  <si>
    <t>2357 - директор,
 2351, 2353, 2355, 2356, 2359,  2360, 2361, 2362,  2363, 2364, 2367</t>
  </si>
  <si>
    <t xml:space="preserve">(0522) 36-66-80,                                                                                                                                                                                                                                                                      
(0522) 36-66-81,
(0522) 36-66-82
</t>
  </si>
  <si>
    <t>Відділення «Львівська обласна дирекція»</t>
  </si>
  <si>
    <t>247   15326804226768130247</t>
  </si>
  <si>
    <t>Мицик 
Руслана Зіновіївна</t>
  </si>
  <si>
    <t>067-212-82-85</t>
  </si>
  <si>
    <t>79000, м. Львів, 
вул. Січових Стрільців, 3</t>
  </si>
  <si>
    <t>3 V. Sichovykh Strilʹtsiv, Lʹviv , 79000</t>
  </si>
  <si>
    <t xml:space="preserve">2071 - директор,
 2072, 2074, 2075, 2076, 2077, 2079, 2083, 2090, </t>
  </si>
  <si>
    <t xml:space="preserve">(032)226-76-08
(032)226-76-09
(032)226-76-10
(032)226-76-11
(032)226-76-12
</t>
  </si>
  <si>
    <t>Відділення «Миколаївська обласна дирекція»</t>
  </si>
  <si>
    <t>169   15326804226768140169</t>
  </si>
  <si>
    <t>Біла 
Ніна Миколаївна</t>
  </si>
  <si>
    <t>050-737-63-55</t>
  </si>
  <si>
    <t>54029, м. Миколаїв, 
вул. Пушкінська, 35</t>
  </si>
  <si>
    <t>35 Pushkin St., Mykolaiv, 54029</t>
  </si>
  <si>
    <t>2540 - директор , 
2541, 2542, 2543, 2544, 2545</t>
  </si>
  <si>
    <t xml:space="preserve">(0512)76-69-70
(0512)76-69-71
(0512)76-69-72
(0512)76-69-73
(0512)76-69-74
</t>
  </si>
  <si>
    <t xml:space="preserve">Відділення «Одеська обласна дирекція» </t>
  </si>
  <si>
    <t>329   15326804226768150329</t>
  </si>
  <si>
    <t>Вержбицька 
Ірина Віталіївна</t>
  </si>
  <si>
    <t>067-931-26-97</t>
  </si>
  <si>
    <t>65012, м. Одеса, 
вул. Пушкінська, 77</t>
  </si>
  <si>
    <t>77 Pushkin St., Odesa, 65012</t>
  </si>
  <si>
    <t xml:space="preserve">2232 - директор,
2230, 2231, 2236, 2237, 2239                              </t>
  </si>
  <si>
    <t xml:space="preserve">(048)7409345
(048)7409346
(048)7409347
(048)7409348
(048)7409349
</t>
  </si>
  <si>
    <t>Відділення «Полтавська обласна дирекція»</t>
  </si>
  <si>
    <t>198   15326804226768160198</t>
  </si>
  <si>
    <t xml:space="preserve"> Папудько 
Олена Євгеніївна</t>
  </si>
  <si>
    <t>066-553-31-74</t>
  </si>
  <si>
    <t>36020, м. Полтава, 
вул. 1100 - річчя Полтави, 12</t>
  </si>
  <si>
    <t>12 1100-richchia Poltavy St., Poltava, 36020</t>
  </si>
  <si>
    <t xml:space="preserve"> 2451 - директор,
2447, 2458, 2461, 2463
</t>
  </si>
  <si>
    <t xml:space="preserve">(0532) 516-970
(0532) 516-971
(0532) 516-972
(0532) 516-973
(0532) 516-974
(0532) 516-975
(0532) 516-976
</t>
  </si>
  <si>
    <t>188   15326804226768160188</t>
  </si>
  <si>
    <t xml:space="preserve"> Щербина 
Нина Юріївна</t>
  </si>
  <si>
    <t xml:space="preserve"> 068-303-70-96</t>
  </si>
  <si>
    <t>39600, м. Кременчук, 
вул. Халаменюка, 4</t>
  </si>
  <si>
    <t>4 Khalameniuk St., Kremenchuk, 39600</t>
  </si>
  <si>
    <t>2484-директор,
2481, 2482,  2483, 2485, 2487</t>
  </si>
  <si>
    <t>(0536) 74-01-74,
(0536) 74-01-85</t>
  </si>
  <si>
    <t>Відділення «Рівненська обласна дирекція»</t>
  </si>
  <si>
    <t>153   15326804226768170153</t>
  </si>
  <si>
    <t>Панасюк 
Михайло Петрович</t>
  </si>
  <si>
    <t>097-675-88-83</t>
  </si>
  <si>
    <t>33028, м. Рівне, 
вул. Соборна, 112</t>
  </si>
  <si>
    <t>112 Soborna St., Rivne, 33028</t>
  </si>
  <si>
    <t xml:space="preserve"> 2470 - директор,
 2471, 2472, 2473, 2474, 2475,  2479</t>
  </si>
  <si>
    <t xml:space="preserve">(0362)46-05-88
(0362)46-05-86
(0362)46-05-87
(0362)46-02-63
(0362)46-02-62
 </t>
  </si>
  <si>
    <t xml:space="preserve">Відділення «Сумська обласна дирекція» </t>
  </si>
  <si>
    <t>356   15326804226768180356</t>
  </si>
  <si>
    <t xml:space="preserve"> Безносик  
Євген Анатолійович</t>
  </si>
  <si>
    <t xml:space="preserve">050-357-61-40
</t>
  </si>
  <si>
    <t>2525 - директор, 
2521,2522, 2524, 2526, 2527, 2528, 2529, 2530</t>
  </si>
  <si>
    <t>(0542)67-13-40, (0542)67-13-41, (0542)67-13-42, (0542)67-13-43, (0542)67-13-44, (0542)67-13-45, (0542)67-13-46</t>
  </si>
  <si>
    <t xml:space="preserve">Відділення «Тернопільська обласна дирекція» </t>
  </si>
  <si>
    <t>094   15326804226768190094</t>
  </si>
  <si>
    <t>Стігайло 
Юрій Юрійович</t>
  </si>
  <si>
    <t xml:space="preserve">067-600-40-41
</t>
  </si>
  <si>
    <t>46000, м. Тернопіль, 
вул. Руська, 14</t>
  </si>
  <si>
    <t>14 Ruska St., Ternopil, 46000</t>
  </si>
  <si>
    <t>2288 - директор, 
 2282, 2289</t>
  </si>
  <si>
    <t xml:space="preserve">(0352) 52-70-49,  
(0352) 43-49-38;
</t>
  </si>
  <si>
    <r>
      <t>Відділення "Харківська обласна дирекція"</t>
    </r>
    <r>
      <rPr>
        <b/>
        <sz val="11"/>
        <color indexed="8"/>
        <rFont val="Calibri"/>
        <family val="2"/>
        <charset val="204"/>
      </rPr>
      <t xml:space="preserve"> </t>
    </r>
  </si>
  <si>
    <t>616   15326804226768200616</t>
  </si>
  <si>
    <t xml:space="preserve">  Маслов 
Сергій Іванович</t>
  </si>
  <si>
    <t xml:space="preserve">067-729-41-71  </t>
  </si>
  <si>
    <t>61057, м. Харків, 
вул. Сумська 17, 
вул. Сумська, 19</t>
  </si>
  <si>
    <t>17 Sumska St., 19 Sumska St., Kharkiv, 61057</t>
  </si>
  <si>
    <t>2601 - директор,
2602, 2603, 2606, 2607, 2609, 2610, 2611, 2612, 2614, 2621, 2622, 2624, 2625, 2626, 2627, 2628</t>
  </si>
  <si>
    <t xml:space="preserve">(057)766-55-61
(057)766-55-62
(057)766-55-63
(057)766-55-64
(057)766-55-65
</t>
  </si>
  <si>
    <t xml:space="preserve">Відділення «Конституції» </t>
  </si>
  <si>
    <t>639   15326804226768200639</t>
  </si>
  <si>
    <t xml:space="preserve"> Козловський 
Олексій Миколайович</t>
  </si>
  <si>
    <t xml:space="preserve">097-679-58-78
</t>
  </si>
  <si>
    <t>61003, м. Харків, 
майдан Конституції, 2/2</t>
  </si>
  <si>
    <t>2/2 Konstytutsii Square, Kharkiv, 61003</t>
  </si>
  <si>
    <t xml:space="preserve">2590 - директор
 2591,  2593, 2594
</t>
  </si>
  <si>
    <t xml:space="preserve">(057)766-58-62
(057)766-58-63
</t>
  </si>
  <si>
    <t>Набережне відділення</t>
  </si>
  <si>
    <t>642   15326804226768200642</t>
  </si>
  <si>
    <t>Романашенко 
Кристина Валеріївна</t>
  </si>
  <si>
    <t>068-279-80-98</t>
  </si>
  <si>
    <t>61010, м. Харків, 
вул. Гімназійна Набережна, 18</t>
  </si>
  <si>
    <t>18 Himnaziina Naberezhna St., Kharkiv, 61010</t>
  </si>
  <si>
    <t>2639 - директор,
2641, 2643, 2644,  2645, 2646</t>
  </si>
  <si>
    <t xml:space="preserve">(057)766-58-91
(057)766-58-92
</t>
  </si>
  <si>
    <t>Відділення «Херсонська обласна дирекція»</t>
  </si>
  <si>
    <t>232   15326804226768210232</t>
  </si>
  <si>
    <t>Монюк 
Ярослав Степанович</t>
  </si>
  <si>
    <t>050-903-68-29</t>
  </si>
  <si>
    <t>73000, м. Херсон,  
вул. Маяковського,16А</t>
  </si>
  <si>
    <t>16A Mayakovskiy St., Kherson, 73000</t>
  </si>
  <si>
    <t>2203 - директор, 
2201, 2202, 2204, 2205, 2207</t>
  </si>
  <si>
    <t>(0552) 43-57-00,             (0552) 43-57-01,  (0552) 43-57-02,          (0552) 43-57-03,  (0552) 43-57-04,           (0552) 43-57-05,           (0552) 43-57-06, (0552) 22-33-53</t>
  </si>
  <si>
    <t xml:space="preserve">Відділення «Хмельницька обласна дирекція» </t>
  </si>
  <si>
    <t>156   15326804226768220156</t>
  </si>
  <si>
    <t>Сапужак 
Ольга Миколаївна</t>
  </si>
  <si>
    <t>068-657-66-57</t>
  </si>
  <si>
    <t>29000, м. Хмельницький,
 вул. Подільска, 21</t>
  </si>
  <si>
    <t>21 Podilska St., Khmelnytskyi, 29000</t>
  </si>
  <si>
    <t>2270- директор,
 2261, 2265, 2266, 2272, 2273</t>
  </si>
  <si>
    <t xml:space="preserve">(0382)72-47-95
(0382)72-47-96
(0382)72-47-97
(0382)72-47-98
(0382)72-47-99
</t>
  </si>
  <si>
    <t xml:space="preserve">Відділення «Черкаська обласна дирекція»  </t>
  </si>
  <si>
    <t>083   15326804226768230083</t>
  </si>
  <si>
    <t>Дюбін 
Михайло Володимирович</t>
  </si>
  <si>
    <t>097-757-24-28</t>
  </si>
  <si>
    <t>18000, м. Черкаси, 
вул. Лазарєва, 4</t>
  </si>
  <si>
    <t>4 Lazarieva St., Cherkasy, 18000</t>
  </si>
  <si>
    <t>2335-директор,
 2336, 2339,2340, 2341</t>
  </si>
  <si>
    <t xml:space="preserve">(0472)52-02-03
(0472)52-02-04
(0472)52-02-05
(0472)52-02-06
(0472)52-02-07
</t>
  </si>
  <si>
    <t xml:space="preserve">Відділення «Буковинська обласна дирекція» </t>
  </si>
  <si>
    <t>144   15326804226768250144</t>
  </si>
  <si>
    <t xml:space="preserve"> Стрілецький 
Володимир Мирославович</t>
  </si>
  <si>
    <t>066-356-71-66</t>
  </si>
  <si>
    <t xml:space="preserve">58002, м. Чернівці, 
вул. Івана Франка,1 </t>
  </si>
  <si>
    <t>1 Ivan Franko St., Chernivtsi, 58002</t>
  </si>
  <si>
    <t>2011-директор,
2004, 2005, 2006, 2008</t>
  </si>
  <si>
    <t xml:space="preserve">(0372) 58-44-36, 
(0372) 58-58-16,
Тел./факс </t>
  </si>
  <si>
    <t>611   15326804226768240611</t>
  </si>
  <si>
    <t>Максименко 
Алла Валентинівна</t>
  </si>
  <si>
    <t>067-460-21-76,              093-296-55-95</t>
  </si>
  <si>
    <t>14000 м. Чернігів 
пр-т. Миру 17</t>
  </si>
  <si>
    <t>17 Myru Boulevard, Chernihiv, 14000</t>
  </si>
  <si>
    <t>2180- директор, 
2182, 2183, 2185, 2187</t>
  </si>
  <si>
    <t>(0462)67-52-35,
(0462)67-52-25</t>
  </si>
  <si>
    <t>Выбрать свое отделение из выпадающего списка!</t>
  </si>
  <si>
    <t xml:space="preserve">Дата надання інформації: </t>
  </si>
  <si>
    <t xml:space="preserve">Ця інформація зберігає чинність та є актуальною до </t>
  </si>
  <si>
    <t>разово</t>
  </si>
  <si>
    <t>щорічно</t>
  </si>
  <si>
    <t>Пакет "Фамільний" (вартість на рік)</t>
  </si>
  <si>
    <t>Пакет "Фамільний" (вартість на весь строк)</t>
  </si>
  <si>
    <t>Кредитодавець має право залучати до врегулювання простроченої заборгованості колекторську компанію.</t>
  </si>
  <si>
    <t>Вимоги щодо взаємодії із споживачами при врегулюванні простроченої заборгованості (вимоги щодо етичної поведінки), встановлені статтею 25 Закону України "Про споживче кредитування".</t>
  </si>
  <si>
    <t>Підтверджую отримання мною інформації про право кредитодавця залучати до врегулювання простроченої заборгованості колекторську компанію у разі невиконання мною зобов’язань за договором про споживчий кредит, про встановлені законодавством вимоги щодо взаємодії із споживачами при врегулюванні простроченої заборгованості (вимоги щодо етичної поведінки), про моє право на звернення до Національного банку України у разі недотримання таких вимог кредитодавцем та/або колекторською компанією, а також про моє право на звернення до суду з позовом про відшкодування шкоди, завданої у процесі врегулювання простроченої заборгованості.</t>
  </si>
  <si>
    <t>Підтверджую повідомлення мене про передбачену статтею 182 Кримінального кодексу України відповідальність за незаконне збирання, зберігання, використання, поширення мною конфіденційної інформації про третіх осіб, персональні дані яких передані мною кредитодавцю.</t>
  </si>
  <si>
    <t>Кількість днів у розрахунковому періоді</t>
  </si>
  <si>
    <t>Дата видачі кредиту/дата платежу</t>
  </si>
  <si>
    <t>Чиста сума кредиту/сума платежу за розрахунковий період, грн</t>
  </si>
  <si>
    <t>Cума кредиту за договором/погашення суми кредиту</t>
  </si>
  <si>
    <t>Проценти за користування кредитом</t>
  </si>
  <si>
    <t>Таблиця обчислення загальної вартості кредиту для споживача та реальної річної процентної ставки за договором про споживчий кредит</t>
  </si>
  <si>
    <t>Види платежів за кредитом</t>
  </si>
  <si>
    <t>Платежі за супровідні послуги</t>
  </si>
  <si>
    <t>За обслуговування кредитної заборгованості</t>
  </si>
  <si>
    <t>Комісія за надання кредиту</t>
  </si>
  <si>
    <t>Кредитного посередника (за наявності)</t>
  </si>
  <si>
    <t>Комісійний збір</t>
  </si>
  <si>
    <t>Інша плата за послуги кредитного посередника</t>
  </si>
  <si>
    <t>Третіх осіб</t>
  </si>
  <si>
    <t>За розрахунково-касове обслуговування</t>
  </si>
  <si>
    <t>фамильный</t>
  </si>
  <si>
    <t>Общая страховка</t>
  </si>
  <si>
    <t>Титульне страхування</t>
  </si>
  <si>
    <t>титулка</t>
  </si>
  <si>
    <t>Титульне страхування (перший рік) %/грн</t>
  </si>
  <si>
    <t>Титульне страхування (за весь строк),грн</t>
  </si>
  <si>
    <t>строк, років</t>
  </si>
  <si>
    <t xml:space="preserve">Відсоткова ставка </t>
  </si>
  <si>
    <t xml:space="preserve">Фіксована </t>
  </si>
  <si>
    <t>не заповнються у звязку з фіксованим типом ставки</t>
  </si>
  <si>
    <t>№ з/п</t>
  </si>
  <si>
    <t>Банку</t>
  </si>
  <si>
    <t xml:space="preserve">Безготівковий переказ на поточний рахунок клієнта для подальшого переказу </t>
  </si>
  <si>
    <t xml:space="preserve">Деснянське відділення </t>
  </si>
  <si>
    <t>просп. Червоної Калини, 8, м.Київ, 02217</t>
  </si>
  <si>
    <t>8 Chervonoi Kalyny Ave., Kyiv City, 02217</t>
  </si>
  <si>
    <t xml:space="preserve">Оболонське відділення </t>
  </si>
  <si>
    <t>Барадакова
Світлана Іванівна</t>
  </si>
  <si>
    <t>097-578-91-39</t>
  </si>
  <si>
    <t>вул. Левка Лук’яненка, 21, корп.4, 
м. Київ, 04205</t>
  </si>
  <si>
    <t>21 Levka Lukianenka Str., block 4, Kyiv City, 04205</t>
  </si>
  <si>
    <t>4272 - директор,
4268, 4269, 4270, 4271,  4273, 4274</t>
  </si>
  <si>
    <t>вул. Гетьмана Павла Полуботка, 18,
м. Київ, 02100</t>
  </si>
  <si>
    <t>18 Hetmana Pavla Polubotka Str., Kyiv City, 02100</t>
  </si>
  <si>
    <t xml:space="preserve"> Запорожець
Людмила Ігорівна</t>
  </si>
  <si>
    <t>067-819-67-94</t>
  </si>
  <si>
    <t>просп. Берестейський, 28/1, 
м. Київ, 03055</t>
  </si>
  <si>
    <t>28/1 Beresteiskyi Ave., Kyiv City, 03055</t>
  </si>
  <si>
    <t xml:space="preserve">Театральне відділення </t>
  </si>
  <si>
    <t>вул. Євгена Чикаленко, 24-А, 
м. Київ, 01004</t>
  </si>
  <si>
    <t>24-A Evhena Chykalenka Str., Kyiv City, 01004</t>
  </si>
  <si>
    <t>т.в.о. директора Близнюк 
Олена Володимирівна</t>
  </si>
  <si>
    <t>вул. Архітектора Артинова, 12-А,  
м. Вінниця, 21050</t>
  </si>
  <si>
    <t>12-A, Architect Artyukhov Str., Vinnytsia City, 21050</t>
  </si>
  <si>
    <t>Відділення «Кропивницька обласна дирекція»</t>
  </si>
  <si>
    <t xml:space="preserve">Кременчуцьке відділення </t>
  </si>
  <si>
    <t>вул. Британська, 5-А, м. Суми, 40004</t>
  </si>
  <si>
    <t>5-A Brytanska Str., Sumy City, 40004</t>
  </si>
  <si>
    <t xml:space="preserve">Відділення «Чернігівська обласна дирекція» </t>
  </si>
  <si>
    <t>Новопечерське відділення</t>
  </si>
  <si>
    <t>Гатицька Юлія Василівна</t>
  </si>
  <si>
    <t>093-540-00-75</t>
  </si>
  <si>
    <t>вул. А. Верхогляда, 3, 
м. Київ, 01103</t>
  </si>
  <si>
    <t>3 A. Verhoglyada Str., Kyiv City, 01103</t>
  </si>
  <si>
    <t xml:space="preserve">Пн. – Пт.: 8:45 – 17:45,  в тому числі з клієнтами 
Пн. – Пт.: 9:00 – 17:00,  перерва для працівників по гнучкому графіку 1 година; Сб., Нед., святкові дні – вихідні </t>
  </si>
  <si>
    <t>Додаток 1 до Договору №_______ від ___.____.____ року</t>
  </si>
  <si>
    <t>(не оформлюється для продуктів «Фамільний» та «Кредитна картка «PRAVEX»)</t>
  </si>
  <si>
    <t>Комісії Банку та платежі за супровідні послуги Банку</t>
  </si>
  <si>
    <t>Вид платежу</t>
  </si>
  <si>
    <t>за обслуговування кредитної заборгованості</t>
  </si>
  <si>
    <t>розрахунково-касове обслуговування</t>
  </si>
  <si>
    <t>комісія за надання кредиту</t>
  </si>
  <si>
    <t>Супровідні послуги третіх осіб</t>
  </si>
  <si>
    <t>Супровідні послуги третіх осіб, щодо яких Позичальником мають бути укладені договори</t>
  </si>
  <si>
    <t>Орієнтовні реальна річна процентна ставка та загальна вартість кредиту для споживача</t>
  </si>
  <si>
    <t>Орієнтовна реальна річна процентна ставка, %</t>
  </si>
  <si>
    <t>Орієнтовна загальна вартість кредиту, грн.</t>
  </si>
  <si>
    <t>ГРАФІК ПЛАТЕЖІВ</t>
  </si>
  <si>
    <t>з повернення кредиту та сплати процентів за кредитом</t>
  </si>
  <si>
    <t>Сума платежу з повернення кредиту, грн.</t>
  </si>
  <si>
    <t>Сума платежу зі сплати процентів, грн.</t>
  </si>
  <si>
    <t xml:space="preserve">Вартість супровідних послуг третіх осіб наведена в Таблиці обчислення загальної вартості кредиту для споживача та реальної річної процентної ставки за договором про споживчий кредит. </t>
  </si>
  <si>
    <t>якщо послуга дорінює 0 грн.- рядок з нею видаляєте</t>
  </si>
  <si>
    <t>Розмір платежу, грн.</t>
  </si>
  <si>
    <t xml:space="preserve"> Іпотека, застава, порука, неустойка</t>
  </si>
  <si>
    <t xml:space="preserve">% від суми кредиту, </t>
  </si>
  <si>
    <t xml:space="preserve">так, фіксована сума, </t>
  </si>
  <si>
    <t>Комісія за обслуговування пакету «Фамільний»</t>
  </si>
  <si>
    <t>Платежі за супровідні послуги третіх осіб, обов'язкові для укладення договору/отримання кредиту, грн:</t>
  </si>
  <si>
    <t>3. Послуга страховика (страхування життя Позичальника)</t>
  </si>
  <si>
    <t>надається у вигляді графіку платежів, у якому визначаються кількість, розмір платежів та періодичність їх внесення, за виключенням кредитування у вигляді кредитування рахунку, кредитної лінії, коли графік платежів може не надаватися</t>
  </si>
  <si>
    <t>Подвійна облікова ставка НБУ на суму простроченої заборгованості за кожен день прострочення</t>
  </si>
  <si>
    <t xml:space="preserve"> Процентна ставка, відсотків річних </t>
  </si>
  <si>
    <t>Паспорт споживчого кредиту
Інформація, яка надається споживачу до укладення договору про споживчий кредит
(Стандартизована форма)</t>
  </si>
  <si>
    <t>Необхідність проведення оцінки забезпечення кредиту «за рахунок споживача»</t>
  </si>
  <si>
    <t>Платежі за супровідні послуги кредитодавця, обов'язкові для укладання договору, грн.:</t>
  </si>
  <si>
    <t>2. Послуги оцінювача</t>
  </si>
  <si>
    <t>застосовується діюча ставка за кредитом</t>
  </si>
  <si>
    <t xml:space="preserve"> (сплачується періодично – щорічно по 2500 гривень)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</si>
</sst>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р_._-;\-* #,##0.00_р_._-;_-* &quot;-&quot;??_р_._-;_-@_-"/>
    <numFmt numFmtId="165" formatCode="#,##0.00\ [$грн.-422]"/>
    <numFmt numFmtId="166" formatCode="#,##0.00&quot;р.&quot;;[Red]\-#,##0.00&quot;р.&quot;"/>
    <numFmt numFmtId="167" formatCode="0.0%"/>
  </numFmts>
  <fonts count="47" x14ac:knownFonts="1">
    <font>
      <sz val="11"/>
      <color theme="1"/>
      <name val="Calibri"/>
      <family val="2"/>
      <charset val="204"/>
      <scheme val="minor"/>
    </font>
    <font>
      <b/>
      <sz val="11"/>
      <color theme="1"/>
      <name val="Calibri"/>
      <family val="2"/>
      <charset val="204"/>
      <scheme val="minor"/>
    </font>
    <font>
      <sz val="9"/>
      <color theme="1"/>
      <name val="Times New Roman"/>
      <family val="1"/>
      <charset val="204"/>
    </font>
    <font>
      <sz val="7"/>
      <color theme="1"/>
      <name val="Times New Roman"/>
      <family val="1"/>
      <charset val="204"/>
    </font>
    <font>
      <b/>
      <sz val="9"/>
      <color theme="1"/>
      <name val="Times New Roman"/>
      <family val="1"/>
      <charset val="204"/>
    </font>
    <font>
      <b/>
      <sz val="7"/>
      <color theme="1"/>
      <name val="Times New Roman"/>
      <family val="1"/>
      <charset val="204"/>
    </font>
    <font>
      <sz val="8"/>
      <color theme="1"/>
      <name val="Calibri"/>
      <family val="2"/>
      <charset val="204"/>
      <scheme val="minor"/>
    </font>
    <font>
      <sz val="14"/>
      <name val="Arial Cyr"/>
      <charset val="204"/>
    </font>
    <font>
      <sz val="10"/>
      <color indexed="8"/>
      <name val="Arial"/>
      <family val="2"/>
      <charset val="204"/>
    </font>
    <font>
      <sz val="9"/>
      <color theme="1"/>
      <name val="Calibri"/>
      <family val="2"/>
      <charset val="204"/>
      <scheme val="minor"/>
    </font>
    <font>
      <b/>
      <sz val="9"/>
      <color theme="1"/>
      <name val="Calibri"/>
      <family val="2"/>
      <charset val="204"/>
      <scheme val="minor"/>
    </font>
    <font>
      <sz val="11"/>
      <color theme="0"/>
      <name val="Calibri"/>
      <family val="2"/>
      <charset val="204"/>
      <scheme val="minor"/>
    </font>
    <font>
      <sz val="10"/>
      <color theme="1"/>
      <name val="Calibri"/>
      <family val="2"/>
      <charset val="204"/>
      <scheme val="minor"/>
    </font>
    <font>
      <b/>
      <sz val="11"/>
      <color theme="1"/>
      <name val="Times New Roman"/>
      <family val="1"/>
      <charset val="204"/>
    </font>
    <font>
      <sz val="11"/>
      <color theme="1"/>
      <name val="Times New Roman"/>
      <family val="1"/>
      <charset val="204"/>
    </font>
    <font>
      <b/>
      <sz val="10"/>
      <color indexed="8"/>
      <name val="Arial"/>
      <family val="2"/>
      <charset val="204"/>
    </font>
    <font>
      <b/>
      <sz val="10"/>
      <name val="Arial"/>
      <family val="2"/>
      <charset val="204"/>
    </font>
    <font>
      <sz val="10"/>
      <name val="Arial"/>
      <family val="2"/>
      <charset val="204"/>
    </font>
    <font>
      <b/>
      <sz val="10"/>
      <color rgb="FFFF0000"/>
      <name val="Arial"/>
      <family val="2"/>
      <charset val="204"/>
    </font>
    <font>
      <i/>
      <sz val="10"/>
      <color indexed="8"/>
      <name val="Arial"/>
      <family val="2"/>
      <charset val="204"/>
    </font>
    <font>
      <sz val="10"/>
      <color theme="1"/>
      <name val="Arial"/>
      <family val="2"/>
      <charset val="204"/>
    </font>
    <font>
      <b/>
      <sz val="9"/>
      <color indexed="8"/>
      <name val="Arial"/>
      <family val="2"/>
      <charset val="204"/>
    </font>
    <font>
      <b/>
      <sz val="9"/>
      <name val="Arial"/>
      <family val="2"/>
      <charset val="204"/>
    </font>
    <font>
      <i/>
      <sz val="9"/>
      <color indexed="8"/>
      <name val="Arial"/>
      <family val="2"/>
      <charset val="204"/>
    </font>
    <font>
      <i/>
      <sz val="9"/>
      <name val="Arial Cyr"/>
      <charset val="204"/>
    </font>
    <font>
      <sz val="9"/>
      <color theme="0"/>
      <name val="Calibri"/>
      <family val="2"/>
      <charset val="204"/>
      <scheme val="minor"/>
    </font>
    <font>
      <b/>
      <sz val="10"/>
      <color theme="1"/>
      <name val="Times New Roman"/>
      <family val="1"/>
      <charset val="204"/>
    </font>
    <font>
      <b/>
      <sz val="9"/>
      <color indexed="8"/>
      <name val="Arial Cyr"/>
      <charset val="204"/>
    </font>
    <font>
      <b/>
      <sz val="11"/>
      <color theme="0"/>
      <name val="Calibri"/>
      <family val="2"/>
      <charset val="204"/>
      <scheme val="minor"/>
    </font>
    <font>
      <sz val="9"/>
      <name val="Times New Roman"/>
      <family val="1"/>
      <charset val="204"/>
    </font>
    <font>
      <b/>
      <sz val="9"/>
      <name val="Times New Roman"/>
      <family val="1"/>
      <charset val="204"/>
    </font>
    <font>
      <sz val="11"/>
      <name val="Calibri"/>
      <family val="2"/>
      <charset val="204"/>
      <scheme val="minor"/>
    </font>
    <font>
      <b/>
      <sz val="8"/>
      <color indexed="81"/>
      <name val="Tahoma"/>
      <family val="2"/>
      <charset val="204"/>
    </font>
    <font>
      <sz val="8"/>
      <color indexed="81"/>
      <name val="Tahoma"/>
      <family val="2"/>
      <charset val="204"/>
    </font>
    <font>
      <sz val="10"/>
      <color theme="0"/>
      <name val="Arial"/>
      <family val="2"/>
      <charset val="204"/>
    </font>
    <font>
      <sz val="11"/>
      <color theme="1"/>
      <name val="Calibri"/>
      <family val="2"/>
      <charset val="204"/>
      <scheme val="minor"/>
    </font>
    <font>
      <b/>
      <sz val="11"/>
      <name val="Calibri"/>
      <family val="2"/>
      <charset val="204"/>
      <scheme val="minor"/>
    </font>
    <font>
      <sz val="11"/>
      <name val="Calibri"/>
      <family val="2"/>
      <charset val="204"/>
    </font>
    <font>
      <sz val="12"/>
      <name val="Calibri"/>
      <family val="2"/>
      <charset val="204"/>
    </font>
    <font>
      <b/>
      <sz val="11"/>
      <color indexed="8"/>
      <name val="Calibri"/>
      <family val="2"/>
      <charset val="204"/>
    </font>
    <font>
      <b/>
      <sz val="11"/>
      <color rgb="FFFF0000"/>
      <name val="Calibri"/>
      <family val="2"/>
      <charset val="204"/>
      <scheme val="minor"/>
    </font>
    <font>
      <sz val="9"/>
      <color theme="0"/>
      <name val="Times New Roman"/>
      <family val="1"/>
      <charset val="204"/>
    </font>
    <font>
      <sz val="11"/>
      <color theme="1"/>
      <name val="Arial"/>
      <family val="2"/>
      <charset val="204"/>
    </font>
    <font>
      <i/>
      <sz val="11"/>
      <color rgb="FF00B0F0"/>
      <name val="Arial"/>
      <family val="2"/>
      <charset val="204"/>
    </font>
    <font>
      <b/>
      <sz val="11"/>
      <color theme="1"/>
      <name val="Arial"/>
      <family val="2"/>
      <charset val="204"/>
    </font>
    <font>
      <b/>
      <sz val="11"/>
      <color rgb="FFFF0000"/>
      <name val="Arial"/>
      <family val="2"/>
      <charset val="204"/>
    </font>
    <font>
      <b/>
      <sz val="16"/>
      <color theme="1"/>
      <name val="Arial"/>
      <family val="2"/>
      <charset val="204"/>
    </font>
  </fonts>
  <fills count="11">
    <fill>
      <patternFill patternType="none"/>
    </fill>
    <fill>
      <patternFill patternType="gray125"/>
    </fill>
    <fill>
      <patternFill patternType="solid">
        <fgColor theme="0"/>
        <bgColor indexed="64"/>
      </patternFill>
    </fill>
    <fill>
      <patternFill patternType="solid">
        <fgColor rgb="FFF68E38"/>
        <bgColor indexed="64"/>
      </patternFill>
    </fill>
    <fill>
      <patternFill patternType="solid">
        <fgColor theme="0" tint="-0.249977111117893"/>
        <bgColor indexed="31"/>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s>
  <borders count="8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8"/>
      </left>
      <right style="thin">
        <color indexed="8"/>
      </right>
      <top/>
      <bottom/>
      <diagonal/>
    </border>
    <border>
      <left style="thin">
        <color indexed="8"/>
      </left>
      <right/>
      <top/>
      <bottom/>
      <diagonal/>
    </border>
    <border>
      <left style="thin">
        <color indexed="8"/>
      </left>
      <right style="thin">
        <color indexed="8"/>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top/>
      <bottom style="thin">
        <color theme="0"/>
      </bottom>
      <diagonal/>
    </border>
    <border>
      <left style="thin">
        <color theme="0"/>
      </left>
      <right style="thin">
        <color theme="0"/>
      </right>
      <top/>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top/>
      <bottom/>
      <diagonal/>
    </border>
    <border>
      <left style="medium">
        <color indexed="64"/>
      </left>
      <right style="thin">
        <color theme="0"/>
      </right>
      <top style="thin">
        <color theme="0"/>
      </top>
      <bottom/>
      <diagonal/>
    </border>
    <border>
      <left/>
      <right style="thin">
        <color theme="0"/>
      </right>
      <top/>
      <bottom/>
      <diagonal/>
    </border>
    <border>
      <left style="thin">
        <color theme="4"/>
      </left>
      <right/>
      <top style="thin">
        <color theme="4"/>
      </top>
      <bottom style="thin">
        <color theme="4"/>
      </bottom>
      <diagonal/>
    </border>
    <border>
      <left/>
      <right/>
      <top style="thin">
        <color indexed="64"/>
      </top>
      <bottom/>
      <diagonal/>
    </border>
    <border>
      <left style="thin">
        <color theme="4"/>
      </left>
      <right style="thin">
        <color theme="4"/>
      </right>
      <top style="thin">
        <color theme="4"/>
      </top>
      <bottom style="thin">
        <color theme="4"/>
      </bottom>
      <diagonal/>
    </border>
    <border>
      <left/>
      <right/>
      <top style="thin">
        <color theme="4"/>
      </top>
      <bottom style="thin">
        <color indexed="64"/>
      </bottom>
      <diagonal/>
    </border>
    <border>
      <left style="thin">
        <color theme="4"/>
      </left>
      <right style="thin">
        <color indexed="64"/>
      </right>
      <top/>
      <bottom style="thin">
        <color indexed="64"/>
      </bottom>
      <diagonal/>
    </border>
    <border>
      <left/>
      <right style="thin">
        <color theme="4"/>
      </right>
      <top style="thin">
        <color indexed="64"/>
      </top>
      <bottom style="thin">
        <color indexed="64"/>
      </bottom>
      <diagonal/>
    </border>
    <border>
      <left style="thin">
        <color theme="4"/>
      </left>
      <right style="thin">
        <color indexed="64"/>
      </right>
      <top style="thin">
        <color indexed="64"/>
      </top>
      <bottom style="thin">
        <color indexed="64"/>
      </bottom>
      <diagonal/>
    </border>
    <border>
      <left style="thin">
        <color theme="4"/>
      </left>
      <right style="thin">
        <color indexed="64"/>
      </right>
      <top style="thin">
        <color indexed="64"/>
      </top>
      <bottom/>
      <diagonal/>
    </border>
    <border>
      <left/>
      <right style="thin">
        <color theme="4"/>
      </right>
      <top style="thin">
        <color indexed="64"/>
      </top>
      <bottom/>
      <diagonal/>
    </border>
    <border>
      <left/>
      <right style="thin">
        <color theme="4"/>
      </right>
      <top style="thin">
        <color theme="4"/>
      </top>
      <bottom style="thin">
        <color theme="4"/>
      </bottom>
      <diagonal/>
    </border>
    <border>
      <left/>
      <right style="thin">
        <color theme="4"/>
      </right>
      <top/>
      <bottom/>
      <diagonal/>
    </border>
    <border>
      <left style="thin">
        <color theme="4"/>
      </left>
      <right/>
      <top/>
      <bottom/>
      <diagonal/>
    </border>
    <border>
      <left/>
      <right/>
      <top style="thin">
        <color indexed="64"/>
      </top>
      <bottom style="thin">
        <color theme="4"/>
      </bottom>
      <diagonal/>
    </border>
    <border>
      <left style="thin">
        <color theme="4"/>
      </left>
      <right style="thin">
        <color theme="4"/>
      </right>
      <top/>
      <bottom style="thin">
        <color theme="4"/>
      </bottom>
      <diagonal/>
    </border>
    <border>
      <left/>
      <right/>
      <top style="thin">
        <color theme="4"/>
      </top>
      <bottom style="thin">
        <color theme="4"/>
      </bottom>
      <diagonal/>
    </border>
    <border>
      <left/>
      <right style="thin">
        <color theme="4"/>
      </right>
      <top/>
      <bottom style="thin">
        <color indexed="64"/>
      </bottom>
      <diagonal/>
    </border>
    <border>
      <left/>
      <right/>
      <top/>
      <bottom style="thin">
        <color theme="4"/>
      </bottom>
      <diagonal/>
    </border>
    <border>
      <left/>
      <right style="thin">
        <color theme="4"/>
      </right>
      <top/>
      <bottom style="thin">
        <color theme="4"/>
      </bottom>
      <diagonal/>
    </border>
    <border>
      <left style="thin">
        <color theme="4"/>
      </left>
      <right/>
      <top/>
      <bottom style="thin">
        <color theme="4"/>
      </bottom>
      <diagonal/>
    </border>
    <border>
      <left style="thin">
        <color indexed="64"/>
      </left>
      <right style="thin">
        <color indexed="64"/>
      </right>
      <top style="thin">
        <color theme="4"/>
      </top>
      <bottom style="thin">
        <color theme="4"/>
      </bottom>
      <diagonal/>
    </border>
    <border>
      <left style="thin">
        <color indexed="64"/>
      </left>
      <right/>
      <top style="thin">
        <color theme="4"/>
      </top>
      <bottom/>
      <diagonal/>
    </border>
    <border>
      <left style="thin">
        <color indexed="64"/>
      </left>
      <right style="thin">
        <color indexed="64"/>
      </right>
      <top style="thin">
        <color theme="4"/>
      </top>
      <bottom/>
      <diagonal/>
    </border>
    <border>
      <left/>
      <right/>
      <top style="thin">
        <color theme="4"/>
      </top>
      <bottom/>
      <diagonal/>
    </border>
    <border>
      <left style="thin">
        <color theme="4"/>
      </left>
      <right style="thin">
        <color theme="0"/>
      </right>
      <top/>
      <bottom/>
      <diagonal/>
    </border>
    <border>
      <left style="thin">
        <color theme="0"/>
      </left>
      <right/>
      <top style="thin">
        <color theme="4"/>
      </top>
      <bottom style="thin">
        <color theme="0"/>
      </bottom>
      <diagonal/>
    </border>
    <border>
      <left/>
      <right/>
      <top style="thin">
        <color theme="4"/>
      </top>
      <bottom style="thin">
        <color theme="0"/>
      </bottom>
      <diagonal/>
    </border>
    <border>
      <left/>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4"/>
      </left>
      <right/>
      <top style="thin">
        <color theme="4"/>
      </top>
      <bottom/>
      <diagonal/>
    </border>
    <border>
      <left/>
      <right style="thin">
        <color theme="4"/>
      </right>
      <top style="thin">
        <color theme="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theme="4"/>
      </bottom>
      <diagonal/>
    </border>
    <border>
      <left style="thin">
        <color theme="4"/>
      </left>
      <right/>
      <top style="thin">
        <color theme="4"/>
      </top>
      <bottom style="thin">
        <color theme="3" tint="0.39997558519241921"/>
      </bottom>
      <diagonal/>
    </border>
    <border>
      <left/>
      <right/>
      <top style="thin">
        <color theme="4"/>
      </top>
      <bottom style="thin">
        <color theme="3" tint="0.39997558519241921"/>
      </bottom>
      <diagonal/>
    </border>
    <border>
      <left style="thin">
        <color theme="3" tint="0.39997558519241921"/>
      </left>
      <right style="thin">
        <color theme="4"/>
      </right>
      <top style="thin">
        <color theme="4"/>
      </top>
      <bottom style="thin">
        <color theme="4"/>
      </bottom>
      <diagonal/>
    </border>
    <border>
      <left/>
      <right/>
      <top/>
      <bottom style="thin">
        <color theme="3" tint="0.39997558519241921"/>
      </bottom>
      <diagonal/>
    </border>
    <border>
      <left style="thin">
        <color theme="3" tint="0.39997558519241921"/>
      </left>
      <right/>
      <top/>
      <bottom style="thin">
        <color theme="3" tint="0.39997558519241921"/>
      </bottom>
      <diagonal/>
    </border>
    <border>
      <left style="thin">
        <color indexed="64"/>
      </left>
      <right/>
      <top style="thin">
        <color indexed="64"/>
      </top>
      <bottom style="thin">
        <color theme="4"/>
      </bottom>
      <diagonal/>
    </border>
    <border>
      <left style="thin">
        <color indexed="64"/>
      </left>
      <right/>
      <top/>
      <bottom style="thin">
        <color theme="3" tint="0.39997558519241921"/>
      </bottom>
      <diagonal/>
    </border>
    <border>
      <left style="thin">
        <color indexed="64"/>
      </left>
      <right/>
      <top/>
      <bottom/>
      <diagonal/>
    </border>
    <border>
      <left style="thin">
        <color indexed="64"/>
      </left>
      <right/>
      <top style="thin">
        <color theme="4"/>
      </top>
      <bottom style="thin">
        <color theme="4"/>
      </bottom>
      <diagonal/>
    </border>
    <border>
      <left style="thin">
        <color indexed="64"/>
      </left>
      <right/>
      <top style="thin">
        <color theme="4"/>
      </top>
      <bottom style="thin">
        <color theme="3" tint="0.399975585192419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4">
    <xf numFmtId="0" fontId="0" fillId="0" borderId="0"/>
    <xf numFmtId="0" fontId="7" fillId="0" borderId="0"/>
    <xf numFmtId="9" fontId="7" fillId="0" borderId="0" applyFont="0" applyFill="0" applyBorder="0" applyAlignment="0" applyProtection="0"/>
    <xf numFmtId="164" fontId="7" fillId="0" borderId="0" applyFont="0" applyFill="0" applyBorder="0" applyAlignment="0" applyProtection="0"/>
  </cellStyleXfs>
  <cellXfs count="435">
    <xf numFmtId="0" fontId="0" fillId="0" borderId="0" xfId="0"/>
    <xf numFmtId="0" fontId="2" fillId="0" borderId="3"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4" fillId="0" borderId="3" xfId="0" applyFont="1" applyBorder="1" applyAlignment="1">
      <alignment horizontal="center" vertical="center" wrapText="1"/>
    </xf>
    <xf numFmtId="0" fontId="6" fillId="0" borderId="0" xfId="0" applyFont="1" applyAlignment="1">
      <alignment vertical="center"/>
    </xf>
    <xf numFmtId="0" fontId="9" fillId="0" borderId="0" xfId="0" applyFont="1" applyAlignment="1" applyProtection="1">
      <alignment horizontal="left" wrapText="1"/>
      <protection hidden="1"/>
    </xf>
    <xf numFmtId="0" fontId="9" fillId="0" borderId="0" xfId="0" applyFont="1" applyAlignment="1" applyProtection="1">
      <alignment wrapText="1"/>
      <protection hidden="1"/>
    </xf>
    <xf numFmtId="0" fontId="1" fillId="2" borderId="0" xfId="0" applyFont="1" applyFill="1"/>
    <xf numFmtId="0" fontId="0" fillId="2" borderId="0" xfId="0" applyFill="1"/>
    <xf numFmtId="0" fontId="1" fillId="2" borderId="0" xfId="0" applyFont="1" applyFill="1" applyAlignment="1">
      <alignment wrapText="1"/>
    </xf>
    <xf numFmtId="0" fontId="8" fillId="2" borderId="0" xfId="1" applyFont="1" applyFill="1" applyAlignment="1" applyProtection="1">
      <alignment horizontal="left"/>
      <protection locked="0" hidden="1"/>
    </xf>
    <xf numFmtId="0" fontId="9" fillId="2" borderId="0" xfId="0" applyFont="1" applyFill="1" applyAlignment="1" applyProtection="1">
      <alignment wrapText="1"/>
      <protection hidden="1"/>
    </xf>
    <xf numFmtId="0" fontId="9" fillId="2" borderId="0" xfId="0" applyFont="1" applyFill="1" applyAlignment="1" applyProtection="1">
      <alignment horizontal="left" wrapText="1"/>
      <protection hidden="1"/>
    </xf>
    <xf numFmtId="0" fontId="2" fillId="0" borderId="3" xfId="0" applyFont="1" applyBorder="1" applyAlignment="1">
      <alignment vertical="center" wrapText="1"/>
    </xf>
    <xf numFmtId="1" fontId="0" fillId="0" borderId="0" xfId="0" applyNumberFormat="1" applyAlignment="1">
      <alignment horizontal="center"/>
    </xf>
    <xf numFmtId="1" fontId="0" fillId="0" borderId="0" xfId="0" applyNumberFormat="1"/>
    <xf numFmtId="10" fontId="11" fillId="2" borderId="0" xfId="0" applyNumberFormat="1" applyFont="1" applyFill="1"/>
    <xf numFmtId="0" fontId="9" fillId="0" borderId="0" xfId="0" applyFont="1" applyAlignment="1" applyProtection="1">
      <alignment horizontal="center" wrapText="1"/>
      <protection hidden="1"/>
    </xf>
    <xf numFmtId="14" fontId="0" fillId="0" borderId="0" xfId="0" applyNumberFormat="1" applyAlignment="1">
      <alignment horizontal="center"/>
    </xf>
    <xf numFmtId="4" fontId="0" fillId="0" borderId="0" xfId="0" applyNumberFormat="1" applyAlignment="1">
      <alignment horizontal="center"/>
    </xf>
    <xf numFmtId="10" fontId="9" fillId="0" borderId="0" xfId="0" applyNumberFormat="1" applyFont="1" applyAlignment="1" applyProtection="1">
      <alignment horizontal="center" wrapText="1"/>
      <protection hidden="1"/>
    </xf>
    <xf numFmtId="4" fontId="9" fillId="0" borderId="0" xfId="0" applyNumberFormat="1" applyFont="1" applyAlignment="1" applyProtection="1">
      <alignment horizontal="center" wrapText="1"/>
      <protection hidden="1"/>
    </xf>
    <xf numFmtId="0" fontId="0" fillId="0" borderId="0" xfId="0" applyAlignment="1">
      <alignment horizontal="center"/>
    </xf>
    <xf numFmtId="10" fontId="0" fillId="0" borderId="0" xfId="0" applyNumberFormat="1" applyAlignment="1">
      <alignment horizontal="center"/>
    </xf>
    <xf numFmtId="0" fontId="13" fillId="0" borderId="0" xfId="0" applyFont="1"/>
    <xf numFmtId="0" fontId="16" fillId="0" borderId="0" xfId="1" applyFont="1" applyAlignment="1" applyProtection="1">
      <alignment horizontal="right"/>
      <protection hidden="1"/>
    </xf>
    <xf numFmtId="0" fontId="8" fillId="0" borderId="0" xfId="1" applyFont="1" applyAlignment="1" applyProtection="1">
      <alignment vertical="center" wrapText="1"/>
      <protection locked="0" hidden="1"/>
    </xf>
    <xf numFmtId="166" fontId="8" fillId="0" borderId="0" xfId="1" applyNumberFormat="1" applyFont="1" applyProtection="1">
      <protection hidden="1"/>
    </xf>
    <xf numFmtId="0" fontId="18" fillId="2" borderId="11" xfId="1" applyFont="1" applyFill="1" applyBorder="1" applyAlignment="1" applyProtection="1">
      <alignment horizontal="center" vertical="center" wrapText="1"/>
      <protection hidden="1"/>
    </xf>
    <xf numFmtId="0" fontId="18" fillId="2" borderId="11" xfId="1" applyFont="1" applyFill="1" applyBorder="1" applyAlignment="1" applyProtection="1">
      <alignment horizontal="center" vertical="center"/>
      <protection hidden="1"/>
    </xf>
    <xf numFmtId="0" fontId="15" fillId="0" borderId="0" xfId="1" applyFont="1" applyAlignment="1" applyProtection="1">
      <alignment horizontal="right"/>
      <protection hidden="1"/>
    </xf>
    <xf numFmtId="0" fontId="8" fillId="0" borderId="0" xfId="1" applyFont="1" applyProtection="1">
      <protection hidden="1"/>
    </xf>
    <xf numFmtId="0" fontId="19" fillId="0" borderId="0" xfId="1" applyFont="1" applyProtection="1">
      <protection hidden="1"/>
    </xf>
    <xf numFmtId="0" fontId="15" fillId="0" borderId="0" xfId="1" applyFont="1" applyProtection="1">
      <protection hidden="1"/>
    </xf>
    <xf numFmtId="0" fontId="20" fillId="0" borderId="0" xfId="0" applyFont="1" applyAlignment="1" applyProtection="1">
      <alignment horizontal="left" wrapText="1"/>
      <protection hidden="1"/>
    </xf>
    <xf numFmtId="0" fontId="17" fillId="0" borderId="0" xfId="1" applyFont="1" applyAlignment="1" applyProtection="1">
      <alignment horizontal="right"/>
      <protection hidden="1"/>
    </xf>
    <xf numFmtId="0" fontId="8" fillId="0" borderId="17" xfId="1" applyFont="1" applyBorder="1" applyAlignment="1" applyProtection="1">
      <alignment horizontal="center" wrapText="1"/>
      <protection hidden="1"/>
    </xf>
    <xf numFmtId="0" fontId="8" fillId="0" borderId="15" xfId="1" applyFont="1" applyBorder="1" applyAlignment="1" applyProtection="1">
      <alignment horizontal="center" wrapText="1"/>
      <protection hidden="1"/>
    </xf>
    <xf numFmtId="0" fontId="15" fillId="0" borderId="15" xfId="1" applyFont="1" applyBorder="1" applyAlignment="1" applyProtection="1">
      <alignment horizontal="center" wrapText="1"/>
      <protection hidden="1"/>
    </xf>
    <xf numFmtId="0" fontId="23" fillId="2" borderId="11" xfId="1" applyFont="1" applyFill="1" applyBorder="1" applyProtection="1">
      <protection hidden="1"/>
    </xf>
    <xf numFmtId="0" fontId="24" fillId="2" borderId="11" xfId="1" applyFont="1" applyFill="1" applyBorder="1" applyAlignment="1" applyProtection="1">
      <alignment horizontal="center"/>
      <protection hidden="1"/>
    </xf>
    <xf numFmtId="14" fontId="0" fillId="0" borderId="11" xfId="0" applyNumberFormat="1" applyBorder="1" applyAlignment="1">
      <alignment horizontal="center"/>
    </xf>
    <xf numFmtId="4" fontId="11" fillId="0" borderId="0" xfId="0" applyNumberFormat="1" applyFont="1" applyAlignment="1">
      <alignment horizontal="center"/>
    </xf>
    <xf numFmtId="167" fontId="0" fillId="0" borderId="0" xfId="0" applyNumberFormat="1" applyAlignment="1">
      <alignment horizontal="center"/>
    </xf>
    <xf numFmtId="14" fontId="0" fillId="0" borderId="0" xfId="0" applyNumberFormat="1"/>
    <xf numFmtId="14" fontId="0" fillId="2" borderId="21" xfId="0" applyNumberFormat="1" applyFill="1" applyBorder="1"/>
    <xf numFmtId="4" fontId="0" fillId="0" borderId="0" xfId="0" applyNumberFormat="1" applyProtection="1">
      <protection locked="0"/>
    </xf>
    <xf numFmtId="0" fontId="0" fillId="2" borderId="22" xfId="0" applyFill="1" applyBorder="1"/>
    <xf numFmtId="4" fontId="11" fillId="2" borderId="12" xfId="0" applyNumberFormat="1" applyFont="1" applyFill="1" applyBorder="1"/>
    <xf numFmtId="14" fontId="0" fillId="2" borderId="23" xfId="0" applyNumberFormat="1" applyFill="1" applyBorder="1"/>
    <xf numFmtId="0" fontId="11" fillId="2" borderId="0" xfId="0" applyFont="1" applyFill="1"/>
    <xf numFmtId="10" fontId="0" fillId="0" borderId="0" xfId="0" applyNumberFormat="1" applyProtection="1">
      <protection locked="0"/>
    </xf>
    <xf numFmtId="4" fontId="0" fillId="0" borderId="0" xfId="0" applyNumberFormat="1"/>
    <xf numFmtId="0" fontId="9" fillId="2" borderId="25" xfId="0" applyFont="1" applyFill="1" applyBorder="1" applyAlignment="1" applyProtection="1">
      <alignment horizontal="left" wrapText="1"/>
      <protection hidden="1"/>
    </xf>
    <xf numFmtId="4" fontId="0" fillId="0" borderId="14" xfId="0" applyNumberFormat="1" applyBorder="1" applyProtection="1">
      <protection locked="0"/>
    </xf>
    <xf numFmtId="0" fontId="9" fillId="2" borderId="27" xfId="0" applyFont="1" applyFill="1" applyBorder="1" applyAlignment="1" applyProtection="1">
      <alignment horizontal="left" wrapText="1"/>
      <protection hidden="1"/>
    </xf>
    <xf numFmtId="0" fontId="0" fillId="0" borderId="14" xfId="0" applyBorder="1" applyAlignment="1" applyProtection="1">
      <alignment horizontal="left" wrapText="1"/>
      <protection hidden="1"/>
    </xf>
    <xf numFmtId="0" fontId="0" fillId="2" borderId="25" xfId="0" applyFill="1" applyBorder="1"/>
    <xf numFmtId="0" fontId="12" fillId="2" borderId="21" xfId="0" applyFont="1" applyFill="1" applyBorder="1"/>
    <xf numFmtId="0" fontId="0" fillId="2" borderId="31" xfId="0" applyFill="1" applyBorder="1"/>
    <xf numFmtId="10" fontId="11" fillId="2" borderId="13" xfId="0" applyNumberFormat="1" applyFont="1" applyFill="1" applyBorder="1"/>
    <xf numFmtId="4" fontId="11" fillId="2" borderId="17" xfId="0" applyNumberFormat="1" applyFont="1" applyFill="1" applyBorder="1"/>
    <xf numFmtId="4" fontId="11" fillId="2" borderId="32" xfId="0" applyNumberFormat="1" applyFont="1" applyFill="1" applyBorder="1"/>
    <xf numFmtId="4" fontId="11" fillId="2" borderId="0" xfId="0" applyNumberFormat="1" applyFont="1" applyFill="1"/>
    <xf numFmtId="0" fontId="0" fillId="2" borderId="35" xfId="0" applyFill="1" applyBorder="1"/>
    <xf numFmtId="4" fontId="0" fillId="2" borderId="37" xfId="0" applyNumberFormat="1" applyFill="1" applyBorder="1" applyProtection="1">
      <protection locked="0"/>
    </xf>
    <xf numFmtId="10" fontId="0" fillId="2" borderId="40" xfId="0" applyNumberFormat="1" applyFill="1" applyBorder="1"/>
    <xf numFmtId="4" fontId="0" fillId="2" borderId="41" xfId="0" applyNumberFormat="1" applyFill="1" applyBorder="1" applyProtection="1">
      <protection locked="0"/>
    </xf>
    <xf numFmtId="0" fontId="0" fillId="2" borderId="42" xfId="0" applyFill="1" applyBorder="1" applyProtection="1">
      <protection locked="0"/>
    </xf>
    <xf numFmtId="0" fontId="0" fillId="2" borderId="43" xfId="0" applyFill="1" applyBorder="1"/>
    <xf numFmtId="0" fontId="0" fillId="2" borderId="42" xfId="0" applyFill="1" applyBorder="1"/>
    <xf numFmtId="0" fontId="0" fillId="2" borderId="44" xfId="0" applyFill="1" applyBorder="1"/>
    <xf numFmtId="0" fontId="0" fillId="2" borderId="33" xfId="0" applyFill="1" applyBorder="1"/>
    <xf numFmtId="0" fontId="0" fillId="2" borderId="15" xfId="0" applyFill="1" applyBorder="1"/>
    <xf numFmtId="0" fontId="0" fillId="2" borderId="46" xfId="0" applyFill="1" applyBorder="1"/>
    <xf numFmtId="10" fontId="11" fillId="2" borderId="32" xfId="0" applyNumberFormat="1" applyFont="1" applyFill="1" applyBorder="1" applyProtection="1">
      <protection locked="0"/>
    </xf>
    <xf numFmtId="10" fontId="0" fillId="2" borderId="41" xfId="0" applyNumberFormat="1" applyFill="1" applyBorder="1" applyProtection="1">
      <protection locked="0"/>
    </xf>
    <xf numFmtId="0" fontId="0" fillId="2" borderId="48" xfId="0" applyFill="1" applyBorder="1"/>
    <xf numFmtId="10" fontId="0" fillId="2" borderId="49" xfId="0" applyNumberFormat="1" applyFill="1" applyBorder="1"/>
    <xf numFmtId="0" fontId="9" fillId="5" borderId="52" xfId="0" applyFont="1" applyFill="1" applyBorder="1" applyAlignment="1" applyProtection="1">
      <alignment horizontal="left" wrapText="1"/>
      <protection hidden="1"/>
    </xf>
    <xf numFmtId="4" fontId="0" fillId="2" borderId="53" xfId="0" applyNumberFormat="1" applyFill="1" applyBorder="1" applyProtection="1">
      <protection locked="0"/>
    </xf>
    <xf numFmtId="0" fontId="0" fillId="5" borderId="51" xfId="0" applyFill="1" applyBorder="1" applyAlignment="1" applyProtection="1">
      <alignment horizontal="left" wrapText="1"/>
      <protection hidden="1"/>
    </xf>
    <xf numFmtId="0" fontId="0" fillId="2" borderId="43" xfId="0" applyFill="1" applyBorder="1" applyProtection="1">
      <protection locked="0"/>
    </xf>
    <xf numFmtId="14" fontId="11" fillId="2" borderId="32" xfId="0" applyNumberFormat="1" applyFont="1" applyFill="1" applyBorder="1"/>
    <xf numFmtId="4" fontId="0" fillId="2" borderId="47" xfId="0" applyNumberFormat="1" applyFill="1" applyBorder="1" applyProtection="1">
      <protection locked="0"/>
    </xf>
    <xf numFmtId="14" fontId="0" fillId="2" borderId="41" xfId="0" applyNumberFormat="1" applyFill="1" applyBorder="1" applyProtection="1">
      <protection locked="0"/>
    </xf>
    <xf numFmtId="0" fontId="10" fillId="5" borderId="30" xfId="0" applyFont="1" applyFill="1" applyBorder="1" applyAlignment="1" applyProtection="1">
      <alignment horizontal="center" vertical="center" wrapText="1"/>
      <protection hidden="1"/>
    </xf>
    <xf numFmtId="0" fontId="10" fillId="5" borderId="24" xfId="0" applyFont="1" applyFill="1" applyBorder="1" applyAlignment="1" applyProtection="1">
      <alignment horizontal="center" vertical="center" wrapText="1"/>
      <protection hidden="1"/>
    </xf>
    <xf numFmtId="0" fontId="10" fillId="5" borderId="28" xfId="0" applyFont="1" applyFill="1" applyBorder="1" applyAlignment="1" applyProtection="1">
      <alignment horizontal="center" vertical="center" wrapText="1"/>
      <protection hidden="1"/>
    </xf>
    <xf numFmtId="0" fontId="10" fillId="5" borderId="29" xfId="0" applyFont="1" applyFill="1" applyBorder="1" applyAlignment="1" applyProtection="1">
      <alignment horizontal="center" vertical="center" wrapText="1"/>
      <protection hidden="1"/>
    </xf>
    <xf numFmtId="0" fontId="10" fillId="5" borderId="26" xfId="0" applyFont="1" applyFill="1" applyBorder="1" applyAlignment="1" applyProtection="1">
      <alignment horizontal="center" vertical="center" wrapText="1"/>
      <protection hidden="1"/>
    </xf>
    <xf numFmtId="0" fontId="10" fillId="5" borderId="0" xfId="0" applyFont="1" applyFill="1" applyAlignment="1" applyProtection="1">
      <alignment horizontal="center" vertical="center" wrapText="1"/>
      <protection hidden="1"/>
    </xf>
    <xf numFmtId="0" fontId="0" fillId="0" borderId="50" xfId="0" applyBorder="1"/>
    <xf numFmtId="0" fontId="0" fillId="0" borderId="36" xfId="0" applyBorder="1"/>
    <xf numFmtId="0" fontId="0" fillId="0" borderId="38" xfId="0" applyBorder="1"/>
    <xf numFmtId="0" fontId="0" fillId="0" borderId="39" xfId="0" applyBorder="1"/>
    <xf numFmtId="0" fontId="0" fillId="0" borderId="32" xfId="0" applyBorder="1"/>
    <xf numFmtId="0" fontId="0" fillId="0" borderId="45" xfId="0" applyBorder="1"/>
    <xf numFmtId="0" fontId="0" fillId="0" borderId="34" xfId="0" applyBorder="1"/>
    <xf numFmtId="0" fontId="0" fillId="0" borderId="43" xfId="0" applyBorder="1"/>
    <xf numFmtId="0" fontId="9" fillId="2" borderId="55" xfId="0" applyFont="1" applyFill="1" applyBorder="1" applyAlignment="1" applyProtection="1">
      <alignment wrapText="1"/>
      <protection hidden="1"/>
    </xf>
    <xf numFmtId="0" fontId="11" fillId="2" borderId="56" xfId="0" applyFont="1" applyFill="1" applyBorder="1" applyAlignment="1" applyProtection="1">
      <alignment horizontal="left" wrapText="1"/>
      <protection hidden="1"/>
    </xf>
    <xf numFmtId="0" fontId="25" fillId="2" borderId="57" xfId="0" applyFont="1" applyFill="1" applyBorder="1" applyAlignment="1" applyProtection="1">
      <alignment horizontal="left" wrapText="1"/>
      <protection hidden="1"/>
    </xf>
    <xf numFmtId="0" fontId="25" fillId="2" borderId="59" xfId="0" applyFont="1" applyFill="1" applyBorder="1" applyAlignment="1" applyProtection="1">
      <alignment wrapText="1"/>
      <protection hidden="1"/>
    </xf>
    <xf numFmtId="0" fontId="9" fillId="2" borderId="58" xfId="0" applyFont="1" applyFill="1" applyBorder="1" applyAlignment="1" applyProtection="1">
      <alignment horizontal="left" wrapText="1"/>
      <protection hidden="1"/>
    </xf>
    <xf numFmtId="0" fontId="11" fillId="2" borderId="60" xfId="0" applyFont="1" applyFill="1" applyBorder="1" applyAlignment="1" applyProtection="1">
      <alignment horizontal="left" wrapText="1"/>
      <protection hidden="1"/>
    </xf>
    <xf numFmtId="4" fontId="11" fillId="2" borderId="59" xfId="0" applyNumberFormat="1" applyFont="1" applyFill="1" applyBorder="1"/>
    <xf numFmtId="0" fontId="9" fillId="2" borderId="29" xfId="0" applyFont="1" applyFill="1" applyBorder="1" applyAlignment="1" applyProtection="1">
      <alignment wrapText="1"/>
      <protection hidden="1"/>
    </xf>
    <xf numFmtId="4" fontId="11" fillId="2" borderId="57" xfId="0" applyNumberFormat="1" applyFont="1" applyFill="1" applyBorder="1" applyProtection="1">
      <protection locked="0"/>
    </xf>
    <xf numFmtId="10" fontId="18" fillId="2" borderId="11" xfId="1" applyNumberFormat="1" applyFont="1" applyFill="1" applyBorder="1" applyAlignment="1" applyProtection="1">
      <alignment horizontal="center" vertical="center" wrapText="1"/>
      <protection hidden="1"/>
    </xf>
    <xf numFmtId="10" fontId="18" fillId="2" borderId="11" xfId="1" applyNumberFormat="1" applyFont="1" applyFill="1" applyBorder="1" applyAlignment="1" applyProtection="1">
      <alignment horizontal="center" vertical="center"/>
      <protection hidden="1"/>
    </xf>
    <xf numFmtId="0" fontId="2" fillId="0" borderId="4" xfId="0" applyFont="1" applyBorder="1" applyAlignment="1">
      <alignment horizontal="justify" vertical="center" wrapText="1"/>
    </xf>
    <xf numFmtId="0" fontId="2" fillId="0" borderId="8" xfId="0" applyFont="1" applyBorder="1" applyAlignment="1">
      <alignment horizontal="center" vertical="center" wrapText="1"/>
    </xf>
    <xf numFmtId="0" fontId="1" fillId="2" borderId="0" xfId="0" applyFont="1" applyFill="1" applyAlignment="1">
      <alignment horizontal="left"/>
    </xf>
    <xf numFmtId="0" fontId="0" fillId="3" borderId="0" xfId="0" applyFill="1" applyAlignment="1">
      <alignment horizontal="left"/>
    </xf>
    <xf numFmtId="0" fontId="2" fillId="0" borderId="64" xfId="0" applyFont="1" applyBorder="1" applyAlignment="1">
      <alignment horizontal="justify" vertical="center" wrapText="1"/>
    </xf>
    <xf numFmtId="10" fontId="2" fillId="0" borderId="65" xfId="0" applyNumberFormat="1" applyFont="1" applyBorder="1" applyAlignment="1">
      <alignment horizontal="right" vertical="center" wrapText="1"/>
    </xf>
    <xf numFmtId="0" fontId="2" fillId="0" borderId="64" xfId="0" applyFont="1" applyBorder="1" applyAlignment="1">
      <alignment horizontal="center" vertical="center" wrapText="1"/>
    </xf>
    <xf numFmtId="10" fontId="2" fillId="0" borderId="2" xfId="0" applyNumberFormat="1" applyFont="1" applyBorder="1" applyAlignment="1">
      <alignment horizontal="left" vertical="center" wrapText="1"/>
    </xf>
    <xf numFmtId="10" fontId="0" fillId="0" borderId="69" xfId="0" applyNumberFormat="1" applyBorder="1" applyProtection="1">
      <protection locked="0"/>
    </xf>
    <xf numFmtId="4" fontId="0" fillId="0" borderId="69" xfId="0" applyNumberFormat="1" applyBorder="1"/>
    <xf numFmtId="4" fontId="0" fillId="0" borderId="69" xfId="0" applyNumberFormat="1" applyBorder="1" applyProtection="1">
      <protection locked="0"/>
    </xf>
    <xf numFmtId="0" fontId="0" fillId="0" borderId="0" xfId="0" applyAlignment="1" applyProtection="1">
      <alignment horizontal="left" wrapText="1"/>
      <protection hidden="1"/>
    </xf>
    <xf numFmtId="0" fontId="10" fillId="5" borderId="14" xfId="0" applyFont="1" applyFill="1" applyBorder="1" applyAlignment="1" applyProtection="1">
      <alignment vertical="center" wrapText="1"/>
      <protection hidden="1"/>
    </xf>
    <xf numFmtId="0" fontId="10" fillId="5" borderId="23" xfId="0" applyFont="1" applyFill="1" applyBorder="1" applyAlignment="1" applyProtection="1">
      <alignment vertical="center" wrapText="1"/>
      <protection hidden="1"/>
    </xf>
    <xf numFmtId="14" fontId="0" fillId="2" borderId="11" xfId="0" applyNumberFormat="1" applyFill="1" applyBorder="1" applyProtection="1">
      <protection locked="0"/>
    </xf>
    <xf numFmtId="0" fontId="0" fillId="6" borderId="11" xfId="0" applyFill="1" applyBorder="1" applyProtection="1">
      <protection locked="0"/>
    </xf>
    <xf numFmtId="0" fontId="31" fillId="7" borderId="11" xfId="0" applyFont="1" applyFill="1" applyBorder="1" applyAlignment="1">
      <alignment horizontal="center" vertical="center" wrapText="1"/>
    </xf>
    <xf numFmtId="0" fontId="36" fillId="7" borderId="11" xfId="0" applyFont="1" applyFill="1" applyBorder="1" applyAlignment="1">
      <alignment horizontal="center" vertical="center" wrapText="1"/>
    </xf>
    <xf numFmtId="14" fontId="31" fillId="7" borderId="11" xfId="0" applyNumberFormat="1" applyFont="1" applyFill="1" applyBorder="1" applyAlignment="1">
      <alignment horizontal="center" vertical="center" wrapText="1"/>
    </xf>
    <xf numFmtId="14" fontId="36" fillId="7" borderId="11" xfId="0" applyNumberFormat="1" applyFont="1" applyFill="1" applyBorder="1" applyAlignment="1">
      <alignment horizontal="center" vertical="center" wrapText="1"/>
    </xf>
    <xf numFmtId="0" fontId="31" fillId="7" borderId="11" xfId="0" applyFont="1" applyFill="1" applyBorder="1" applyAlignment="1">
      <alignment horizontal="left" vertical="center" wrapText="1"/>
    </xf>
    <xf numFmtId="0" fontId="31" fillId="0" borderId="11" xfId="0" applyFont="1" applyBorder="1" applyAlignment="1">
      <alignment horizontal="center" vertical="center" wrapText="1"/>
    </xf>
    <xf numFmtId="0" fontId="31" fillId="6" borderId="11" xfId="0" applyFont="1" applyFill="1" applyBorder="1" applyAlignment="1">
      <alignment horizontal="center" vertical="center" wrapText="1"/>
    </xf>
    <xf numFmtId="0" fontId="36" fillId="0" borderId="11" xfId="0" applyFont="1" applyBorder="1" applyAlignment="1">
      <alignment horizontal="center" vertical="center" wrapText="1"/>
    </xf>
    <xf numFmtId="0" fontId="31" fillId="2" borderId="11" xfId="0" applyFont="1" applyFill="1" applyBorder="1" applyAlignment="1">
      <alignment horizontal="center" vertical="center" wrapText="1"/>
    </xf>
    <xf numFmtId="0" fontId="31" fillId="0" borderId="11" xfId="0" applyFont="1" applyBorder="1" applyAlignment="1">
      <alignment horizontal="center" vertical="top" wrapText="1"/>
    </xf>
    <xf numFmtId="0" fontId="35" fillId="0" borderId="11" xfId="0" applyFont="1" applyBorder="1" applyAlignment="1">
      <alignment horizontal="left" vertical="center" wrapText="1"/>
    </xf>
    <xf numFmtId="0" fontId="0" fillId="0" borderId="17" xfId="0" applyBorder="1" applyAlignment="1" applyProtection="1">
      <alignment horizontal="left" wrapText="1"/>
      <protection hidden="1"/>
    </xf>
    <xf numFmtId="0" fontId="0" fillId="0" borderId="15" xfId="0" applyBorder="1" applyAlignment="1" applyProtection="1">
      <alignment horizontal="left" wrapText="1"/>
      <protection hidden="1"/>
    </xf>
    <xf numFmtId="0" fontId="0" fillId="0" borderId="0" xfId="0" applyProtection="1">
      <protection hidden="1"/>
    </xf>
    <xf numFmtId="0" fontId="0" fillId="2" borderId="0" xfId="0" applyFill="1" applyProtection="1">
      <protection hidden="1"/>
    </xf>
    <xf numFmtId="0" fontId="1" fillId="2" borderId="0" xfId="0" applyFont="1" applyFill="1" applyProtection="1">
      <protection hidden="1"/>
    </xf>
    <xf numFmtId="4" fontId="0" fillId="0" borderId="0" xfId="0" applyNumberFormat="1" applyProtection="1">
      <protection hidden="1"/>
    </xf>
    <xf numFmtId="0" fontId="0" fillId="0" borderId="72" xfId="0" applyBorder="1" applyProtection="1">
      <protection hidden="1"/>
    </xf>
    <xf numFmtId="14" fontId="11" fillId="2" borderId="11" xfId="0" applyNumberFormat="1" applyFont="1" applyFill="1" applyBorder="1" applyProtection="1">
      <protection hidden="1"/>
    </xf>
    <xf numFmtId="0" fontId="0" fillId="2" borderId="11" xfId="0" applyFill="1" applyBorder="1" applyProtection="1">
      <protection hidden="1"/>
    </xf>
    <xf numFmtId="14" fontId="0" fillId="2" borderId="11" xfId="0" applyNumberFormat="1" applyFill="1" applyBorder="1" applyProtection="1">
      <protection hidden="1"/>
    </xf>
    <xf numFmtId="10" fontId="11" fillId="0" borderId="0" xfId="0" applyNumberFormat="1" applyFont="1" applyProtection="1">
      <protection hidden="1"/>
    </xf>
    <xf numFmtId="0" fontId="31" fillId="0" borderId="0" xfId="0" applyFont="1" applyProtection="1">
      <protection hidden="1"/>
    </xf>
    <xf numFmtId="4" fontId="31" fillId="0" borderId="0" xfId="0" applyNumberFormat="1" applyFont="1" applyProtection="1">
      <protection hidden="1"/>
    </xf>
    <xf numFmtId="4" fontId="11" fillId="2" borderId="11" xfId="0" applyNumberFormat="1" applyFont="1" applyFill="1" applyBorder="1" applyProtection="1">
      <protection hidden="1"/>
    </xf>
    <xf numFmtId="0" fontId="1" fillId="2" borderId="0" xfId="0" applyFont="1" applyFill="1" applyAlignment="1" applyProtection="1">
      <alignment wrapText="1"/>
      <protection hidden="1"/>
    </xf>
    <xf numFmtId="0" fontId="0" fillId="2" borderId="71" xfId="0" applyFill="1" applyBorder="1" applyProtection="1">
      <protection hidden="1"/>
    </xf>
    <xf numFmtId="0" fontId="0" fillId="2" borderId="70" xfId="0" applyFill="1" applyBorder="1" applyProtection="1">
      <protection hidden="1"/>
    </xf>
    <xf numFmtId="0" fontId="8" fillId="2" borderId="0" xfId="1" applyFont="1" applyFill="1" applyAlignment="1" applyProtection="1">
      <alignment horizontal="left"/>
      <protection hidden="1"/>
    </xf>
    <xf numFmtId="0" fontId="0" fillId="0" borderId="75" xfId="0" applyBorder="1" applyProtection="1">
      <protection hidden="1"/>
    </xf>
    <xf numFmtId="0" fontId="0" fillId="5" borderId="12" xfId="0" applyFill="1" applyBorder="1" applyProtection="1">
      <protection hidden="1"/>
    </xf>
    <xf numFmtId="0" fontId="0" fillId="5" borderId="22" xfId="0" applyFill="1" applyBorder="1" applyProtection="1">
      <protection hidden="1"/>
    </xf>
    <xf numFmtId="10" fontId="11" fillId="2" borderId="0" xfId="0" applyNumberFormat="1" applyFont="1" applyFill="1" applyProtection="1">
      <protection hidden="1"/>
    </xf>
    <xf numFmtId="0" fontId="0" fillId="0" borderId="66" xfId="0" applyBorder="1" applyProtection="1">
      <protection hidden="1"/>
    </xf>
    <xf numFmtId="0" fontId="34" fillId="2" borderId="0" xfId="1" applyFont="1" applyFill="1" applyAlignment="1" applyProtection="1">
      <alignment horizontal="left"/>
      <protection hidden="1"/>
    </xf>
    <xf numFmtId="4" fontId="0" fillId="2" borderId="0" xfId="0" applyNumberFormat="1" applyFill="1" applyProtection="1">
      <protection hidden="1"/>
    </xf>
    <xf numFmtId="10" fontId="11" fillId="2" borderId="14" xfId="0" applyNumberFormat="1" applyFont="1" applyFill="1" applyBorder="1" applyProtection="1">
      <protection hidden="1"/>
    </xf>
    <xf numFmtId="0" fontId="0" fillId="2" borderId="31" xfId="0" applyFill="1" applyBorder="1" applyProtection="1">
      <protection hidden="1"/>
    </xf>
    <xf numFmtId="0" fontId="11" fillId="0" borderId="0" xfId="0" applyFont="1" applyAlignment="1" applyProtection="1">
      <alignment wrapText="1"/>
      <protection hidden="1"/>
    </xf>
    <xf numFmtId="0" fontId="0" fillId="2" borderId="13" xfId="0" applyFill="1" applyBorder="1" applyProtection="1">
      <protection hidden="1"/>
    </xf>
    <xf numFmtId="0" fontId="0" fillId="2" borderId="33" xfId="0" applyFill="1" applyBorder="1" applyProtection="1">
      <protection hidden="1"/>
    </xf>
    <xf numFmtId="0" fontId="11" fillId="2" borderId="0" xfId="0" applyFont="1" applyFill="1" applyProtection="1">
      <protection hidden="1"/>
    </xf>
    <xf numFmtId="10" fontId="28" fillId="2" borderId="0" xfId="0" applyNumberFormat="1" applyFont="1" applyFill="1" applyProtection="1">
      <protection hidden="1"/>
    </xf>
    <xf numFmtId="0" fontId="0" fillId="2" borderId="25" xfId="0" applyFill="1" applyBorder="1" applyProtection="1">
      <protection hidden="1"/>
    </xf>
    <xf numFmtId="14" fontId="0" fillId="0" borderId="0" xfId="0" applyNumberFormat="1" applyAlignment="1" applyProtection="1">
      <alignment horizontal="center"/>
      <protection hidden="1"/>
    </xf>
    <xf numFmtId="4" fontId="0" fillId="0" borderId="0" xfId="0" applyNumberFormat="1" applyAlignment="1" applyProtection="1">
      <alignment horizontal="center"/>
      <protection hidden="1"/>
    </xf>
    <xf numFmtId="4" fontId="31" fillId="0" borderId="0" xfId="0" applyNumberFormat="1" applyFont="1" applyAlignment="1" applyProtection="1">
      <alignment horizontal="center"/>
      <protection hidden="1"/>
    </xf>
    <xf numFmtId="0" fontId="0" fillId="0" borderId="0" xfId="0" applyAlignment="1" applyProtection="1">
      <alignment horizontal="center"/>
      <protection hidden="1"/>
    </xf>
    <xf numFmtId="167" fontId="0" fillId="0" borderId="0" xfId="0" applyNumberFormat="1" applyAlignment="1" applyProtection="1">
      <alignment horizontal="center"/>
      <protection hidden="1"/>
    </xf>
    <xf numFmtId="1" fontId="0" fillId="0" borderId="0" xfId="0" applyNumberFormat="1" applyAlignment="1" applyProtection="1">
      <alignment horizontal="center"/>
      <protection hidden="1"/>
    </xf>
    <xf numFmtId="1" fontId="0" fillId="0" borderId="0" xfId="0" applyNumberFormat="1" applyProtection="1">
      <protection hidden="1"/>
    </xf>
    <xf numFmtId="14" fontId="0" fillId="0" borderId="0" xfId="0" applyNumberFormat="1" applyProtection="1">
      <protection hidden="1"/>
    </xf>
    <xf numFmtId="0" fontId="1" fillId="2" borderId="0" xfId="0" applyFont="1" applyFill="1" applyAlignment="1" applyProtection="1">
      <alignment horizontal="center"/>
      <protection hidden="1"/>
    </xf>
    <xf numFmtId="4" fontId="0" fillId="2" borderId="11" xfId="0" applyNumberFormat="1" applyFill="1" applyBorder="1" applyAlignment="1" applyProtection="1">
      <alignment horizontal="center"/>
      <protection hidden="1"/>
    </xf>
    <xf numFmtId="0" fontId="10" fillId="0" borderId="0" xfId="0" applyFont="1" applyAlignment="1" applyProtection="1">
      <alignment horizontal="center" vertical="center" wrapText="1"/>
      <protection hidden="1"/>
    </xf>
    <xf numFmtId="0" fontId="10" fillId="5" borderId="23" xfId="0" applyFont="1" applyFill="1" applyBorder="1" applyAlignment="1" applyProtection="1">
      <alignment horizontal="left" vertical="center" wrapText="1"/>
      <protection hidden="1"/>
    </xf>
    <xf numFmtId="0" fontId="10" fillId="5" borderId="74" xfId="0" applyFont="1" applyFill="1" applyBorder="1" applyAlignment="1" applyProtection="1">
      <alignment horizontal="left" wrapText="1"/>
      <protection hidden="1"/>
    </xf>
    <xf numFmtId="0" fontId="10" fillId="5" borderId="14" xfId="0" applyFont="1" applyFill="1" applyBorder="1" applyAlignment="1" applyProtection="1">
      <alignment horizontal="left" vertical="center" wrapText="1"/>
      <protection hidden="1"/>
    </xf>
    <xf numFmtId="0" fontId="10" fillId="0" borderId="77" xfId="0" applyFont="1" applyBorder="1" applyAlignment="1" applyProtection="1">
      <alignment horizontal="center" vertical="center" wrapText="1"/>
      <protection hidden="1"/>
    </xf>
    <xf numFmtId="0" fontId="10" fillId="0" borderId="78" xfId="0" applyFont="1" applyBorder="1" applyAlignment="1" applyProtection="1">
      <alignment horizontal="center" vertical="center" wrapText="1"/>
      <protection hidden="1"/>
    </xf>
    <xf numFmtId="0" fontId="10" fillId="0" borderId="79" xfId="0" applyFont="1" applyBorder="1" applyAlignment="1" applyProtection="1">
      <alignment horizontal="center" vertical="center" wrapText="1"/>
      <protection hidden="1"/>
    </xf>
    <xf numFmtId="0" fontId="10" fillId="0" borderId="78" xfId="0" applyFont="1" applyBorder="1" applyAlignment="1" applyProtection="1">
      <alignment horizontal="center" wrapText="1"/>
      <protection hidden="1"/>
    </xf>
    <xf numFmtId="0" fontId="23" fillId="2" borderId="21" xfId="1" applyFont="1" applyFill="1" applyBorder="1" applyProtection="1">
      <protection hidden="1"/>
    </xf>
    <xf numFmtId="14" fontId="24" fillId="2" borderId="21" xfId="1" applyNumberFormat="1" applyFont="1" applyFill="1" applyBorder="1" applyAlignment="1" applyProtection="1">
      <alignment horizontal="center"/>
      <protection hidden="1"/>
    </xf>
    <xf numFmtId="0" fontId="24" fillId="2" borderId="21" xfId="1" applyFont="1" applyFill="1" applyBorder="1" applyAlignment="1" applyProtection="1">
      <alignment horizontal="center"/>
      <protection hidden="1"/>
    </xf>
    <xf numFmtId="165" fontId="23" fillId="2" borderId="21" xfId="1" applyNumberFormat="1" applyFont="1" applyFill="1" applyBorder="1" applyAlignment="1" applyProtection="1">
      <alignment horizontal="center" vertical="center"/>
      <protection hidden="1"/>
    </xf>
    <xf numFmtId="165" fontId="23" fillId="2" borderId="21" xfId="1" applyNumberFormat="1" applyFont="1" applyFill="1" applyBorder="1" applyAlignment="1" applyProtection="1">
      <alignment horizontal="center" vertical="center" wrapText="1"/>
      <protection hidden="1"/>
    </xf>
    <xf numFmtId="0" fontId="21" fillId="0" borderId="77" xfId="1" applyFont="1" applyBorder="1" applyAlignment="1" applyProtection="1">
      <alignment horizontal="center" vertical="center" wrapText="1"/>
      <protection hidden="1"/>
    </xf>
    <xf numFmtId="0" fontId="21" fillId="0" borderId="78" xfId="1" applyFont="1" applyBorder="1" applyAlignment="1" applyProtection="1">
      <alignment horizontal="center" vertical="center" wrapText="1"/>
      <protection hidden="1"/>
    </xf>
    <xf numFmtId="0" fontId="22" fillId="0" borderId="78" xfId="1" applyFont="1" applyBorder="1" applyAlignment="1" applyProtection="1">
      <alignment horizontal="center" vertical="center" wrapText="1"/>
      <protection hidden="1"/>
    </xf>
    <xf numFmtId="0" fontId="21" fillId="0" borderId="79" xfId="1" applyFont="1" applyBorder="1" applyAlignment="1" applyProtection="1">
      <alignment horizontal="center" vertical="center" wrapText="1"/>
      <protection hidden="1"/>
    </xf>
    <xf numFmtId="14" fontId="0" fillId="2" borderId="0" xfId="0" applyNumberFormat="1" applyFill="1" applyProtection="1">
      <protection locked="0"/>
    </xf>
    <xf numFmtId="10" fontId="0" fillId="2" borderId="0" xfId="0" applyNumberFormat="1" applyFill="1" applyProtection="1">
      <protection hidden="1"/>
    </xf>
    <xf numFmtId="10" fontId="0" fillId="2" borderId="0" xfId="0" applyNumberFormat="1" applyFill="1" applyProtection="1">
      <protection locked="0"/>
    </xf>
    <xf numFmtId="14" fontId="0" fillId="2" borderId="0" xfId="0" applyNumberFormat="1" applyFill="1" applyProtection="1">
      <protection hidden="1"/>
    </xf>
    <xf numFmtId="14" fontId="0" fillId="2" borderId="0" xfId="0" applyNumberFormat="1" applyFill="1" applyAlignment="1" applyProtection="1">
      <alignment horizontal="right"/>
      <protection hidden="1"/>
    </xf>
    <xf numFmtId="4" fontId="0" fillId="2" borderId="0" xfId="0" applyNumberFormat="1" applyFill="1" applyProtection="1">
      <protection locked="0"/>
    </xf>
    <xf numFmtId="0" fontId="0" fillId="2" borderId="0" xfId="0" applyFill="1" applyProtection="1">
      <protection locked="0"/>
    </xf>
    <xf numFmtId="0" fontId="0" fillId="0" borderId="70" xfId="0" applyBorder="1" applyProtection="1">
      <protection hidden="1"/>
    </xf>
    <xf numFmtId="0" fontId="9" fillId="0" borderId="25" xfId="0" applyFont="1" applyBorder="1" applyAlignment="1" applyProtection="1">
      <alignment horizontal="left" wrapText="1"/>
      <protection hidden="1"/>
    </xf>
    <xf numFmtId="0" fontId="0" fillId="5" borderId="22" xfId="0" applyFill="1" applyBorder="1" applyAlignment="1" applyProtection="1">
      <alignment horizontal="right"/>
      <protection hidden="1"/>
    </xf>
    <xf numFmtId="10" fontId="23" fillId="2" borderId="21" xfId="1" applyNumberFormat="1" applyFont="1" applyFill="1" applyBorder="1" applyAlignment="1" applyProtection="1">
      <alignment horizontal="center" vertical="center" wrapText="1"/>
      <protection hidden="1"/>
    </xf>
    <xf numFmtId="4" fontId="0" fillId="8" borderId="0" xfId="0" applyNumberFormat="1" applyFill="1" applyProtection="1">
      <protection hidden="1"/>
    </xf>
    <xf numFmtId="0" fontId="0" fillId="5" borderId="11" xfId="0" applyFill="1" applyBorder="1" applyProtection="1">
      <protection hidden="1"/>
    </xf>
    <xf numFmtId="0" fontId="0" fillId="5" borderId="11" xfId="0" applyFill="1" applyBorder="1" applyAlignment="1" applyProtection="1">
      <alignment horizontal="right"/>
      <protection hidden="1"/>
    </xf>
    <xf numFmtId="0" fontId="0" fillId="5" borderId="16" xfId="0" applyFill="1" applyBorder="1" applyProtection="1">
      <protection hidden="1"/>
    </xf>
    <xf numFmtId="10" fontId="0" fillId="6" borderId="11" xfId="0" applyNumberFormat="1" applyFill="1" applyBorder="1" applyProtection="1">
      <protection locked="0"/>
    </xf>
    <xf numFmtId="10" fontId="0" fillId="6" borderId="14" xfId="0" applyNumberFormat="1" applyFill="1" applyBorder="1" applyProtection="1">
      <protection locked="0"/>
    </xf>
    <xf numFmtId="4" fontId="0" fillId="6" borderId="11" xfId="0" applyNumberFormat="1" applyFill="1" applyBorder="1" applyProtection="1">
      <protection hidden="1"/>
    </xf>
    <xf numFmtId="0" fontId="11" fillId="2" borderId="0" xfId="0" applyFont="1" applyFill="1" applyAlignment="1" applyProtection="1">
      <alignment wrapText="1"/>
      <protection hidden="1"/>
    </xf>
    <xf numFmtId="0" fontId="0" fillId="2" borderId="14" xfId="0" applyFill="1" applyBorder="1" applyProtection="1">
      <protection hidden="1"/>
    </xf>
    <xf numFmtId="10" fontId="11" fillId="2" borderId="0" xfId="0" applyNumberFormat="1" applyFont="1" applyFill="1" applyProtection="1">
      <protection locked="0"/>
    </xf>
    <xf numFmtId="0" fontId="0" fillId="0" borderId="52" xfId="0" applyBorder="1" applyProtection="1">
      <protection hidden="1"/>
    </xf>
    <xf numFmtId="0" fontId="0" fillId="0" borderId="11" xfId="0" applyBorder="1" applyProtection="1">
      <protection hidden="1"/>
    </xf>
    <xf numFmtId="0" fontId="10" fillId="5" borderId="14" xfId="0" applyFont="1" applyFill="1" applyBorder="1" applyAlignment="1" applyProtection="1">
      <alignment horizontal="center" vertical="center" wrapText="1"/>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0" fontId="10" fillId="5" borderId="74" xfId="0" applyFont="1" applyFill="1" applyBorder="1" applyAlignment="1" applyProtection="1">
      <alignment horizontal="left" vertical="center" wrapText="1"/>
      <protection hidden="1"/>
    </xf>
    <xf numFmtId="0" fontId="11" fillId="2" borderId="76" xfId="0" applyFont="1" applyFill="1" applyBorder="1" applyProtection="1">
      <protection hidden="1"/>
    </xf>
    <xf numFmtId="0" fontId="11" fillId="2" borderId="11" xfId="0" applyFont="1" applyFill="1" applyBorder="1" applyProtection="1">
      <protection hidden="1"/>
    </xf>
    <xf numFmtId="4" fontId="11" fillId="2" borderId="11" xfId="0" applyNumberFormat="1" applyFont="1" applyFill="1" applyBorder="1" applyProtection="1">
      <protection locked="0"/>
    </xf>
    <xf numFmtId="0" fontId="11" fillId="2" borderId="73" xfId="0" applyFont="1" applyFill="1" applyBorder="1" applyProtection="1">
      <protection hidden="1"/>
    </xf>
    <xf numFmtId="0" fontId="11" fillId="2" borderId="74" xfId="0" applyFont="1" applyFill="1" applyBorder="1" applyProtection="1">
      <protection hidden="1"/>
    </xf>
    <xf numFmtId="10" fontId="11" fillId="2" borderId="11" xfId="0" applyNumberFormat="1" applyFont="1" applyFill="1" applyBorder="1" applyProtection="1">
      <protection hidden="1"/>
    </xf>
    <xf numFmtId="10" fontId="31" fillId="2" borderId="11" xfId="0" applyNumberFormat="1" applyFont="1" applyFill="1" applyBorder="1" applyProtection="1">
      <protection locked="0"/>
    </xf>
    <xf numFmtId="0" fontId="31" fillId="2" borderId="11" xfId="0" applyFont="1" applyFill="1" applyBorder="1" applyAlignment="1" applyProtection="1">
      <alignment horizontal="right"/>
      <protection hidden="1"/>
    </xf>
    <xf numFmtId="0" fontId="31" fillId="9" borderId="11" xfId="0" applyFont="1" applyFill="1" applyBorder="1" applyAlignment="1">
      <alignment horizontal="center" vertical="center" wrapText="1"/>
    </xf>
    <xf numFmtId="0" fontId="31" fillId="0" borderId="23" xfId="0" applyFont="1" applyBorder="1" applyAlignment="1">
      <alignment horizontal="center" vertical="center" wrapText="1"/>
    </xf>
    <xf numFmtId="0" fontId="31" fillId="10" borderId="11" xfId="0" applyFont="1" applyFill="1" applyBorder="1" applyAlignment="1">
      <alignment horizontal="center" vertical="center" wrapText="1"/>
    </xf>
    <xf numFmtId="0" fontId="37" fillId="0" borderId="11" xfId="0" applyFont="1" applyBorder="1" applyAlignment="1">
      <alignment horizontal="center" vertical="center" wrapText="1"/>
    </xf>
    <xf numFmtId="0" fontId="42" fillId="0" borderId="0" xfId="0" applyFont="1"/>
    <xf numFmtId="0" fontId="42" fillId="0" borderId="11" xfId="0" applyFont="1" applyBorder="1" applyAlignment="1">
      <alignment horizontal="center"/>
    </xf>
    <xf numFmtId="0" fontId="42" fillId="0" borderId="11" xfId="0" applyFont="1" applyBorder="1"/>
    <xf numFmtId="14" fontId="42" fillId="0" borderId="11" xfId="0" applyNumberFormat="1" applyFont="1" applyBorder="1"/>
    <xf numFmtId="4" fontId="42" fillId="0" borderId="11" xfId="0" applyNumberFormat="1" applyFont="1" applyBorder="1"/>
    <xf numFmtId="0" fontId="45" fillId="0" borderId="0" xfId="0" applyFont="1"/>
    <xf numFmtId="10" fontId="0" fillId="0" borderId="0" xfId="0" applyNumberFormat="1" applyAlignment="1" applyProtection="1">
      <alignment horizontal="center"/>
      <protection hidden="1"/>
    </xf>
    <xf numFmtId="4" fontId="11" fillId="0" borderId="0" xfId="0" applyNumberFormat="1" applyFont="1" applyProtection="1">
      <protection hidden="1"/>
    </xf>
    <xf numFmtId="0" fontId="9" fillId="0" borderId="58" xfId="0" applyFont="1" applyBorder="1" applyAlignment="1" applyProtection="1">
      <alignment horizontal="left" wrapText="1"/>
      <protection hidden="1"/>
    </xf>
    <xf numFmtId="0" fontId="2" fillId="2" borderId="8"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40" fillId="2" borderId="0" xfId="0" applyFont="1" applyFill="1"/>
    <xf numFmtId="0" fontId="29" fillId="2" borderId="1"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64" xfId="0" applyFont="1" applyFill="1" applyBorder="1" applyAlignment="1">
      <alignment horizontal="left" vertical="center" wrapText="1"/>
    </xf>
    <xf numFmtId="0" fontId="2" fillId="2" borderId="6" xfId="0" applyFont="1" applyFill="1" applyBorder="1" applyAlignment="1">
      <alignment horizontal="center" vertical="center" wrapText="1"/>
    </xf>
    <xf numFmtId="0" fontId="29" fillId="2" borderId="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1" fillId="2" borderId="0" xfId="0" applyFont="1" applyFill="1"/>
    <xf numFmtId="14" fontId="11" fillId="2" borderId="0" xfId="0" applyNumberFormat="1" applyFont="1" applyFill="1"/>
    <xf numFmtId="0" fontId="4" fillId="2" borderId="3" xfId="0" applyFont="1" applyFill="1" applyBorder="1" applyAlignment="1">
      <alignment horizontal="left" vertical="center" wrapText="1"/>
    </xf>
    <xf numFmtId="0" fontId="0" fillId="2" borderId="0" xfId="0" applyFill="1" applyAlignment="1">
      <alignment horizontal="left"/>
    </xf>
    <xf numFmtId="0" fontId="46" fillId="2" borderId="1" xfId="0" applyFont="1" applyFill="1" applyBorder="1" applyAlignment="1">
      <alignment horizontal="left" wrapText="1"/>
    </xf>
    <xf numFmtId="0" fontId="46" fillId="2" borderId="65" xfId="0" applyFont="1" applyFill="1" applyBorder="1" applyAlignment="1">
      <alignment horizontal="left" wrapText="1"/>
    </xf>
    <xf numFmtId="0" fontId="46" fillId="2" borderId="2" xfId="0" applyFont="1" applyFill="1" applyBorder="1" applyAlignment="1">
      <alignment horizontal="left" wrapText="1"/>
    </xf>
    <xf numFmtId="0" fontId="2" fillId="2" borderId="1"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3" xfId="0" applyFont="1" applyFill="1" applyBorder="1" applyAlignment="1">
      <alignment horizontal="center" vertical="center" wrapText="1"/>
    </xf>
    <xf numFmtId="0" fontId="2"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2" xfId="0"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10" fontId="2" fillId="2" borderId="2"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65" xfId="0" applyFont="1" applyFill="1" applyBorder="1" applyAlignment="1">
      <alignment horizontal="left" vertical="center" wrapText="1"/>
    </xf>
    <xf numFmtId="0" fontId="2" fillId="2" borderId="2" xfId="0" applyFont="1" applyFill="1" applyBorder="1" applyAlignment="1">
      <alignment horizontal="left" vertical="center" wrapText="1"/>
    </xf>
    <xf numFmtId="4" fontId="2" fillId="2" borderId="1"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9" fontId="2" fillId="2" borderId="9" xfId="0" applyNumberFormat="1" applyFont="1" applyFill="1" applyBorder="1" applyAlignment="1">
      <alignment horizontal="center" vertical="center" wrapText="1"/>
    </xf>
    <xf numFmtId="10" fontId="4" fillId="2" borderId="1" xfId="0" applyNumberFormat="1" applyFont="1" applyFill="1" applyBorder="1" applyAlignment="1">
      <alignment horizontal="center" vertical="center" wrapText="1"/>
    </xf>
    <xf numFmtId="10" fontId="4" fillId="2" borderId="2" xfId="0" applyNumberFormat="1" applyFont="1" applyFill="1" applyBorder="1" applyAlignment="1">
      <alignment horizontal="center" vertical="center" wrapText="1"/>
    </xf>
    <xf numFmtId="0" fontId="30" fillId="2" borderId="9"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0" fillId="2" borderId="63"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5" xfId="0" applyFont="1" applyFill="1" applyBorder="1" applyAlignment="1">
      <alignment horizontal="center" vertical="center" wrapText="1"/>
    </xf>
    <xf numFmtId="4" fontId="0" fillId="2" borderId="7" xfId="0" applyNumberFormat="1" applyFill="1" applyBorder="1" applyAlignment="1" applyProtection="1">
      <alignment horizontal="center"/>
      <protection locked="0"/>
    </xf>
    <xf numFmtId="4" fontId="0" fillId="2" borderId="5" xfId="0" applyNumberFormat="1" applyFill="1" applyBorder="1" applyAlignment="1" applyProtection="1">
      <alignment horizontal="center"/>
      <protection locked="0"/>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4" fontId="0" fillId="2" borderId="63" xfId="0" applyNumberFormat="1" applyFill="1" applyBorder="1" applyAlignment="1" applyProtection="1">
      <alignment horizontal="center"/>
      <protection locked="0"/>
    </xf>
    <xf numFmtId="4" fontId="0" fillId="2" borderId="6" xfId="0" applyNumberFormat="1" applyFill="1" applyBorder="1" applyAlignment="1" applyProtection="1">
      <alignment horizontal="center"/>
      <protection locked="0"/>
    </xf>
    <xf numFmtId="0" fontId="4" fillId="2" borderId="63"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2" fillId="2" borderId="8"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41" fillId="2" borderId="0" xfId="0" applyFont="1" applyFill="1" applyAlignment="1">
      <alignment horizontal="justify" vertical="center" wrapText="1"/>
    </xf>
    <xf numFmtId="0" fontId="1" fillId="2" borderId="0" xfId="0" applyFont="1" applyFill="1" applyAlignment="1" applyProtection="1">
      <alignment horizontal="center"/>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0" fontId="10" fillId="8" borderId="21" xfId="0" applyFont="1" applyFill="1" applyBorder="1" applyAlignment="1" applyProtection="1">
      <alignment horizontal="center" vertical="center" wrapText="1"/>
      <protection hidden="1"/>
    </xf>
    <xf numFmtId="0" fontId="31" fillId="2" borderId="11" xfId="0" applyFont="1" applyFill="1" applyBorder="1" applyAlignment="1" applyProtection="1">
      <alignment horizontal="left"/>
      <protection hidden="1"/>
    </xf>
    <xf numFmtId="10" fontId="0" fillId="6" borderId="11" xfId="0" applyNumberFormat="1" applyFill="1" applyBorder="1" applyAlignment="1" applyProtection="1">
      <alignment horizontal="center"/>
      <protection locked="0"/>
    </xf>
    <xf numFmtId="0" fontId="0" fillId="2" borderId="11" xfId="0" applyFill="1" applyBorder="1" applyAlignment="1" applyProtection="1">
      <alignment horizontal="left"/>
      <protection hidden="1"/>
    </xf>
    <xf numFmtId="4" fontId="0" fillId="2" borderId="11" xfId="0" applyNumberFormat="1" applyFill="1" applyBorder="1" applyAlignment="1" applyProtection="1">
      <alignment horizontal="center"/>
      <protection hidden="1"/>
    </xf>
    <xf numFmtId="0" fontId="1" fillId="5" borderId="11" xfId="0" applyFont="1" applyFill="1" applyBorder="1" applyAlignment="1" applyProtection="1">
      <alignment horizontal="left" wrapText="1"/>
      <protection hidden="1"/>
    </xf>
    <xf numFmtId="4" fontId="31" fillId="2" borderId="12" xfId="0" applyNumberFormat="1" applyFont="1" applyFill="1" applyBorder="1" applyAlignment="1" applyProtection="1">
      <alignment horizontal="center"/>
      <protection locked="0"/>
    </xf>
    <xf numFmtId="4" fontId="31" fillId="2" borderId="16" xfId="0" applyNumberFormat="1" applyFont="1" applyFill="1" applyBorder="1" applyAlignment="1" applyProtection="1">
      <alignment horizontal="center"/>
      <protection locked="0"/>
    </xf>
    <xf numFmtId="0" fontId="0" fillId="5" borderId="12" xfId="0" applyFill="1" applyBorder="1" applyAlignment="1" applyProtection="1">
      <alignment horizontal="left"/>
      <protection hidden="1"/>
    </xf>
    <xf numFmtId="0" fontId="0" fillId="5" borderId="22" xfId="0" applyFill="1" applyBorder="1" applyAlignment="1" applyProtection="1">
      <alignment horizontal="left"/>
      <protection hidden="1"/>
    </xf>
    <xf numFmtId="4" fontId="0" fillId="2" borderId="12" xfId="0" applyNumberFormat="1" applyFill="1" applyBorder="1" applyAlignment="1" applyProtection="1">
      <alignment horizontal="center"/>
      <protection hidden="1"/>
    </xf>
    <xf numFmtId="4" fontId="0" fillId="2" borderId="16" xfId="0" applyNumberFormat="1" applyFill="1" applyBorder="1" applyAlignment="1" applyProtection="1">
      <alignment horizontal="center"/>
      <protection hidden="1"/>
    </xf>
    <xf numFmtId="14" fontId="11" fillId="2" borderId="0" xfId="0" applyNumberFormat="1" applyFont="1" applyFill="1" applyAlignment="1" applyProtection="1">
      <alignment horizontal="right"/>
      <protection hidden="1"/>
    </xf>
    <xf numFmtId="0" fontId="9" fillId="2" borderId="12" xfId="0" applyFont="1" applyFill="1" applyBorder="1" applyAlignment="1" applyProtection="1">
      <alignment horizontal="center" wrapText="1"/>
      <protection hidden="1"/>
    </xf>
    <xf numFmtId="0" fontId="9" fillId="2" borderId="22" xfId="0" applyFont="1" applyFill="1" applyBorder="1" applyAlignment="1" applyProtection="1">
      <alignment horizontal="center" wrapText="1"/>
      <protection hidden="1"/>
    </xf>
    <xf numFmtId="0" fontId="9" fillId="2" borderId="16" xfId="0" applyFont="1" applyFill="1" applyBorder="1" applyAlignment="1" applyProtection="1">
      <alignment horizontal="center" wrapText="1"/>
      <protection hidden="1"/>
    </xf>
    <xf numFmtId="0" fontId="0" fillId="2" borderId="12" xfId="0" applyFill="1" applyBorder="1" applyAlignment="1" applyProtection="1">
      <alignment horizontal="center"/>
      <protection hidden="1"/>
    </xf>
    <xf numFmtId="0" fontId="0" fillId="2" borderId="22" xfId="0" applyFill="1" applyBorder="1" applyAlignment="1" applyProtection="1">
      <alignment horizontal="center"/>
      <protection hidden="1"/>
    </xf>
    <xf numFmtId="0" fontId="0" fillId="2" borderId="16" xfId="0" applyFill="1" applyBorder="1" applyAlignment="1" applyProtection="1">
      <alignment horizontal="center"/>
      <protection hidden="1"/>
    </xf>
    <xf numFmtId="0" fontId="10" fillId="5" borderId="14" xfId="0" applyFont="1" applyFill="1" applyBorder="1" applyAlignment="1" applyProtection="1">
      <alignment horizontal="center" vertical="center" wrapText="1"/>
      <protection hidden="1"/>
    </xf>
    <xf numFmtId="0" fontId="10" fillId="5" borderId="23" xfId="0" applyFont="1" applyFill="1" applyBorder="1" applyAlignment="1" applyProtection="1">
      <alignment horizontal="center" vertical="center" wrapText="1"/>
      <protection hidden="1"/>
    </xf>
    <xf numFmtId="0" fontId="0" fillId="2" borderId="14" xfId="0" applyFill="1" applyBorder="1" applyAlignment="1" applyProtection="1">
      <alignment horizontal="center" vertical="center"/>
      <protection hidden="1"/>
    </xf>
    <xf numFmtId="0" fontId="0" fillId="2" borderId="21" xfId="0" applyFill="1" applyBorder="1" applyAlignment="1" applyProtection="1">
      <alignment horizontal="center" vertical="center"/>
      <protection hidden="1"/>
    </xf>
    <xf numFmtId="4" fontId="0" fillId="6" borderId="12" xfId="0" applyNumberFormat="1" applyFill="1" applyBorder="1" applyAlignment="1" applyProtection="1">
      <alignment horizontal="center"/>
      <protection locked="0"/>
    </xf>
    <xf numFmtId="4" fontId="0" fillId="6" borderId="16" xfId="0" applyNumberFormat="1" applyFill="1" applyBorder="1" applyAlignment="1" applyProtection="1">
      <alignment horizontal="center"/>
      <protection locked="0"/>
    </xf>
    <xf numFmtId="4" fontId="0" fillId="6" borderId="11" xfId="0" applyNumberFormat="1" applyFill="1" applyBorder="1" applyAlignment="1" applyProtection="1">
      <alignment horizontal="center"/>
      <protection locked="0"/>
    </xf>
    <xf numFmtId="0" fontId="0" fillId="5" borderId="11" xfId="0" applyFill="1" applyBorder="1" applyAlignment="1" applyProtection="1">
      <alignment horizontal="left"/>
      <protection hidden="1"/>
    </xf>
    <xf numFmtId="0" fontId="1" fillId="5" borderId="11" xfId="0" applyFont="1" applyFill="1" applyBorder="1" applyAlignment="1" applyProtection="1">
      <alignment horizontal="center" vertical="center" wrapText="1"/>
      <protection hidden="1"/>
    </xf>
    <xf numFmtId="0" fontId="10" fillId="5" borderId="80" xfId="0" applyFont="1" applyFill="1" applyBorder="1" applyAlignment="1" applyProtection="1">
      <alignment horizontal="center" vertical="center" wrapText="1"/>
      <protection hidden="1"/>
    </xf>
    <xf numFmtId="0" fontId="10" fillId="5" borderId="12" xfId="0" applyFont="1" applyFill="1" applyBorder="1" applyAlignment="1" applyProtection="1">
      <alignment horizontal="left" vertical="center" wrapText="1"/>
      <protection hidden="1"/>
    </xf>
    <xf numFmtId="0" fontId="10" fillId="5" borderId="22" xfId="0" applyFont="1" applyFill="1" applyBorder="1" applyAlignment="1" applyProtection="1">
      <alignment horizontal="left" vertical="center" wrapText="1"/>
      <protection hidden="1"/>
    </xf>
    <xf numFmtId="0" fontId="10" fillId="5" borderId="16"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center" vertical="center" wrapText="1"/>
      <protection hidden="1"/>
    </xf>
    <xf numFmtId="0" fontId="10" fillId="5" borderId="22" xfId="0" applyFont="1" applyFill="1" applyBorder="1" applyAlignment="1" applyProtection="1">
      <alignment horizontal="center" vertical="center" wrapText="1"/>
      <protection hidden="1"/>
    </xf>
    <xf numFmtId="0" fontId="10" fillId="5" borderId="16" xfId="0" applyFont="1" applyFill="1" applyBorder="1" applyAlignment="1" applyProtection="1">
      <alignment horizontal="center" vertical="center" wrapText="1"/>
      <protection hidden="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left" vertical="center" wrapText="1"/>
    </xf>
    <xf numFmtId="0" fontId="2" fillId="0" borderId="65"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2" xfId="0" applyFont="1" applyBorder="1" applyAlignment="1">
      <alignment horizontal="center" vertical="center" wrapText="1"/>
    </xf>
    <xf numFmtId="0" fontId="2" fillId="0" borderId="24" xfId="0" applyFont="1" applyBorder="1" applyAlignment="1">
      <alignment horizontal="center" vertical="center" wrapText="1"/>
    </xf>
    <xf numFmtId="10" fontId="2" fillId="0" borderId="1" xfId="0" applyNumberFormat="1" applyFont="1" applyBorder="1" applyAlignment="1">
      <alignment horizontal="center" vertical="center" wrapText="1"/>
    </xf>
    <xf numFmtId="10" fontId="2" fillId="0" borderId="2"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167" fontId="2" fillId="0" borderId="1" xfId="0" applyNumberFormat="1" applyFont="1" applyBorder="1" applyAlignment="1">
      <alignment horizontal="center" vertical="center" wrapText="1"/>
    </xf>
    <xf numFmtId="167" fontId="2" fillId="0" borderId="2" xfId="0" applyNumberFormat="1" applyFont="1" applyBorder="1" applyAlignment="1">
      <alignment horizontal="center" vertical="center" wrapText="1"/>
    </xf>
    <xf numFmtId="0" fontId="2" fillId="0" borderId="8"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63" xfId="0" applyFont="1" applyBorder="1" applyAlignment="1">
      <alignment horizontal="center" vertical="center" wrapText="1"/>
    </xf>
    <xf numFmtId="0" fontId="2" fillId="0" borderId="0" xfId="0" applyFont="1" applyAlignment="1">
      <alignment horizontal="center" vertical="center" wrapText="1"/>
    </xf>
    <xf numFmtId="0" fontId="2" fillId="0" borderId="3" xfId="0" applyFont="1" applyBorder="1" applyAlignment="1">
      <alignment horizontal="justify" vertical="center" wrapText="1"/>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4" fontId="0" fillId="0" borderId="63" xfId="0" applyNumberFormat="1" applyBorder="1" applyAlignment="1" applyProtection="1">
      <alignment horizontal="center"/>
      <protection locked="0"/>
    </xf>
    <xf numFmtId="4" fontId="0" fillId="0" borderId="6" xfId="0" applyNumberFormat="1" applyBorder="1" applyAlignment="1" applyProtection="1">
      <alignment horizontal="center"/>
      <protection locked="0"/>
    </xf>
    <xf numFmtId="0" fontId="4" fillId="0" borderId="63"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4" fontId="0" fillId="0" borderId="7" xfId="0" applyNumberFormat="1" applyBorder="1" applyAlignment="1" applyProtection="1">
      <alignment horizontal="center"/>
      <protection locked="0"/>
    </xf>
    <xf numFmtId="4" fontId="0" fillId="0" borderId="5" xfId="0" applyNumberFormat="1" applyBorder="1" applyAlignment="1" applyProtection="1">
      <alignment horizontal="center"/>
      <protection locked="0"/>
    </xf>
    <xf numFmtId="0" fontId="2" fillId="0" borderId="8" xfId="0" applyFont="1" applyBorder="1" applyAlignment="1">
      <alignment vertical="center" wrapText="1"/>
    </xf>
    <xf numFmtId="0" fontId="2" fillId="0" borderId="3" xfId="0" applyFont="1" applyBorder="1" applyAlignment="1">
      <alignmen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14" fontId="0" fillId="2" borderId="61" xfId="0" applyNumberFormat="1" applyFill="1" applyBorder="1" applyAlignment="1">
      <alignment horizontal="center"/>
    </xf>
    <xf numFmtId="14" fontId="0" fillId="2" borderId="54" xfId="0" applyNumberFormat="1" applyFill="1" applyBorder="1" applyAlignment="1">
      <alignment horizontal="center"/>
    </xf>
    <xf numFmtId="14" fontId="0" fillId="2" borderId="62" xfId="0" applyNumberFormat="1" applyFill="1" applyBorder="1" applyAlignment="1">
      <alignment horizontal="center"/>
    </xf>
    <xf numFmtId="0" fontId="1" fillId="2" borderId="0" xfId="0" applyFont="1" applyFill="1" applyAlignment="1">
      <alignment horizontal="center"/>
    </xf>
    <xf numFmtId="0" fontId="1" fillId="2" borderId="0" xfId="0" applyFont="1" applyFill="1" applyAlignment="1">
      <alignment horizontal="left"/>
    </xf>
    <xf numFmtId="0" fontId="0" fillId="3" borderId="0" xfId="0" applyFill="1" applyAlignment="1">
      <alignment horizontal="left"/>
    </xf>
    <xf numFmtId="0" fontId="1" fillId="3" borderId="0" xfId="0" applyFont="1" applyFill="1" applyAlignment="1">
      <alignment horizontal="left" wrapText="1"/>
    </xf>
    <xf numFmtId="0" fontId="0" fillId="0" borderId="66" xfId="0" applyBorder="1" applyAlignment="1">
      <alignment horizontal="center"/>
    </xf>
    <xf numFmtId="0" fontId="0" fillId="0" borderId="48"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32" xfId="0" applyBorder="1" applyAlignment="1">
      <alignment horizontal="center"/>
    </xf>
    <xf numFmtId="0" fontId="0" fillId="0" borderId="46" xfId="0" applyBorder="1" applyAlignment="1">
      <alignment horizontal="center"/>
    </xf>
    <xf numFmtId="0" fontId="21" fillId="4" borderId="11" xfId="1" applyFont="1" applyFill="1" applyBorder="1" applyAlignment="1" applyProtection="1">
      <alignment horizontal="center" vertical="center" wrapText="1"/>
      <protection hidden="1"/>
    </xf>
    <xf numFmtId="0" fontId="21" fillId="4" borderId="14" xfId="1" applyFont="1" applyFill="1" applyBorder="1" applyAlignment="1" applyProtection="1">
      <alignment horizontal="center" vertical="center" wrapText="1"/>
      <protection hidden="1"/>
    </xf>
    <xf numFmtId="0" fontId="21" fillId="4" borderId="33" xfId="1" applyFont="1" applyFill="1" applyBorder="1" applyAlignment="1" applyProtection="1">
      <alignment horizontal="center" vertical="center" wrapText="1"/>
      <protection hidden="1"/>
    </xf>
    <xf numFmtId="0" fontId="21" fillId="4" borderId="0" xfId="1" applyFont="1" applyFill="1" applyAlignment="1" applyProtection="1">
      <alignment horizontal="center" vertical="center" wrapText="1"/>
      <protection hidden="1"/>
    </xf>
    <xf numFmtId="0" fontId="27" fillId="4" borderId="12" xfId="1" applyFont="1" applyFill="1" applyBorder="1" applyAlignment="1" applyProtection="1">
      <alignment horizontal="center" vertical="center" wrapText="1"/>
      <protection hidden="1"/>
    </xf>
    <xf numFmtId="0" fontId="27" fillId="4" borderId="22" xfId="1" applyFont="1" applyFill="1" applyBorder="1" applyAlignment="1" applyProtection="1">
      <alignment horizontal="center" vertical="center" wrapText="1"/>
      <protection hidden="1"/>
    </xf>
    <xf numFmtId="0" fontId="27" fillId="4" borderId="16" xfId="1" applyFont="1" applyFill="1" applyBorder="1" applyAlignment="1" applyProtection="1">
      <alignment horizontal="center" vertical="center" wrapText="1"/>
      <protection hidden="1"/>
    </xf>
    <xf numFmtId="0" fontId="27" fillId="4" borderId="13" xfId="1" applyFont="1" applyFill="1" applyBorder="1" applyAlignment="1" applyProtection="1">
      <alignment horizontal="center" vertical="center" wrapText="1"/>
      <protection hidden="1"/>
    </xf>
    <xf numFmtId="0" fontId="27" fillId="4" borderId="74" xfId="1" applyFont="1" applyFill="1" applyBorder="1" applyAlignment="1" applyProtection="1">
      <alignment horizontal="center" vertical="center" wrapText="1"/>
      <protection hidden="1"/>
    </xf>
    <xf numFmtId="0" fontId="27" fillId="4" borderId="11" xfId="1" applyFont="1" applyFill="1" applyBorder="1" applyAlignment="1" applyProtection="1">
      <alignment horizontal="center" vertical="center" wrapText="1"/>
      <protection hidden="1"/>
    </xf>
    <xf numFmtId="0" fontId="27" fillId="4" borderId="14" xfId="1" applyFont="1" applyFill="1" applyBorder="1" applyAlignment="1" applyProtection="1">
      <alignment horizontal="center" vertical="center" wrapText="1"/>
      <protection hidden="1"/>
    </xf>
    <xf numFmtId="0" fontId="14" fillId="0" borderId="0" xfId="0" applyFont="1" applyAlignment="1">
      <alignment horizontal="center" vertical="center" wrapText="1"/>
    </xf>
    <xf numFmtId="0" fontId="18" fillId="2" borderId="15" xfId="1" applyFont="1" applyFill="1" applyBorder="1" applyAlignment="1" applyProtection="1">
      <alignment horizontal="left" wrapText="1"/>
      <protection hidden="1"/>
    </xf>
    <xf numFmtId="0" fontId="18" fillId="2" borderId="12" xfId="1" applyFont="1" applyFill="1" applyBorder="1" applyAlignment="1" applyProtection="1">
      <alignment horizontal="center" vertical="center" wrapText="1"/>
      <protection hidden="1"/>
    </xf>
    <xf numFmtId="0" fontId="18" fillId="2" borderId="16" xfId="1" applyFont="1" applyFill="1" applyBorder="1" applyAlignment="1" applyProtection="1">
      <alignment horizontal="center" vertical="center" wrapText="1"/>
      <protection hidden="1"/>
    </xf>
    <xf numFmtId="0" fontId="21" fillId="4" borderId="18" xfId="1" applyFont="1" applyFill="1" applyBorder="1" applyAlignment="1" applyProtection="1">
      <alignment horizontal="center" vertical="center" wrapText="1"/>
      <protection hidden="1"/>
    </xf>
    <xf numFmtId="0" fontId="21" fillId="4" borderId="19" xfId="1" applyFont="1" applyFill="1" applyBorder="1" applyAlignment="1" applyProtection="1">
      <alignment horizontal="center" vertical="center" wrapText="1"/>
      <protection hidden="1"/>
    </xf>
    <xf numFmtId="0" fontId="21" fillId="4" borderId="20" xfId="1" applyFont="1" applyFill="1" applyBorder="1" applyAlignment="1" applyProtection="1">
      <alignment horizontal="center" vertical="center" wrapText="1"/>
      <protection hidden="1"/>
    </xf>
    <xf numFmtId="0" fontId="22" fillId="4" borderId="19" xfId="1" applyFont="1" applyFill="1" applyBorder="1" applyAlignment="1" applyProtection="1">
      <alignment horizontal="center" vertical="center" wrapText="1"/>
      <protection hidden="1"/>
    </xf>
    <xf numFmtId="14" fontId="18" fillId="2" borderId="12" xfId="1" applyNumberFormat="1" applyFont="1" applyFill="1" applyBorder="1" applyAlignment="1" applyProtection="1">
      <alignment horizontal="center" vertical="center" wrapText="1"/>
      <protection hidden="1"/>
    </xf>
    <xf numFmtId="0" fontId="27" fillId="4" borderId="11" xfId="1" applyFont="1" applyFill="1" applyBorder="1" applyAlignment="1" applyProtection="1">
      <alignment horizontal="left" vertical="center" wrapText="1"/>
      <protection hidden="1"/>
    </xf>
    <xf numFmtId="0" fontId="44" fillId="0" borderId="0" xfId="0" applyFont="1" applyAlignment="1">
      <alignment horizontal="center"/>
    </xf>
    <xf numFmtId="0" fontId="42" fillId="0" borderId="0" xfId="0" applyFont="1" applyAlignment="1">
      <alignment horizontal="center"/>
    </xf>
    <xf numFmtId="0" fontId="42" fillId="0" borderId="0" xfId="0" applyFont="1" applyAlignment="1">
      <alignment horizontal="right"/>
    </xf>
    <xf numFmtId="0" fontId="43" fillId="0" borderId="0" xfId="0" applyFont="1" applyAlignment="1">
      <alignment horizontal="right"/>
    </xf>
    <xf numFmtId="0" fontId="44" fillId="0" borderId="15" xfId="0" applyFont="1" applyBorder="1" applyAlignment="1">
      <alignment horizontal="center"/>
    </xf>
    <xf numFmtId="0" fontId="42" fillId="0" borderId="0" xfId="0" applyFont="1" applyAlignment="1">
      <alignment horizontal="left" wrapText="1"/>
    </xf>
    <xf numFmtId="0" fontId="42" fillId="0" borderId="12" xfId="0" applyFont="1" applyBorder="1" applyAlignment="1">
      <alignment horizontal="left"/>
    </xf>
    <xf numFmtId="0" fontId="42" fillId="0" borderId="22" xfId="0" applyFont="1" applyBorder="1" applyAlignment="1">
      <alignment horizontal="left"/>
    </xf>
    <xf numFmtId="0" fontId="42" fillId="0" borderId="16" xfId="0" applyFont="1" applyBorder="1" applyAlignment="1">
      <alignment horizontal="left"/>
    </xf>
    <xf numFmtId="4" fontId="44" fillId="0" borderId="11" xfId="0" applyNumberFormat="1" applyFont="1" applyBorder="1"/>
    <xf numFmtId="10" fontId="44" fillId="0" borderId="11" xfId="0" applyNumberFormat="1" applyFont="1" applyBorder="1"/>
  </cellXfs>
  <cellStyles count="4">
    <cellStyle name="Звичайний" xfId="0" builtinId="0"/>
    <cellStyle name="Обычный 2" xfId="1" xr:uid="{00000000-0005-0000-0000-000001000000}"/>
    <cellStyle name="Процентный 2" xfId="2" xr:uid="{00000000-0005-0000-0000-000002000000}"/>
    <cellStyle name="Финансовый 2" xfId="3" xr:uid="{00000000-0005-0000-0000-000003000000}"/>
  </cellStyles>
  <dxfs count="0"/>
  <tableStyles count="0" defaultTableStyle="TableStyleMedium2" defaultPivotStyle="PivotStyleLight16"/>
  <colors>
    <mruColors>
      <color rgb="FFF68E38"/>
      <color rgb="FFF5801F"/>
      <color rgb="FFF8A764"/>
      <color rgb="FF42F6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zakon.rada.gov.ua/laws/show/2341-14" TargetMode="External"/><Relationship Id="rId1" Type="http://schemas.openxmlformats.org/officeDocument/2006/relationships/hyperlink" Target="mailto:bank@pravex.kiev.ua"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ank@pravex.kiev.u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5"/>
  <sheetViews>
    <sheetView topLeftCell="A10" zoomScaleNormal="100" workbookViewId="0">
      <selection activeCell="F37" sqref="F37"/>
    </sheetView>
  </sheetViews>
  <sheetFormatPr defaultRowHeight="14.5" x14ac:dyDescent="0.35"/>
  <cols>
    <col min="1" max="1" width="45.54296875" style="260" customWidth="1"/>
    <col min="2" max="2" width="6.54296875" style="9" customWidth="1"/>
    <col min="3" max="3" width="60.81640625" style="9" customWidth="1"/>
    <col min="4" max="4" width="10.1796875" style="9" bestFit="1" customWidth="1"/>
    <col min="5" max="16384" width="8.7265625" style="9"/>
  </cols>
  <sheetData>
    <row r="1" spans="1:5" ht="90" customHeight="1" thickBot="1" x14ac:dyDescent="0.45">
      <c r="A1" s="261" t="s">
        <v>591</v>
      </c>
      <c r="B1" s="262"/>
      <c r="C1" s="263"/>
    </row>
    <row r="2" spans="1:5" ht="15" thickBot="1" x14ac:dyDescent="0.4">
      <c r="A2" s="271" t="s">
        <v>0</v>
      </c>
      <c r="B2" s="272"/>
      <c r="C2" s="272"/>
    </row>
    <row r="3" spans="1:5" ht="15" customHeight="1" x14ac:dyDescent="0.35">
      <c r="A3" s="306" t="s">
        <v>1</v>
      </c>
      <c r="B3" s="300" t="s">
        <v>95</v>
      </c>
      <c r="C3" s="301"/>
    </row>
    <row r="4" spans="1:5" ht="15" thickBot="1" x14ac:dyDescent="0.4">
      <c r="A4" s="307"/>
      <c r="B4" s="302"/>
      <c r="C4" s="303"/>
    </row>
    <row r="5" spans="1:5" ht="15" thickBot="1" x14ac:dyDescent="0.4">
      <c r="A5" s="308"/>
      <c r="B5" s="264" t="s">
        <v>556</v>
      </c>
      <c r="C5" s="266"/>
      <c r="E5" s="250" t="s">
        <v>492</v>
      </c>
    </row>
    <row r="6" spans="1:5" ht="15" customHeight="1" x14ac:dyDescent="0.35">
      <c r="A6" s="306" t="s">
        <v>3</v>
      </c>
      <c r="B6" s="300" t="s">
        <v>4</v>
      </c>
      <c r="C6" s="301"/>
    </row>
    <row r="7" spans="1:5" x14ac:dyDescent="0.35">
      <c r="A7" s="307"/>
      <c r="B7" s="304" t="s">
        <v>5</v>
      </c>
      <c r="C7" s="305"/>
    </row>
    <row r="8" spans="1:5" ht="15" thickBot="1" x14ac:dyDescent="0.4">
      <c r="A8" s="308"/>
      <c r="B8" s="294" t="str">
        <f>IF(паспорт!B5=Лист1!B47,Лист1!F47,IF(B5=Лист1!B2,Лист1!F2,IF(B5=Лист1!B3,Лист1!F3,IF(B5=Лист1!B4,Лист1!F4,IF(паспорт!B5=Лист1!B5,Лист1!F5,IF(B5=Лист1!B6,Лист1!F6,IF(паспорт!B5=Лист1!B7,Лист1!F7,IF(B5=Лист1!B8,Лист1!F8,IF(паспорт!B5=Лист1!B9,Лист1!F9,IF(паспорт!B5=Лист1!B10,Лист1!F10,IF(B5=Лист1!B11,Лист1!F11,IF(паспорт!B5=Лист1!B12,Лист1!F12,IF(паспорт!B5=Лист1!B13,Лист1!F13,IF(B5=Лист1!B14,Лист1!F14,IF(паспорт!B5=Лист1!B15,Лист1!F15,IF(паспорт!B5=Лист1!B16,Лист1!F16,IF(паспорт!B5=Лист1!B17,Лист1!F17,IF(B5=Лист1!B18,Лист1!F18,IF(паспорт!B5=Лист1!B19,Лист1!F19,IF(паспорт!B5=Лист1!B20,Лист1!F20,IF(паспорт!B5=Лист1!B21,Лист1!F21,IF(B5=Лист1!B22,Лист1!F22,IF(паспорт!B5=Лист1!B23,Лист1!F23,IF(паспорт!B5=Лист1!B24,Лист1!F24,IF(паспорт!B5=Лист1!B25,Лист1!F25,IF(B5=Лист1!B26,Лист1!F26,IF(паспорт!B5=Лист1!B27,Лист1!F27,IF(паспорт!B5=Лист1!B28,Лист1!F28,IF(паспорт!B5=Лист1!B29,Лист1!F29,IF(B5=Лист1!B30,Лист1!F30,IF(паспорт!B5=Лист1!B31,Лист1!F31,IF(паспорт!B5=Лист1!B32,Лист1!F32,IF(паспорт!B5=Лист1!B33,Лист1!F33,IF(паспорт!B5=Лист1!B34,Лист1!F34,IF(B5=Лист1!B35,Лист1!F35,IF(паспорт!B5=Лист1!B36,Лист1!F36,IF(паспорт!B5=Лист1!B37,Лист1!F37,IF(паспорт!B5=Лист1!B38,Лист1!F38,IF(паспорт!B5=Лист1!B39,Лист1!F39,IF(B5=Лист1!B40,Лист1!F40,IF(паспорт!B5=Лист1!B41,Лист1!F41,IF(паспорт!B5=Лист1!B42,Лист1!F42,IF(паспорт!B5=Лист1!B43,Лист1!F43,IF(B5=Лист1!B44,Лист1!F44,IF(паспорт!B5=Лист1!B45,Лист1!F45,Лист1!F46)))))))))))))))))))))))))))))))))))))))))))))</f>
        <v>14000 м. Чернігів 
пр-т. Миру 17</v>
      </c>
      <c r="C8" s="295"/>
    </row>
    <row r="9" spans="1:5" x14ac:dyDescent="0.35">
      <c r="A9" s="306" t="s">
        <v>6</v>
      </c>
      <c r="B9" s="296" t="s">
        <v>7</v>
      </c>
      <c r="C9" s="297"/>
    </row>
    <row r="10" spans="1:5" ht="15" thickBot="1" x14ac:dyDescent="0.4">
      <c r="A10" s="308"/>
      <c r="B10" s="298" t="s">
        <v>96</v>
      </c>
      <c r="C10" s="299"/>
    </row>
    <row r="11" spans="1:5" ht="15" thickBot="1" x14ac:dyDescent="0.4">
      <c r="A11" s="249" t="s">
        <v>8</v>
      </c>
      <c r="B11" s="264" t="s">
        <v>9</v>
      </c>
      <c r="C11" s="266"/>
    </row>
    <row r="12" spans="1:5" ht="15" thickBot="1" x14ac:dyDescent="0.4">
      <c r="A12" s="249" t="s">
        <v>10</v>
      </c>
      <c r="B12" s="264" t="s">
        <v>11</v>
      </c>
      <c r="C12" s="266"/>
    </row>
    <row r="13" spans="1:5" ht="15" thickBot="1" x14ac:dyDescent="0.4">
      <c r="A13" s="249" t="s">
        <v>12</v>
      </c>
      <c r="B13" s="264" t="s">
        <v>13</v>
      </c>
      <c r="C13" s="266"/>
    </row>
    <row r="14" spans="1:5" ht="15.75" customHeight="1" thickBot="1" x14ac:dyDescent="0.4">
      <c r="A14" s="273" t="s">
        <v>14</v>
      </c>
      <c r="B14" s="274"/>
      <c r="C14" s="275"/>
    </row>
    <row r="15" spans="1:5" ht="15.75" customHeight="1" thickBot="1" x14ac:dyDescent="0.4">
      <c r="A15" s="251" t="s">
        <v>124</v>
      </c>
      <c r="B15" s="288" t="s">
        <v>125</v>
      </c>
      <c r="C15" s="289"/>
    </row>
    <row r="16" spans="1:5" ht="15.75" customHeight="1" thickBot="1" x14ac:dyDescent="0.4">
      <c r="A16" s="251" t="s">
        <v>126</v>
      </c>
      <c r="B16" s="290"/>
      <c r="C16" s="291"/>
    </row>
    <row r="17" spans="1:5" ht="15.75" customHeight="1" thickBot="1" x14ac:dyDescent="0.4">
      <c r="A17" s="251" t="s">
        <v>8</v>
      </c>
      <c r="B17" s="290"/>
      <c r="C17" s="291"/>
    </row>
    <row r="18" spans="1:5" ht="15.75" customHeight="1" thickBot="1" x14ac:dyDescent="0.4">
      <c r="A18" s="251" t="s">
        <v>10</v>
      </c>
      <c r="B18" s="290"/>
      <c r="C18" s="291"/>
    </row>
    <row r="19" spans="1:5" ht="15.75" customHeight="1" thickBot="1" x14ac:dyDescent="0.4">
      <c r="A19" s="251" t="s">
        <v>127</v>
      </c>
      <c r="B19" s="292"/>
      <c r="C19" s="293"/>
    </row>
    <row r="20" spans="1:5" ht="15.75" customHeight="1" thickBot="1" x14ac:dyDescent="0.4">
      <c r="A20" s="273" t="s">
        <v>15</v>
      </c>
      <c r="B20" s="274"/>
      <c r="C20" s="275"/>
    </row>
    <row r="21" spans="1:5" ht="15" thickBot="1" x14ac:dyDescent="0.4">
      <c r="A21" s="249" t="s">
        <v>16</v>
      </c>
      <c r="B21" s="264" t="s">
        <v>78</v>
      </c>
      <c r="C21" s="266"/>
    </row>
    <row r="22" spans="1:5" ht="15" thickBot="1" x14ac:dyDescent="0.4">
      <c r="A22" s="249" t="s">
        <v>17</v>
      </c>
      <c r="B22" s="283">
        <f>графік!F7</f>
        <v>750000</v>
      </c>
      <c r="C22" s="284"/>
    </row>
    <row r="23" spans="1:5" ht="15" thickBot="1" x14ac:dyDescent="0.4">
      <c r="A23" s="249" t="s">
        <v>128</v>
      </c>
      <c r="B23" s="264" t="str">
        <f>CONCATENATE(E23,D23)</f>
        <v>60 міс.</v>
      </c>
      <c r="C23" s="266"/>
      <c r="D23" s="51" t="s">
        <v>129</v>
      </c>
      <c r="E23" s="51">
        <f>графік!F8</f>
        <v>60</v>
      </c>
    </row>
    <row r="24" spans="1:5" ht="14.5" customHeight="1" x14ac:dyDescent="0.35">
      <c r="A24" s="306" t="s">
        <v>18</v>
      </c>
      <c r="B24" s="267" t="s">
        <v>98</v>
      </c>
      <c r="C24" s="268"/>
    </row>
    <row r="25" spans="1:5" ht="15" thickBot="1" x14ac:dyDescent="0.4">
      <c r="A25" s="308"/>
      <c r="B25" s="269"/>
      <c r="C25" s="270"/>
    </row>
    <row r="26" spans="1:5" ht="18.75" customHeight="1" thickBot="1" x14ac:dyDescent="0.4">
      <c r="A26" s="252" t="s">
        <v>19</v>
      </c>
      <c r="B26" s="264" t="s">
        <v>530</v>
      </c>
      <c r="C26" s="266"/>
    </row>
    <row r="27" spans="1:5" ht="15" customHeight="1" thickBot="1" x14ac:dyDescent="0.4">
      <c r="A27" s="249" t="s">
        <v>20</v>
      </c>
      <c r="B27" s="264" t="s">
        <v>582</v>
      </c>
      <c r="C27" s="266"/>
    </row>
    <row r="28" spans="1:5" ht="39.5" customHeight="1" thickBot="1" x14ac:dyDescent="0.4">
      <c r="A28" s="249" t="s">
        <v>592</v>
      </c>
      <c r="B28" s="264" t="s">
        <v>22</v>
      </c>
      <c r="C28" s="266"/>
    </row>
    <row r="29" spans="1:5" ht="20.25" customHeight="1" x14ac:dyDescent="0.35">
      <c r="A29" s="306" t="s">
        <v>23</v>
      </c>
      <c r="B29" s="285" t="s">
        <v>100</v>
      </c>
      <c r="C29" s="268"/>
    </row>
    <row r="30" spans="1:5" ht="15" thickBot="1" x14ac:dyDescent="0.4">
      <c r="A30" s="307"/>
      <c r="B30" s="269"/>
      <c r="C30" s="270"/>
    </row>
    <row r="31" spans="1:5" ht="19.5" customHeight="1" thickBot="1" x14ac:dyDescent="0.4">
      <c r="A31" s="273" t="s">
        <v>154</v>
      </c>
      <c r="B31" s="274"/>
      <c r="C31" s="275"/>
    </row>
    <row r="32" spans="1:5" ht="19.5" customHeight="1" thickBot="1" x14ac:dyDescent="0.4">
      <c r="A32" s="249" t="s">
        <v>590</v>
      </c>
      <c r="B32" s="286">
        <f>графік!F9</f>
        <v>0.18990000000000001</v>
      </c>
      <c r="C32" s="287"/>
    </row>
    <row r="33" spans="1:7" ht="15" thickBot="1" x14ac:dyDescent="0.4">
      <c r="A33" s="249" t="s">
        <v>26</v>
      </c>
      <c r="B33" s="269" t="s">
        <v>526</v>
      </c>
      <c r="C33" s="270"/>
    </row>
    <row r="34" spans="1:7" ht="26.25" customHeight="1" thickBot="1" x14ac:dyDescent="0.4">
      <c r="A34" s="249" t="s">
        <v>27</v>
      </c>
      <c r="B34" s="264" t="s">
        <v>527</v>
      </c>
      <c r="C34" s="266"/>
    </row>
    <row r="35" spans="1:7" ht="23.5" thickBot="1" x14ac:dyDescent="0.4">
      <c r="A35" s="249" t="s">
        <v>593</v>
      </c>
      <c r="B35" s="264" t="s">
        <v>29</v>
      </c>
      <c r="C35" s="266"/>
      <c r="D35" s="51"/>
      <c r="E35" s="51"/>
      <c r="F35" s="51"/>
    </row>
    <row r="36" spans="1:7" ht="15" thickBot="1" x14ac:dyDescent="0.4">
      <c r="A36" s="249" t="s">
        <v>512</v>
      </c>
      <c r="B36" s="278" t="str">
        <f>CONCATENATE(F36*100,D36,E36)</f>
        <v>1,99% від суми кредиту, 14925</v>
      </c>
      <c r="C36" s="279"/>
      <c r="D36" s="51" t="s">
        <v>583</v>
      </c>
      <c r="E36" s="64">
        <f>графік!R4</f>
        <v>14925</v>
      </c>
      <c r="F36" s="17">
        <f>графік!R3</f>
        <v>1.9900000000000001E-2</v>
      </c>
    </row>
    <row r="37" spans="1:7" ht="26.25" customHeight="1" thickBot="1" x14ac:dyDescent="0.4">
      <c r="A37" s="253" t="s">
        <v>585</v>
      </c>
      <c r="B37" s="283" t="str">
        <f>CONCATENATE(D37,E37,F37)</f>
        <v>так, фіксована сума, 12500 (сплачується періодично – щорічно по 2500 гривень)</v>
      </c>
      <c r="C37" s="266"/>
      <c r="D37" s="51" t="s">
        <v>584</v>
      </c>
      <c r="E37" s="64">
        <f>графік!R15</f>
        <v>12500</v>
      </c>
      <c r="F37" s="51" t="s">
        <v>596</v>
      </c>
    </row>
    <row r="38" spans="1:7" ht="15" hidden="1" thickBot="1" x14ac:dyDescent="0.4">
      <c r="A38" s="249"/>
      <c r="B38" s="254"/>
    </row>
    <row r="39" spans="1:7" ht="23.5" thickBot="1" x14ac:dyDescent="0.4">
      <c r="A39" s="255" t="s">
        <v>130</v>
      </c>
      <c r="B39" s="276" t="s">
        <v>131</v>
      </c>
      <c r="C39" s="277"/>
    </row>
    <row r="40" spans="1:7" ht="23.5" thickBot="1" x14ac:dyDescent="0.4">
      <c r="A40" s="255" t="s">
        <v>132</v>
      </c>
      <c r="B40" s="276" t="s">
        <v>133</v>
      </c>
      <c r="C40" s="277"/>
    </row>
    <row r="41" spans="1:7" ht="15" thickBot="1" x14ac:dyDescent="0.4">
      <c r="A41" s="249" t="s">
        <v>32</v>
      </c>
      <c r="B41" s="283">
        <f ca="1">B42-B22</f>
        <v>411707.62999999989</v>
      </c>
      <c r="C41" s="284"/>
    </row>
    <row r="42" spans="1:7" ht="35" thickBot="1" x14ac:dyDescent="0.4">
      <c r="A42" s="249" t="s">
        <v>33</v>
      </c>
      <c r="B42" s="283">
        <f ca="1">SUM('Таблиця обчислення'!R22:R262)</f>
        <v>1161707.6299999999</v>
      </c>
      <c r="C42" s="284"/>
    </row>
    <row r="43" spans="1:7" ht="15" thickBot="1" x14ac:dyDescent="0.4">
      <c r="A43" s="248" t="s">
        <v>34</v>
      </c>
      <c r="B43" s="278">
        <f ca="1">SUM('Таблиця обчислення'!Q23:Q263)</f>
        <v>0.24802380204200744</v>
      </c>
      <c r="C43" s="279"/>
    </row>
    <row r="44" spans="1:7" ht="48" customHeight="1" thickBot="1" x14ac:dyDescent="0.4">
      <c r="A44" s="280" t="s">
        <v>35</v>
      </c>
      <c r="B44" s="281"/>
      <c r="C44" s="282"/>
    </row>
    <row r="45" spans="1:7" ht="24" customHeight="1" thickBot="1" x14ac:dyDescent="0.4">
      <c r="A45" s="280" t="s">
        <v>36</v>
      </c>
      <c r="B45" s="281"/>
      <c r="C45" s="282"/>
    </row>
    <row r="46" spans="1:7" ht="24" customHeight="1" thickBot="1" x14ac:dyDescent="0.4">
      <c r="A46" s="280" t="s">
        <v>37</v>
      </c>
      <c r="B46" s="281"/>
      <c r="C46" s="282"/>
    </row>
    <row r="47" spans="1:7" ht="24" customHeight="1" thickBot="1" x14ac:dyDescent="0.4">
      <c r="A47" s="256" t="s">
        <v>586</v>
      </c>
      <c r="B47" s="264" t="s">
        <v>29</v>
      </c>
      <c r="C47" s="266"/>
      <c r="D47" s="257"/>
      <c r="E47" s="257"/>
      <c r="F47" s="257"/>
    </row>
    <row r="48" spans="1:7" ht="24" customHeight="1" thickBot="1" x14ac:dyDescent="0.4">
      <c r="A48" s="253" t="s">
        <v>152</v>
      </c>
      <c r="B48" s="283" t="str">
        <f>IF(D48=0,E48,CONCATENATE(E48,D48))</f>
        <v>ні</v>
      </c>
      <c r="C48" s="284"/>
      <c r="D48" s="64">
        <f>графік!R7</f>
        <v>0</v>
      </c>
      <c r="E48" s="51" t="str">
        <f>IF(D48&gt;0,"так, фіксована сума, ","ні")</f>
        <v>ні</v>
      </c>
      <c r="F48" s="51"/>
      <c r="G48" s="51"/>
    </row>
    <row r="49" spans="1:7" ht="24" customHeight="1" thickBot="1" x14ac:dyDescent="0.4">
      <c r="A49" s="253" t="s">
        <v>594</v>
      </c>
      <c r="B49" s="283" t="str">
        <f>IF(D49=0,E49,CONCATENATE(E49,D49))</f>
        <v>ні</v>
      </c>
      <c r="C49" s="284"/>
      <c r="D49" s="64">
        <f>графік!R12</f>
        <v>0</v>
      </c>
      <c r="E49" s="51" t="str">
        <f>IF(D49&gt;0,"так, фіксована сума, ","ні")</f>
        <v>ні</v>
      </c>
      <c r="F49" s="51"/>
      <c r="G49" s="51"/>
    </row>
    <row r="50" spans="1:7" ht="24" customHeight="1" thickBot="1" x14ac:dyDescent="0.4">
      <c r="A50" s="253" t="s">
        <v>587</v>
      </c>
      <c r="B50" s="283" t="str">
        <f>IF(D50=0,E50,CONCATENATE(E50,F50*100,G50,D50))</f>
        <v>так, 2,99% від суми кредиту, 22425</v>
      </c>
      <c r="C50" s="284"/>
      <c r="D50" s="64">
        <f>ROUND((графік!R9+графік!R11+графік!R17),2)</f>
        <v>22425</v>
      </c>
      <c r="E50" s="51" t="str">
        <f>IF(D50&gt;0,"так, ","ні")</f>
        <v xml:space="preserve">так, </v>
      </c>
      <c r="F50" s="17">
        <f>графік!R10</f>
        <v>2.9899999999999999E-2</v>
      </c>
      <c r="G50" s="51" t="s">
        <v>583</v>
      </c>
    </row>
    <row r="51" spans="1:7" ht="15" thickBot="1" x14ac:dyDescent="0.4">
      <c r="A51" s="273" t="s">
        <v>38</v>
      </c>
      <c r="B51" s="274"/>
      <c r="C51" s="275"/>
      <c r="D51" s="257"/>
      <c r="E51" s="257"/>
      <c r="F51" s="257"/>
    </row>
    <row r="52" spans="1:7" ht="61.5" customHeight="1" thickBot="1" x14ac:dyDescent="0.4">
      <c r="A52" s="253" t="s">
        <v>39</v>
      </c>
      <c r="B52" s="264" t="s">
        <v>588</v>
      </c>
      <c r="C52" s="266"/>
      <c r="D52" s="257"/>
      <c r="E52" s="257"/>
      <c r="F52" s="257"/>
    </row>
    <row r="53" spans="1:7" ht="15" thickBot="1" x14ac:dyDescent="0.4">
      <c r="A53" s="273" t="s">
        <v>41</v>
      </c>
      <c r="B53" s="274"/>
      <c r="C53" s="275"/>
    </row>
    <row r="54" spans="1:7" ht="23.5" thickBot="1" x14ac:dyDescent="0.4">
      <c r="A54" s="249" t="s">
        <v>44</v>
      </c>
      <c r="B54" s="264" t="s">
        <v>134</v>
      </c>
      <c r="C54" s="266"/>
    </row>
    <row r="55" spans="1:7" ht="29.5" customHeight="1" thickBot="1" x14ac:dyDescent="0.4">
      <c r="A55" s="249" t="s">
        <v>45</v>
      </c>
      <c r="B55" s="264" t="s">
        <v>589</v>
      </c>
      <c r="C55" s="266"/>
    </row>
    <row r="56" spans="1:7" ht="15" thickBot="1" x14ac:dyDescent="0.4">
      <c r="A56" s="255" t="s">
        <v>135</v>
      </c>
      <c r="B56" s="276" t="s">
        <v>22</v>
      </c>
      <c r="C56" s="277"/>
    </row>
    <row r="57" spans="1:7" ht="23.5" customHeight="1" thickBot="1" x14ac:dyDescent="0.4">
      <c r="A57" s="249" t="s">
        <v>123</v>
      </c>
      <c r="B57" s="264" t="s">
        <v>595</v>
      </c>
      <c r="C57" s="266"/>
    </row>
    <row r="58" spans="1:7" ht="15" thickBot="1" x14ac:dyDescent="0.4">
      <c r="A58" s="249" t="s">
        <v>47</v>
      </c>
      <c r="B58" s="264" t="s">
        <v>22</v>
      </c>
      <c r="C58" s="266"/>
    </row>
    <row r="59" spans="1:7" ht="25.5" customHeight="1" thickBot="1" x14ac:dyDescent="0.4">
      <c r="A59" s="249" t="s">
        <v>499</v>
      </c>
      <c r="B59" s="264" t="s">
        <v>111</v>
      </c>
      <c r="C59" s="266"/>
      <c r="D59" s="51"/>
      <c r="E59" s="51"/>
    </row>
    <row r="60" spans="1:7" ht="25.5" customHeight="1" thickBot="1" x14ac:dyDescent="0.4">
      <c r="A60" s="264" t="s">
        <v>500</v>
      </c>
      <c r="B60" s="265"/>
      <c r="C60" s="266"/>
      <c r="D60" s="51"/>
      <c r="E60" s="51"/>
    </row>
    <row r="61" spans="1:7" ht="15" thickBot="1" x14ac:dyDescent="0.4">
      <c r="A61" s="273" t="s">
        <v>48</v>
      </c>
      <c r="B61" s="274"/>
      <c r="C61" s="275"/>
    </row>
    <row r="62" spans="1:7" ht="36" customHeight="1" thickBot="1" x14ac:dyDescent="0.4">
      <c r="A62" s="264" t="s">
        <v>49</v>
      </c>
      <c r="B62" s="265"/>
      <c r="C62" s="266"/>
    </row>
    <row r="63" spans="1:7" ht="46.5" thickBot="1" x14ac:dyDescent="0.4">
      <c r="A63" s="253" t="s">
        <v>50</v>
      </c>
      <c r="B63" s="264" t="s">
        <v>111</v>
      </c>
      <c r="C63" s="266"/>
    </row>
    <row r="64" spans="1:7" ht="36" customHeight="1" thickBot="1" x14ac:dyDescent="0.4">
      <c r="A64" s="264" t="s">
        <v>120</v>
      </c>
      <c r="B64" s="265"/>
      <c r="C64" s="266"/>
    </row>
    <row r="65" spans="1:7" ht="36" customHeight="1" thickBot="1" x14ac:dyDescent="0.4">
      <c r="A65" s="264" t="s">
        <v>52</v>
      </c>
      <c r="B65" s="265"/>
      <c r="C65" s="266"/>
      <c r="D65" s="258"/>
      <c r="E65" s="51"/>
    </row>
    <row r="66" spans="1:7" ht="15" customHeight="1" x14ac:dyDescent="0.35">
      <c r="A66" s="306" t="str">
        <f ca="1">CONCATENATE(E67,TEXT(D67,"dd.mm.yyyy"))</f>
        <v>Дата надання інформації: 26.09.2023</v>
      </c>
      <c r="B66" s="267" t="str">
        <f ca="1">CONCATENATE(E68,TEXT(D68,"dd.mm.yyyy"))</f>
        <v>Ця інформація зберігає чинність та є актуальною до 26.09.2023</v>
      </c>
      <c r="C66" s="268"/>
      <c r="D66" s="51"/>
      <c r="E66" s="51"/>
      <c r="F66" s="51"/>
      <c r="G66" s="51"/>
    </row>
    <row r="67" spans="1:7" ht="15" thickBot="1" x14ac:dyDescent="0.4">
      <c r="A67" s="308"/>
      <c r="B67" s="269"/>
      <c r="C67" s="270"/>
      <c r="D67" s="258">
        <f ca="1">TODAY()</f>
        <v>45195</v>
      </c>
      <c r="E67" s="51" t="s">
        <v>493</v>
      </c>
      <c r="F67" s="51"/>
      <c r="G67" s="51"/>
    </row>
    <row r="68" spans="1:7" x14ac:dyDescent="0.35">
      <c r="A68" s="247"/>
      <c r="B68" s="267" t="s">
        <v>56</v>
      </c>
      <c r="C68" s="268"/>
      <c r="D68" s="258">
        <f ca="1">D67</f>
        <v>45195</v>
      </c>
      <c r="E68" s="309" t="s">
        <v>494</v>
      </c>
      <c r="F68" s="51"/>
      <c r="G68" s="51"/>
    </row>
    <row r="69" spans="1:7" ht="15" thickBot="1" x14ac:dyDescent="0.4">
      <c r="A69" s="259" t="s">
        <v>55</v>
      </c>
      <c r="B69" s="269"/>
      <c r="C69" s="270"/>
      <c r="D69" s="51"/>
      <c r="E69" s="309"/>
      <c r="F69" s="51"/>
      <c r="G69" s="51"/>
    </row>
    <row r="70" spans="1:7" ht="24" customHeight="1" thickBot="1" x14ac:dyDescent="0.4">
      <c r="A70" s="264" t="s">
        <v>57</v>
      </c>
      <c r="B70" s="265"/>
      <c r="C70" s="266"/>
      <c r="D70" s="51"/>
      <c r="E70" s="51"/>
      <c r="F70" s="51"/>
      <c r="G70" s="51"/>
    </row>
    <row r="71" spans="1:7" ht="48" customHeight="1" thickBot="1" x14ac:dyDescent="0.4">
      <c r="A71" s="264" t="s">
        <v>58</v>
      </c>
      <c r="B71" s="265"/>
      <c r="C71" s="266"/>
      <c r="D71" s="51"/>
      <c r="E71" s="51"/>
      <c r="F71" s="51"/>
      <c r="G71" s="51"/>
    </row>
    <row r="72" spans="1:7" x14ac:dyDescent="0.35">
      <c r="A72" s="248"/>
      <c r="B72" s="267" t="s">
        <v>60</v>
      </c>
      <c r="C72" s="268"/>
    </row>
    <row r="73" spans="1:7" ht="15" thickBot="1" x14ac:dyDescent="0.4">
      <c r="A73" s="259" t="s">
        <v>59</v>
      </c>
      <c r="B73" s="269"/>
      <c r="C73" s="270"/>
    </row>
    <row r="74" spans="1:7" ht="62" customHeight="1" thickBot="1" x14ac:dyDescent="0.4">
      <c r="A74" s="264" t="s">
        <v>501</v>
      </c>
      <c r="B74" s="265"/>
      <c r="C74" s="266"/>
    </row>
    <row r="75" spans="1:7" ht="28" customHeight="1" thickBot="1" x14ac:dyDescent="0.4">
      <c r="A75" s="264" t="s">
        <v>502</v>
      </c>
      <c r="B75" s="265"/>
      <c r="C75" s="266"/>
    </row>
  </sheetData>
  <mergeCells count="72">
    <mergeCell ref="E68:E69"/>
    <mergeCell ref="B68:C69"/>
    <mergeCell ref="A70:C70"/>
    <mergeCell ref="A71:C71"/>
    <mergeCell ref="B52:C52"/>
    <mergeCell ref="A53:C53"/>
    <mergeCell ref="A66:A67"/>
    <mergeCell ref="A64:C64"/>
    <mergeCell ref="A65:C65"/>
    <mergeCell ref="B66:C67"/>
    <mergeCell ref="B59:C59"/>
    <mergeCell ref="A60:C60"/>
    <mergeCell ref="A3:A5"/>
    <mergeCell ref="A6:A8"/>
    <mergeCell ref="A9:A10"/>
    <mergeCell ref="A29:A30"/>
    <mergeCell ref="A24:A25"/>
    <mergeCell ref="B3:C3"/>
    <mergeCell ref="B4:C4"/>
    <mergeCell ref="B5:C5"/>
    <mergeCell ref="B6:C6"/>
    <mergeCell ref="B7:C7"/>
    <mergeCell ref="B8:C8"/>
    <mergeCell ref="B9:C9"/>
    <mergeCell ref="B10:C10"/>
    <mergeCell ref="B11:C11"/>
    <mergeCell ref="B12:C12"/>
    <mergeCell ref="B13:C13"/>
    <mergeCell ref="A14:C14"/>
    <mergeCell ref="A20:C20"/>
    <mergeCell ref="B21:C21"/>
    <mergeCell ref="B22:C22"/>
    <mergeCell ref="B15:C19"/>
    <mergeCell ref="B23:C23"/>
    <mergeCell ref="B24:C25"/>
    <mergeCell ref="B26:C26"/>
    <mergeCell ref="B27:C27"/>
    <mergeCell ref="B28:C28"/>
    <mergeCell ref="B29:C30"/>
    <mergeCell ref="A31:C31"/>
    <mergeCell ref="B33:C33"/>
    <mergeCell ref="B34:C34"/>
    <mergeCell ref="B35:C35"/>
    <mergeCell ref="B32:C32"/>
    <mergeCell ref="A46:C46"/>
    <mergeCell ref="A51:C51"/>
    <mergeCell ref="B36:C36"/>
    <mergeCell ref="B37:C37"/>
    <mergeCell ref="B41:C41"/>
    <mergeCell ref="B42:C42"/>
    <mergeCell ref="B39:C39"/>
    <mergeCell ref="B40:C40"/>
    <mergeCell ref="B47:C47"/>
    <mergeCell ref="B48:C48"/>
    <mergeCell ref="B49:C49"/>
    <mergeCell ref="B50:C50"/>
    <mergeCell ref="A1:C1"/>
    <mergeCell ref="A74:C74"/>
    <mergeCell ref="A75:C75"/>
    <mergeCell ref="B72:C73"/>
    <mergeCell ref="A2:C2"/>
    <mergeCell ref="B57:C57"/>
    <mergeCell ref="B58:C58"/>
    <mergeCell ref="A61:C61"/>
    <mergeCell ref="A62:C62"/>
    <mergeCell ref="B63:C63"/>
    <mergeCell ref="B56:C56"/>
    <mergeCell ref="B54:C54"/>
    <mergeCell ref="B55:C55"/>
    <mergeCell ref="B43:C43"/>
    <mergeCell ref="A44:C44"/>
    <mergeCell ref="A45:C45"/>
  </mergeCells>
  <hyperlinks>
    <hyperlink ref="B12" r:id="rId1" display="mailto:bank@pravex.kiev.ua" xr:uid="{00000000-0004-0000-0000-000000000000}"/>
    <hyperlink ref="A75" r:id="rId2" location="n1190" display="n1190" xr:uid="{00000000-0004-0000-0000-000001000000}"/>
  </hyperlinks>
  <pageMargins left="0.7" right="0.7" top="0.75" bottom="0.75" header="0.3" footer="0.3"/>
  <pageSetup paperSize="9" scale="77" fitToHeight="0" orientation="portrait" r:id="rId3"/>
  <ignoredErrors>
    <ignoredError sqref="B50"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Лист1!$B$2:$B$47</xm:f>
          </x14:formula1>
          <xm:sqref>B5:C5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279"/>
  <sheetViews>
    <sheetView zoomScale="50" zoomScaleNormal="50" workbookViewId="0">
      <selection activeCell="L26" sqref="L26"/>
    </sheetView>
  </sheetViews>
  <sheetFormatPr defaultRowHeight="14.5" x14ac:dyDescent="0.35"/>
  <cols>
    <col min="1" max="1" width="4.26953125" style="141" customWidth="1"/>
    <col min="2" max="2" width="24.81640625" style="141" hidden="1" customWidth="1"/>
    <col min="3" max="3" width="26.453125" style="141" customWidth="1"/>
    <col min="4" max="4" width="10.26953125" style="141" customWidth="1"/>
    <col min="5" max="5" width="14.7265625" style="141" hidden="1" customWidth="1"/>
    <col min="6" max="7" width="19.81640625" style="141" customWidth="1"/>
    <col min="8" max="8" width="13.26953125" style="141" customWidth="1"/>
    <col min="9" max="9" width="22" style="141" customWidth="1"/>
    <col min="10" max="10" width="16.54296875" style="141" customWidth="1"/>
    <col min="11" max="11" width="13.453125" style="141" customWidth="1"/>
    <col min="12" max="12" width="12.1796875" style="141" customWidth="1"/>
    <col min="13" max="16" width="14.453125" style="141" customWidth="1"/>
    <col min="17" max="17" width="18.1796875" style="141" customWidth="1"/>
    <col min="18" max="18" width="13.1796875" style="141" customWidth="1"/>
    <col min="19" max="19" width="11.1796875" style="141" customWidth="1"/>
    <col min="20" max="20" width="12.81640625" style="141" customWidth="1"/>
    <col min="21" max="22" width="13.54296875" style="141" hidden="1" customWidth="1"/>
    <col min="23" max="25" width="9.1796875" style="141" hidden="1" customWidth="1"/>
    <col min="26" max="26" width="10.81640625" style="141" hidden="1" customWidth="1"/>
    <col min="27" max="27" width="9.1796875" style="141" hidden="1" customWidth="1"/>
    <col min="28" max="29" width="13" style="141" hidden="1" customWidth="1"/>
    <col min="30" max="30" width="11.54296875" style="141" hidden="1" customWidth="1"/>
    <col min="31" max="31" width="20.54296875" style="141" hidden="1" customWidth="1"/>
    <col min="32" max="34" width="9.1796875" style="141" hidden="1" customWidth="1"/>
    <col min="35" max="35" width="12" style="141" hidden="1" customWidth="1"/>
    <col min="36" max="16384" width="8.7265625" style="141"/>
  </cols>
  <sheetData>
    <row r="1" spans="1:35" x14ac:dyDescent="0.35">
      <c r="A1" s="310" t="s">
        <v>508</v>
      </c>
      <c r="B1" s="310"/>
      <c r="C1" s="310"/>
      <c r="D1" s="310"/>
      <c r="E1" s="310"/>
      <c r="F1" s="310"/>
      <c r="G1" s="310"/>
      <c r="H1" s="310"/>
      <c r="I1" s="310"/>
      <c r="J1" s="310"/>
      <c r="K1" s="310"/>
      <c r="L1" s="310"/>
      <c r="M1" s="310"/>
      <c r="N1" s="310"/>
      <c r="O1" s="310"/>
      <c r="P1" s="310"/>
      <c r="Q1" s="310"/>
      <c r="R1" s="310"/>
      <c r="S1" s="310"/>
      <c r="T1" s="310"/>
      <c r="U1" s="310"/>
      <c r="V1" s="180"/>
      <c r="AC1" s="141" t="s">
        <v>519</v>
      </c>
      <c r="AD1" s="141" t="s">
        <v>149</v>
      </c>
      <c r="AE1" s="141" t="s">
        <v>521</v>
      </c>
      <c r="AI1" s="141" t="s">
        <v>518</v>
      </c>
    </row>
    <row r="2" spans="1:35" x14ac:dyDescent="0.35">
      <c r="A2" s="142"/>
      <c r="B2" s="142"/>
      <c r="C2" s="142"/>
      <c r="D2" s="142"/>
      <c r="E2" s="142"/>
      <c r="F2" s="142"/>
      <c r="G2" s="142"/>
      <c r="H2" s="143"/>
      <c r="I2" s="142"/>
      <c r="J2" s="142"/>
      <c r="K2" s="142"/>
      <c r="L2" s="142"/>
      <c r="M2" s="142"/>
      <c r="N2" s="142"/>
      <c r="O2" s="142"/>
      <c r="P2" s="142"/>
      <c r="R2" s="142"/>
      <c r="S2" s="142"/>
      <c r="T2" s="142"/>
      <c r="U2" s="142"/>
      <c r="V2" s="142"/>
      <c r="AB2" s="141">
        <v>1</v>
      </c>
      <c r="AC2" s="144">
        <v>0</v>
      </c>
      <c r="AD2" s="144">
        <f>S10</f>
        <v>22425</v>
      </c>
      <c r="AE2" s="144">
        <f>S16</f>
        <v>0</v>
      </c>
      <c r="AH2" s="141">
        <v>1</v>
      </c>
      <c r="AI2" s="144">
        <f>R14</f>
        <v>2500</v>
      </c>
    </row>
    <row r="3" spans="1:35" x14ac:dyDescent="0.35">
      <c r="A3" s="142"/>
      <c r="B3" s="143" t="s">
        <v>61</v>
      </c>
      <c r="C3" s="145" t="s">
        <v>61</v>
      </c>
      <c r="D3" s="146">
        <f t="shared" ref="D3:D9" ca="1" si="0">F3</f>
        <v>45195</v>
      </c>
      <c r="E3" s="147"/>
      <c r="F3" s="126">
        <f ca="1">TODAY()</f>
        <v>45195</v>
      </c>
      <c r="G3" s="199"/>
      <c r="H3" s="143"/>
      <c r="I3" s="314" t="s">
        <v>122</v>
      </c>
      <c r="J3" s="314"/>
      <c r="K3" s="314"/>
      <c r="L3" s="314"/>
      <c r="M3" s="314"/>
      <c r="N3" s="314"/>
      <c r="O3" s="314"/>
      <c r="P3" s="314"/>
      <c r="Q3" s="314"/>
      <c r="R3" s="315">
        <v>1.9900000000000001E-2</v>
      </c>
      <c r="S3" s="315"/>
      <c r="T3" s="149">
        <f>R3</f>
        <v>1.9900000000000001E-2</v>
      </c>
      <c r="U3" s="142"/>
      <c r="V3" s="142"/>
      <c r="AB3" s="150">
        <v>2</v>
      </c>
      <c r="AC3" s="151">
        <v>0</v>
      </c>
      <c r="AD3" s="151" t="str">
        <f>IF($F$8&gt;12,Q40,0)</f>
        <v/>
      </c>
      <c r="AE3" s="151">
        <f>IF($Q$16&gt;1,AE2,0)</f>
        <v>0</v>
      </c>
      <c r="AH3" s="150">
        <v>2</v>
      </c>
      <c r="AI3" s="151">
        <f>IF($F$8&gt;12,L40,0)</f>
        <v>2500</v>
      </c>
    </row>
    <row r="4" spans="1:35" x14ac:dyDescent="0.35">
      <c r="A4" s="142"/>
      <c r="B4" s="143" t="s">
        <v>66</v>
      </c>
      <c r="C4" s="226" t="s">
        <v>121</v>
      </c>
      <c r="D4" s="152">
        <f t="shared" si="0"/>
        <v>5714286</v>
      </c>
      <c r="E4" s="227"/>
      <c r="F4" s="228">
        <v>5714286</v>
      </c>
      <c r="G4" s="204"/>
      <c r="H4" s="142"/>
      <c r="I4" s="316" t="s">
        <v>76</v>
      </c>
      <c r="J4" s="316"/>
      <c r="K4" s="316"/>
      <c r="L4" s="316"/>
      <c r="M4" s="316"/>
      <c r="N4" s="316"/>
      <c r="O4" s="316"/>
      <c r="P4" s="316"/>
      <c r="Q4" s="316"/>
      <c r="R4" s="317">
        <f>R3*F7</f>
        <v>14925</v>
      </c>
      <c r="S4" s="317"/>
      <c r="T4" s="245">
        <f>F7*T3</f>
        <v>14925</v>
      </c>
      <c r="U4" s="142"/>
      <c r="V4" s="142"/>
      <c r="AB4" s="150">
        <v>3</v>
      </c>
      <c r="AC4" s="151">
        <v>0</v>
      </c>
      <c r="AD4" s="151" t="str">
        <f>IF($F$8&gt;24,Q52,0)</f>
        <v/>
      </c>
      <c r="AE4" s="151">
        <f>IF($Q$16&gt;2,AE2,0)</f>
        <v>0</v>
      </c>
      <c r="AH4" s="150">
        <v>3</v>
      </c>
      <c r="AI4" s="151">
        <f>IF($F$8&gt;24,L52,0)</f>
        <v>2500</v>
      </c>
    </row>
    <row r="5" spans="1:35" x14ac:dyDescent="0.35">
      <c r="A5" s="142"/>
      <c r="B5" s="143" t="s">
        <v>65</v>
      </c>
      <c r="C5" s="229" t="s">
        <v>65</v>
      </c>
      <c r="D5" s="152">
        <f t="shared" si="0"/>
        <v>1714286</v>
      </c>
      <c r="E5" s="227"/>
      <c r="F5" s="228">
        <v>1714286</v>
      </c>
      <c r="G5" s="204"/>
      <c r="H5" s="153"/>
      <c r="I5" s="154" t="s">
        <v>115</v>
      </c>
      <c r="J5" s="155"/>
      <c r="K5" s="155"/>
      <c r="L5" s="155"/>
      <c r="M5" s="155"/>
      <c r="N5" s="155"/>
      <c r="O5" s="155"/>
      <c r="P5" s="155"/>
      <c r="Q5" s="206"/>
      <c r="R5" s="317">
        <v>0</v>
      </c>
      <c r="S5" s="317"/>
      <c r="T5" s="245">
        <v>0</v>
      </c>
      <c r="U5" s="142"/>
      <c r="V5" s="142"/>
      <c r="AB5" s="150">
        <v>4</v>
      </c>
      <c r="AC5" s="151">
        <v>0</v>
      </c>
      <c r="AD5" s="151" t="str">
        <f>IF($F$8&gt;36,Q64,0)</f>
        <v/>
      </c>
      <c r="AE5" s="210">
        <f>SUM(AE2:AE4)</f>
        <v>0</v>
      </c>
      <c r="AH5" s="150">
        <v>4</v>
      </c>
      <c r="AI5" s="151">
        <f>IF($F$8&gt;36,L64,0)</f>
        <v>2500</v>
      </c>
    </row>
    <row r="6" spans="1:35" x14ac:dyDescent="0.35">
      <c r="A6" s="142"/>
      <c r="B6" s="143" t="s">
        <v>67</v>
      </c>
      <c r="C6" s="230" t="s">
        <v>67</v>
      </c>
      <c r="D6" s="231">
        <f t="shared" si="0"/>
        <v>0.30000003499999828</v>
      </c>
      <c r="E6" s="227"/>
      <c r="F6" s="231">
        <f>F5/F4</f>
        <v>0.30000003499999828</v>
      </c>
      <c r="G6" s="200"/>
      <c r="H6" s="156"/>
      <c r="I6" s="124" t="s">
        <v>136</v>
      </c>
      <c r="J6" s="318" t="s">
        <v>141</v>
      </c>
      <c r="K6" s="318"/>
      <c r="L6" s="318"/>
      <c r="M6" s="318"/>
      <c r="N6" s="318"/>
      <c r="O6" s="318"/>
      <c r="P6" s="318"/>
      <c r="Q6" s="318"/>
      <c r="R6" s="318"/>
      <c r="S6" s="318"/>
      <c r="T6" s="245"/>
      <c r="U6" s="142"/>
      <c r="V6" s="142"/>
      <c r="AB6" s="150">
        <v>5</v>
      </c>
      <c r="AC6" s="151">
        <v>0</v>
      </c>
      <c r="AD6" s="151" t="str">
        <f>IF($F$8&gt;48,Q76,0)</f>
        <v/>
      </c>
      <c r="AH6" s="150">
        <v>5</v>
      </c>
      <c r="AI6" s="151">
        <f>IF($F$8&gt;48,L76,0)</f>
        <v>2500</v>
      </c>
    </row>
    <row r="7" spans="1:35" x14ac:dyDescent="0.35">
      <c r="A7" s="142"/>
      <c r="B7" s="143" t="s">
        <v>64</v>
      </c>
      <c r="C7" s="157" t="s">
        <v>64</v>
      </c>
      <c r="D7" s="152">
        <f t="shared" si="0"/>
        <v>750000</v>
      </c>
      <c r="E7" s="147"/>
      <c r="F7" s="216">
        <v>750000</v>
      </c>
      <c r="G7" s="163"/>
      <c r="H7" s="156"/>
      <c r="I7" s="125"/>
      <c r="J7" s="158" t="s">
        <v>142</v>
      </c>
      <c r="K7" s="159"/>
      <c r="L7" s="159"/>
      <c r="M7" s="159"/>
      <c r="N7" s="159"/>
      <c r="O7" s="159"/>
      <c r="P7" s="159"/>
      <c r="Q7" s="208" t="s">
        <v>495</v>
      </c>
      <c r="R7" s="319">
        <v>0</v>
      </c>
      <c r="S7" s="320"/>
      <c r="T7" s="149">
        <f>R7</f>
        <v>0</v>
      </c>
      <c r="U7" s="142"/>
      <c r="V7" s="142"/>
      <c r="AB7" s="150">
        <v>6</v>
      </c>
      <c r="AC7" s="151">
        <v>0</v>
      </c>
      <c r="AD7" s="151">
        <f>IF($F$8&gt;60,Q88,0)</f>
        <v>0</v>
      </c>
      <c r="AE7" s="141" t="s">
        <v>104</v>
      </c>
      <c r="AH7" s="150">
        <v>6</v>
      </c>
      <c r="AI7" s="151">
        <f>IF($F$8&gt;60,L88,0)</f>
        <v>0</v>
      </c>
    </row>
    <row r="8" spans="1:35" x14ac:dyDescent="0.35">
      <c r="A8" s="142"/>
      <c r="B8" s="143" t="s">
        <v>63</v>
      </c>
      <c r="C8" s="161" t="s">
        <v>63</v>
      </c>
      <c r="D8" s="152">
        <f t="shared" si="0"/>
        <v>60</v>
      </c>
      <c r="E8" s="147"/>
      <c r="F8" s="127">
        <v>60</v>
      </c>
      <c r="G8" s="205"/>
      <c r="H8" s="162">
        <f>F8/12</f>
        <v>5</v>
      </c>
      <c r="I8" s="125"/>
      <c r="J8" s="158" t="s">
        <v>143</v>
      </c>
      <c r="K8" s="159"/>
      <c r="L8" s="159"/>
      <c r="M8" s="159"/>
      <c r="N8" s="159"/>
      <c r="O8" s="159"/>
      <c r="P8" s="159"/>
      <c r="Q8" s="208" t="s">
        <v>496</v>
      </c>
      <c r="R8" s="214">
        <v>0</v>
      </c>
      <c r="S8" s="181">
        <f>R8*F4</f>
        <v>0</v>
      </c>
      <c r="T8" s="245">
        <f>T4</f>
        <v>14925</v>
      </c>
      <c r="U8" s="142"/>
      <c r="V8" s="142"/>
      <c r="X8" s="141" t="s">
        <v>91</v>
      </c>
      <c r="AB8" s="150">
        <v>7</v>
      </c>
      <c r="AC8" s="151">
        <v>0</v>
      </c>
      <c r="AD8" s="144">
        <f t="shared" ref="AD8:AD21" si="1">IF(AC8&gt;0,$AD$2,0)</f>
        <v>0</v>
      </c>
      <c r="AE8" s="142" t="s">
        <v>105</v>
      </c>
      <c r="AF8" s="141" t="s">
        <v>83</v>
      </c>
      <c r="AG8" s="141">
        <v>1700</v>
      </c>
      <c r="AH8" s="150">
        <v>7</v>
      </c>
      <c r="AI8" s="151">
        <f>IF($F$8&gt;72,L100,0)</f>
        <v>0</v>
      </c>
    </row>
    <row r="9" spans="1:35" x14ac:dyDescent="0.35">
      <c r="A9" s="142"/>
      <c r="B9" s="143" t="s">
        <v>62</v>
      </c>
      <c r="C9" s="220" t="s">
        <v>525</v>
      </c>
      <c r="D9" s="164">
        <f t="shared" si="0"/>
        <v>0.18990000000000001</v>
      </c>
      <c r="E9" s="218"/>
      <c r="F9" s="215">
        <v>0.18990000000000001</v>
      </c>
      <c r="G9" s="201"/>
      <c r="H9" s="160">
        <f>F12+F13</f>
        <v>0.1187</v>
      </c>
      <c r="I9" s="125"/>
      <c r="J9" s="321" t="s">
        <v>144</v>
      </c>
      <c r="K9" s="322"/>
      <c r="L9" s="322"/>
      <c r="M9" s="322"/>
      <c r="N9" s="322"/>
      <c r="O9" s="322"/>
      <c r="P9" s="322"/>
      <c r="Q9" s="322"/>
      <c r="R9" s="323">
        <f>S8</f>
        <v>0</v>
      </c>
      <c r="S9" s="324"/>
      <c r="T9" s="245">
        <f>R9</f>
        <v>0</v>
      </c>
      <c r="U9" s="142"/>
      <c r="V9" s="142"/>
      <c r="X9" s="141" t="s">
        <v>92</v>
      </c>
      <c r="AB9" s="150">
        <v>8</v>
      </c>
      <c r="AC9" s="151">
        <f>IF($F$8&gt;84,Q112,0)</f>
        <v>0</v>
      </c>
      <c r="AD9" s="144">
        <f t="shared" si="1"/>
        <v>0</v>
      </c>
      <c r="AH9" s="150">
        <v>8</v>
      </c>
      <c r="AI9" s="151">
        <f>IF($F$8&gt;84,L112,0)</f>
        <v>0</v>
      </c>
    </row>
    <row r="10" spans="1:35" ht="17.25" customHeight="1" x14ac:dyDescent="0.35">
      <c r="A10" s="142"/>
      <c r="B10" s="142"/>
      <c r="C10" s="221" t="s">
        <v>153</v>
      </c>
      <c r="D10" s="146">
        <f ca="1">EDATE(F3,F8)</f>
        <v>47022</v>
      </c>
      <c r="E10" s="147"/>
      <c r="F10" s="148">
        <f ca="1">EDATE(F3,F8)-1</f>
        <v>47021</v>
      </c>
      <c r="G10" s="202"/>
      <c r="H10" s="12"/>
      <c r="I10" s="125"/>
      <c r="J10" s="321" t="s">
        <v>145</v>
      </c>
      <c r="K10" s="322"/>
      <c r="L10" s="322"/>
      <c r="M10" s="322"/>
      <c r="N10" s="322"/>
      <c r="O10" s="322"/>
      <c r="P10" s="322"/>
      <c r="Q10" s="322"/>
      <c r="R10" s="214">
        <v>2.9899999999999999E-2</v>
      </c>
      <c r="S10" s="181">
        <f>R10*F7</f>
        <v>22425</v>
      </c>
      <c r="T10" s="144"/>
      <c r="U10" s="12"/>
      <c r="V10" s="12"/>
      <c r="W10" s="7"/>
      <c r="AB10" s="150">
        <v>9</v>
      </c>
      <c r="AC10" s="151">
        <f>IF($F$8&gt;96,Q124,0)</f>
        <v>0</v>
      </c>
      <c r="AD10" s="144">
        <f t="shared" si="1"/>
        <v>0</v>
      </c>
      <c r="AG10" s="141">
        <f>F4/AG8</f>
        <v>3361.3447058823531</v>
      </c>
      <c r="AH10" s="150">
        <v>9</v>
      </c>
      <c r="AI10" s="151">
        <f>IF($F$8&gt;96,L124,0)</f>
        <v>0</v>
      </c>
    </row>
    <row r="11" spans="1:35" ht="32.25" customHeight="1" x14ac:dyDescent="0.35">
      <c r="A11" s="142"/>
      <c r="B11" s="142"/>
      <c r="C11" s="217" t="s">
        <v>81</v>
      </c>
      <c r="D11" s="325">
        <f ca="1">EDATE(D3,60)</f>
        <v>47022</v>
      </c>
      <c r="E11" s="325"/>
      <c r="F11" s="325"/>
      <c r="G11" s="203"/>
      <c r="H11" s="12"/>
      <c r="I11" s="125"/>
      <c r="J11" s="321" t="s">
        <v>146</v>
      </c>
      <c r="K11" s="322"/>
      <c r="L11" s="322"/>
      <c r="M11" s="322"/>
      <c r="N11" s="322"/>
      <c r="O11" s="322"/>
      <c r="P11" s="322"/>
      <c r="Q11" s="322"/>
      <c r="R11" s="323">
        <f>AC22</f>
        <v>22425</v>
      </c>
      <c r="S11" s="324"/>
      <c r="T11" s="245">
        <f>R11</f>
        <v>22425</v>
      </c>
      <c r="U11" s="12"/>
      <c r="V11" s="12"/>
      <c r="W11" s="7"/>
      <c r="AB11" s="150">
        <v>10</v>
      </c>
      <c r="AC11" s="151">
        <f>IF($F$8&gt;108,Q136,0)</f>
        <v>0</v>
      </c>
      <c r="AD11" s="144">
        <f t="shared" si="1"/>
        <v>0</v>
      </c>
      <c r="AH11" s="150">
        <v>10</v>
      </c>
      <c r="AI11" s="151">
        <f>IF($F$8&gt;108,L136,0)</f>
        <v>0</v>
      </c>
    </row>
    <row r="12" spans="1:35" ht="30" customHeight="1" x14ac:dyDescent="0.35">
      <c r="A12" s="142"/>
      <c r="B12" s="142"/>
      <c r="C12" s="217" t="s">
        <v>119</v>
      </c>
      <c r="D12" s="160"/>
      <c r="E12" s="160">
        <f>F12+F13</f>
        <v>0.1187</v>
      </c>
      <c r="F12" s="219">
        <v>8.8700000000000001E-2</v>
      </c>
      <c r="G12" s="201"/>
      <c r="H12" s="12"/>
      <c r="I12" s="125"/>
      <c r="J12" s="158" t="s">
        <v>147</v>
      </c>
      <c r="K12" s="159"/>
      <c r="L12" s="159"/>
      <c r="M12" s="159"/>
      <c r="N12" s="159"/>
      <c r="O12" s="159"/>
      <c r="P12" s="159"/>
      <c r="Q12" s="208" t="s">
        <v>495</v>
      </c>
      <c r="R12" s="319">
        <v>0</v>
      </c>
      <c r="S12" s="320"/>
      <c r="T12" s="245">
        <f>IF(Q12="наявне",F7*F8*0.12%,0)</f>
        <v>0</v>
      </c>
      <c r="U12" s="108"/>
      <c r="V12" s="12"/>
      <c r="W12" s="7"/>
      <c r="AB12" s="150">
        <v>11</v>
      </c>
      <c r="AC12" s="151">
        <f>IF($F$8&gt;120,Q148,0)</f>
        <v>0</v>
      </c>
      <c r="AD12" s="144">
        <f t="shared" si="1"/>
        <v>0</v>
      </c>
      <c r="AH12" s="150">
        <v>11</v>
      </c>
      <c r="AI12" s="151">
        <f>IF($F$8&gt;120,L148,0)</f>
        <v>0</v>
      </c>
    </row>
    <row r="13" spans="1:35" ht="15.75" customHeight="1" x14ac:dyDescent="0.35">
      <c r="A13" s="165"/>
      <c r="B13" s="142"/>
      <c r="C13" s="217" t="s">
        <v>80</v>
      </c>
      <c r="D13" s="169"/>
      <c r="E13" s="169"/>
      <c r="F13" s="160">
        <v>0.03</v>
      </c>
      <c r="G13" s="200"/>
      <c r="H13" s="13"/>
      <c r="I13" s="125"/>
      <c r="J13" s="158" t="s">
        <v>140</v>
      </c>
      <c r="K13" s="159"/>
      <c r="L13" s="159"/>
      <c r="M13" s="159"/>
      <c r="N13" s="159"/>
      <c r="O13" s="159"/>
      <c r="P13" s="159"/>
      <c r="Q13" s="159"/>
      <c r="R13" s="336">
        <v>0</v>
      </c>
      <c r="S13" s="337"/>
      <c r="T13" s="246"/>
      <c r="U13" s="13"/>
      <c r="V13" s="13"/>
      <c r="W13" s="6"/>
      <c r="AB13" s="150">
        <v>12</v>
      </c>
      <c r="AC13" s="151">
        <f>IF($F$8&gt;132,Q160,0)</f>
        <v>0</v>
      </c>
      <c r="AD13" s="144">
        <f t="shared" si="1"/>
        <v>0</v>
      </c>
      <c r="AH13" s="150">
        <v>12</v>
      </c>
      <c r="AI13" s="151">
        <f>IF($F$8&gt;132,L160,0)</f>
        <v>0</v>
      </c>
    </row>
    <row r="14" spans="1:35" x14ac:dyDescent="0.35">
      <c r="A14" s="142"/>
      <c r="B14" s="142"/>
      <c r="C14" s="217" t="s">
        <v>151</v>
      </c>
      <c r="D14" s="160"/>
      <c r="E14" s="169"/>
      <c r="F14" s="160">
        <v>0.1699</v>
      </c>
      <c r="G14" s="149"/>
      <c r="H14" s="13"/>
      <c r="I14" s="334" t="s">
        <v>148</v>
      </c>
      <c r="J14" s="167"/>
      <c r="K14" s="168"/>
      <c r="L14" s="168"/>
      <c r="M14" s="329" t="s">
        <v>497</v>
      </c>
      <c r="N14" s="330"/>
      <c r="O14" s="330"/>
      <c r="P14" s="330"/>
      <c r="Q14" s="331"/>
      <c r="R14" s="338">
        <v>2500</v>
      </c>
      <c r="S14" s="338"/>
      <c r="T14" s="6"/>
      <c r="U14" s="13"/>
      <c r="V14" s="13"/>
      <c r="W14" s="6"/>
      <c r="AB14" s="150">
        <v>13</v>
      </c>
      <c r="AC14" s="151">
        <f>IF($F$8&gt;144,Q172,0)</f>
        <v>0</v>
      </c>
      <c r="AD14" s="144">
        <f t="shared" si="1"/>
        <v>0</v>
      </c>
      <c r="AH14" s="150">
        <v>13</v>
      </c>
      <c r="AI14" s="151">
        <f>IF($F$8&gt;144,L172,0)</f>
        <v>0</v>
      </c>
    </row>
    <row r="15" spans="1:35" ht="31.5" customHeight="1" x14ac:dyDescent="0.35">
      <c r="A15" s="142"/>
      <c r="B15" s="142"/>
      <c r="C15" s="166" t="s">
        <v>151</v>
      </c>
      <c r="D15" s="160"/>
      <c r="E15" s="169"/>
      <c r="F15" s="160">
        <v>0.1699</v>
      </c>
      <c r="G15" s="160"/>
      <c r="H15" s="12"/>
      <c r="I15" s="335"/>
      <c r="J15" s="139"/>
      <c r="K15" s="140"/>
      <c r="L15" s="140"/>
      <c r="M15" s="326" t="s">
        <v>498</v>
      </c>
      <c r="N15" s="327"/>
      <c r="O15" s="327"/>
      <c r="P15" s="327"/>
      <c r="Q15" s="328"/>
      <c r="R15" s="317">
        <f>AH22</f>
        <v>12500</v>
      </c>
      <c r="S15" s="317"/>
      <c r="T15" s="144"/>
      <c r="U15" s="12"/>
      <c r="V15" s="12"/>
      <c r="W15" s="7"/>
      <c r="AB15" s="150">
        <v>14</v>
      </c>
      <c r="AC15" s="151">
        <f>IF($F$8&gt;156,Q184,0)</f>
        <v>0</v>
      </c>
      <c r="AD15" s="144">
        <f t="shared" si="1"/>
        <v>0</v>
      </c>
      <c r="AG15" s="141" t="str">
        <f>IF(AG10&lt;165,"3%",IF(AG10&gt;290,"5%","4%"))</f>
        <v>5%</v>
      </c>
      <c r="AH15" s="150">
        <v>14</v>
      </c>
      <c r="AI15" s="151">
        <f>IF($F$8&gt;156,L184,0)</f>
        <v>0</v>
      </c>
    </row>
    <row r="16" spans="1:35" x14ac:dyDescent="0.35">
      <c r="A16" s="142"/>
      <c r="B16" s="142"/>
      <c r="C16" s="169"/>
      <c r="D16" s="169"/>
      <c r="E16" s="169"/>
      <c r="F16" s="170"/>
      <c r="G16" s="170"/>
      <c r="H16" s="12"/>
      <c r="I16" s="340" t="s">
        <v>520</v>
      </c>
      <c r="J16" s="211" t="s">
        <v>522</v>
      </c>
      <c r="K16" s="211"/>
      <c r="L16" s="211"/>
      <c r="M16" s="158"/>
      <c r="N16" s="159"/>
      <c r="O16" s="213"/>
      <c r="P16" s="212" t="s">
        <v>524</v>
      </c>
      <c r="Q16" s="233">
        <v>0</v>
      </c>
      <c r="R16" s="232">
        <v>0</v>
      </c>
      <c r="S16" s="181">
        <f>R16*F7</f>
        <v>0</v>
      </c>
      <c r="T16" s="144"/>
      <c r="U16" s="12"/>
      <c r="V16" s="12"/>
      <c r="W16" s="7"/>
      <c r="AB16" s="150">
        <v>15</v>
      </c>
      <c r="AC16" s="151">
        <f>IF($F$8&gt;168,Q196,0)</f>
        <v>0</v>
      </c>
      <c r="AD16" s="144">
        <f t="shared" si="1"/>
        <v>0</v>
      </c>
      <c r="AH16" s="150">
        <v>15</v>
      </c>
      <c r="AI16" s="151">
        <f>IF($F$8&gt;168,L196,0)</f>
        <v>0</v>
      </c>
    </row>
    <row r="17" spans="1:35" x14ac:dyDescent="0.35">
      <c r="A17" s="142"/>
      <c r="B17" s="142"/>
      <c r="C17" s="169"/>
      <c r="D17" s="169"/>
      <c r="E17" s="169"/>
      <c r="F17" s="170"/>
      <c r="G17" s="170"/>
      <c r="H17" s="12"/>
      <c r="I17" s="340"/>
      <c r="J17" s="339" t="s">
        <v>523</v>
      </c>
      <c r="K17" s="339"/>
      <c r="L17" s="339"/>
      <c r="M17" s="339"/>
      <c r="N17" s="339"/>
      <c r="O17" s="339"/>
      <c r="P17" s="339"/>
      <c r="Q17" s="339"/>
      <c r="R17" s="317">
        <f>AE5</f>
        <v>0</v>
      </c>
      <c r="S17" s="317"/>
      <c r="T17" s="144"/>
      <c r="U17" s="12"/>
      <c r="V17" s="12"/>
      <c r="W17" s="7"/>
      <c r="AB17" s="150">
        <v>16</v>
      </c>
      <c r="AC17" s="151">
        <f>IF($F$8&gt;180,Q208,0)</f>
        <v>0</v>
      </c>
      <c r="AD17" s="144">
        <f t="shared" si="1"/>
        <v>0</v>
      </c>
      <c r="AH17" s="150">
        <v>16</v>
      </c>
      <c r="AI17" s="151">
        <f>IF($F$8&gt;180,L208,0)</f>
        <v>0</v>
      </c>
    </row>
    <row r="18" spans="1:35" x14ac:dyDescent="0.35">
      <c r="A18" s="142"/>
      <c r="B18" s="142"/>
      <c r="C18" s="169"/>
      <c r="D18" s="169"/>
      <c r="E18" s="169"/>
      <c r="F18" s="170"/>
      <c r="G18" s="170"/>
      <c r="H18" s="12"/>
      <c r="I18" s="123"/>
      <c r="J18" s="123"/>
      <c r="K18" s="123"/>
      <c r="L18" s="123"/>
      <c r="M18" s="123"/>
      <c r="N18" s="123"/>
      <c r="O18" s="123"/>
      <c r="P18" s="123"/>
      <c r="Q18" s="7"/>
      <c r="R18" s="12"/>
      <c r="S18" s="12"/>
      <c r="T18" s="144"/>
      <c r="U18" s="12"/>
      <c r="V18" s="12"/>
      <c r="W18" s="7"/>
      <c r="AB18" s="150">
        <v>17</v>
      </c>
      <c r="AC18" s="151">
        <f>IF($F$8&gt;192,Q220,0)</f>
        <v>0</v>
      </c>
      <c r="AD18" s="144">
        <f t="shared" si="1"/>
        <v>0</v>
      </c>
      <c r="AH18" s="150">
        <v>17</v>
      </c>
      <c r="AI18" s="151">
        <f>IF($F$8&gt;192,L220,0)</f>
        <v>0</v>
      </c>
    </row>
    <row r="19" spans="1:35" x14ac:dyDescent="0.35">
      <c r="A19" s="142"/>
      <c r="B19" s="142"/>
      <c r="C19" s="169"/>
      <c r="D19" s="169"/>
      <c r="E19" s="169"/>
      <c r="F19" s="170"/>
      <c r="G19" s="170"/>
      <c r="H19" s="12"/>
      <c r="I19" s="123"/>
      <c r="J19" s="123"/>
      <c r="K19" s="123"/>
      <c r="L19" s="123"/>
      <c r="M19" s="123"/>
      <c r="N19" s="123"/>
      <c r="O19" s="123"/>
      <c r="P19" s="123"/>
      <c r="Q19" s="7"/>
      <c r="R19" s="12"/>
      <c r="S19" s="12"/>
      <c r="T19" s="144"/>
      <c r="U19" s="12"/>
      <c r="V19" s="12"/>
      <c r="W19" s="7"/>
      <c r="AB19" s="150">
        <v>18</v>
      </c>
      <c r="AC19" s="151">
        <f>IF($F$8&gt;204,Q232,0)</f>
        <v>0</v>
      </c>
      <c r="AD19" s="144">
        <f t="shared" si="1"/>
        <v>0</v>
      </c>
      <c r="AH19" s="150">
        <v>18</v>
      </c>
      <c r="AI19" s="151">
        <f>IF($F$8&gt;204,L232,0)</f>
        <v>0</v>
      </c>
    </row>
    <row r="20" spans="1:35" x14ac:dyDescent="0.35">
      <c r="A20" s="142"/>
      <c r="B20" s="142"/>
      <c r="C20" s="169"/>
      <c r="D20" s="169"/>
      <c r="E20" s="169"/>
      <c r="F20" s="170"/>
      <c r="G20" s="170"/>
      <c r="H20" s="12"/>
      <c r="I20" s="123"/>
      <c r="J20" s="123"/>
      <c r="K20" s="123"/>
      <c r="L20" s="123"/>
      <c r="M20" s="123"/>
      <c r="N20" s="123"/>
      <c r="O20" s="123"/>
      <c r="P20" s="123"/>
      <c r="Q20" s="7"/>
      <c r="R20" s="12"/>
      <c r="S20" s="12"/>
      <c r="T20" s="144"/>
      <c r="U20" s="12"/>
      <c r="V20" s="12"/>
      <c r="W20" s="7"/>
      <c r="AB20" s="150">
        <v>19</v>
      </c>
      <c r="AC20" s="151">
        <f>IF($F$8&gt;216,Q244,0)</f>
        <v>0</v>
      </c>
      <c r="AD20" s="144">
        <f t="shared" si="1"/>
        <v>0</v>
      </c>
      <c r="AH20" s="150">
        <v>19</v>
      </c>
      <c r="AI20" s="151">
        <f>IF($F$8&gt;216,L244,0)</f>
        <v>0</v>
      </c>
    </row>
    <row r="21" spans="1:35" ht="18.75" customHeight="1" x14ac:dyDescent="0.35">
      <c r="A21" s="171"/>
      <c r="B21" s="142"/>
      <c r="C21" s="171"/>
      <c r="D21" s="171"/>
      <c r="E21" s="142"/>
      <c r="F21" s="142"/>
      <c r="G21" s="142"/>
      <c r="H21" s="54"/>
      <c r="I21" s="56"/>
      <c r="J21" s="54"/>
      <c r="K21" s="54"/>
      <c r="L21" s="54"/>
      <c r="M21" s="54"/>
      <c r="N21" s="54"/>
      <c r="O21" s="54"/>
      <c r="P21" s="54"/>
      <c r="Q21" s="207"/>
      <c r="R21" s="54"/>
      <c r="S21" s="54"/>
      <c r="T21" s="56"/>
      <c r="U21" s="13"/>
      <c r="V21" s="13"/>
      <c r="W21" s="6"/>
      <c r="AB21" s="150">
        <v>20</v>
      </c>
      <c r="AC21" s="151">
        <f>IF($F$8&gt;228,Q256,0)</f>
        <v>0</v>
      </c>
      <c r="AD21" s="144">
        <f t="shared" si="1"/>
        <v>0</v>
      </c>
      <c r="AH21" s="150">
        <v>20</v>
      </c>
      <c r="AI21" s="151">
        <f>IF($F$8&gt;228,L256,0)</f>
        <v>0</v>
      </c>
    </row>
    <row r="22" spans="1:35" ht="38.25" customHeight="1" x14ac:dyDescent="0.35">
      <c r="A22" s="332" t="s">
        <v>528</v>
      </c>
      <c r="B22" s="223" t="s">
        <v>69</v>
      </c>
      <c r="C22" s="332" t="s">
        <v>504</v>
      </c>
      <c r="D22" s="332" t="s">
        <v>503</v>
      </c>
      <c r="E22" s="311" t="s">
        <v>71</v>
      </c>
      <c r="F22" s="332" t="s">
        <v>505</v>
      </c>
      <c r="G22" s="342" t="s">
        <v>509</v>
      </c>
      <c r="H22" s="343"/>
      <c r="I22" s="343"/>
      <c r="J22" s="343"/>
      <c r="K22" s="343"/>
      <c r="L22" s="343"/>
      <c r="M22" s="343"/>
      <c r="N22" s="343"/>
      <c r="O22" s="343"/>
      <c r="P22" s="343"/>
      <c r="Q22" s="343"/>
      <c r="R22" s="344"/>
      <c r="S22" s="332" t="s">
        <v>108</v>
      </c>
      <c r="T22" s="332" t="s">
        <v>89</v>
      </c>
      <c r="U22" s="311" t="s">
        <v>150</v>
      </c>
      <c r="V22" s="6"/>
      <c r="AB22" s="144">
        <f>SUM(AC2:AC21)</f>
        <v>0</v>
      </c>
      <c r="AC22" s="144">
        <f>SUM(AD2:AD21)</f>
        <v>22425</v>
      </c>
      <c r="AH22" s="144">
        <f>SUM(AI2:AI21)</f>
        <v>12500</v>
      </c>
    </row>
    <row r="23" spans="1:35" ht="38.25" customHeight="1" x14ac:dyDescent="0.35">
      <c r="A23" s="333"/>
      <c r="B23" s="224"/>
      <c r="C23" s="333"/>
      <c r="D23" s="333"/>
      <c r="E23" s="312"/>
      <c r="F23" s="333"/>
      <c r="G23" s="332" t="s">
        <v>506</v>
      </c>
      <c r="H23" s="332" t="s">
        <v>507</v>
      </c>
      <c r="I23" s="342" t="s">
        <v>510</v>
      </c>
      <c r="J23" s="343"/>
      <c r="K23" s="343"/>
      <c r="L23" s="343"/>
      <c r="M23" s="343"/>
      <c r="N23" s="343"/>
      <c r="O23" s="343"/>
      <c r="P23" s="343"/>
      <c r="Q23" s="343"/>
      <c r="R23" s="344"/>
      <c r="S23" s="333"/>
      <c r="T23" s="333"/>
      <c r="U23" s="312"/>
      <c r="V23" s="6"/>
      <c r="AB23" s="144"/>
      <c r="AC23" s="144"/>
      <c r="AH23" s="144"/>
    </row>
    <row r="24" spans="1:35" ht="38.25" customHeight="1" x14ac:dyDescent="0.35">
      <c r="A24" s="333"/>
      <c r="B24" s="224"/>
      <c r="C24" s="333"/>
      <c r="D24" s="333"/>
      <c r="E24" s="312"/>
      <c r="F24" s="333"/>
      <c r="G24" s="333"/>
      <c r="H24" s="333"/>
      <c r="I24" s="345" t="s">
        <v>529</v>
      </c>
      <c r="J24" s="346"/>
      <c r="K24" s="346"/>
      <c r="L24" s="347"/>
      <c r="M24" s="345" t="s">
        <v>513</v>
      </c>
      <c r="N24" s="347"/>
      <c r="O24" s="345" t="s">
        <v>516</v>
      </c>
      <c r="P24" s="346"/>
      <c r="Q24" s="346"/>
      <c r="R24" s="347"/>
      <c r="S24" s="333"/>
      <c r="T24" s="333"/>
      <c r="U24" s="312"/>
      <c r="V24" s="6"/>
      <c r="AB24" s="144"/>
      <c r="AC24" s="144"/>
      <c r="AH24" s="144"/>
    </row>
    <row r="25" spans="1:35" ht="51.5" customHeight="1" thickBot="1" x14ac:dyDescent="0.4">
      <c r="A25" s="333"/>
      <c r="B25" s="224"/>
      <c r="C25" s="333"/>
      <c r="D25" s="333"/>
      <c r="E25" s="312"/>
      <c r="F25" s="341"/>
      <c r="G25" s="333"/>
      <c r="H25" s="333"/>
      <c r="I25" s="183" t="s">
        <v>511</v>
      </c>
      <c r="J25" s="124" t="s">
        <v>517</v>
      </c>
      <c r="K25" s="183" t="s">
        <v>512</v>
      </c>
      <c r="L25" s="183" t="s">
        <v>585</v>
      </c>
      <c r="M25" s="225" t="s">
        <v>514</v>
      </c>
      <c r="N25" s="184" t="s">
        <v>515</v>
      </c>
      <c r="O25" s="185" t="s">
        <v>137</v>
      </c>
      <c r="P25" s="222" t="s">
        <v>138</v>
      </c>
      <c r="Q25" s="124" t="s">
        <v>139</v>
      </c>
      <c r="R25" s="124" t="s">
        <v>140</v>
      </c>
      <c r="S25" s="333"/>
      <c r="T25" s="333"/>
      <c r="U25" s="313"/>
      <c r="V25" s="6"/>
    </row>
    <row r="26" spans="1:35" ht="13" customHeight="1" thickBot="1" x14ac:dyDescent="0.4">
      <c r="A26" s="186">
        <v>1</v>
      </c>
      <c r="B26" s="187"/>
      <c r="C26" s="187">
        <v>2</v>
      </c>
      <c r="D26" s="187">
        <v>3</v>
      </c>
      <c r="E26" s="187"/>
      <c r="F26" s="187">
        <v>4</v>
      </c>
      <c r="G26" s="187">
        <v>5</v>
      </c>
      <c r="H26" s="187">
        <v>6</v>
      </c>
      <c r="I26" s="189">
        <v>7</v>
      </c>
      <c r="J26" s="187">
        <v>8</v>
      </c>
      <c r="K26" s="187">
        <v>9</v>
      </c>
      <c r="L26" s="187">
        <v>10</v>
      </c>
      <c r="M26" s="189">
        <v>11</v>
      </c>
      <c r="N26" s="187">
        <v>12</v>
      </c>
      <c r="O26" s="187">
        <v>13</v>
      </c>
      <c r="P26" s="187">
        <v>14</v>
      </c>
      <c r="Q26" s="187">
        <v>15</v>
      </c>
      <c r="R26" s="187">
        <v>16</v>
      </c>
      <c r="S26" s="187">
        <v>17</v>
      </c>
      <c r="T26" s="188">
        <v>18</v>
      </c>
      <c r="U26" s="182"/>
      <c r="V26" s="6"/>
    </row>
    <row r="27" spans="1:35" ht="12" customHeight="1" x14ac:dyDescent="0.35">
      <c r="A27" s="18"/>
      <c r="B27" s="172">
        <f ca="1">D3</f>
        <v>45195</v>
      </c>
      <c r="C27" s="172">
        <f t="shared" ref="C27" ca="1" si="2">IF(A27&gt;$D$8,"",B27)</f>
        <v>45195</v>
      </c>
      <c r="D27" s="18"/>
      <c r="E27" s="173">
        <f>IF(U8="кредит",D7+T8,D7)</f>
        <v>750000</v>
      </c>
      <c r="F27" s="174">
        <f>G27-I27-J27-K27-L27-M27-N27-O27-P27-Q27-R27</f>
        <v>710150</v>
      </c>
      <c r="G27" s="173">
        <f>F7</f>
        <v>750000</v>
      </c>
      <c r="H27" s="18"/>
      <c r="I27" s="174">
        <v>0</v>
      </c>
      <c r="J27" s="174">
        <f>R5</f>
        <v>0</v>
      </c>
      <c r="K27" s="174">
        <f>R4</f>
        <v>14925</v>
      </c>
      <c r="L27" s="174">
        <f>R14</f>
        <v>2500</v>
      </c>
      <c r="M27" s="174">
        <v>0</v>
      </c>
      <c r="N27" s="174">
        <v>0</v>
      </c>
      <c r="O27" s="174">
        <f>R7</f>
        <v>0</v>
      </c>
      <c r="P27" s="173">
        <f>R12</f>
        <v>0</v>
      </c>
      <c r="Q27" s="173">
        <f>S8+S10+S16</f>
        <v>22425</v>
      </c>
      <c r="R27" s="173">
        <f>R13</f>
        <v>0</v>
      </c>
      <c r="S27" s="21"/>
      <c r="T27" s="22"/>
      <c r="U27" s="173">
        <f>F27*-1</f>
        <v>-710150</v>
      </c>
      <c r="V27" s="6"/>
      <c r="W27" s="141">
        <f ca="1">W28</f>
        <v>365</v>
      </c>
    </row>
    <row r="28" spans="1:35" x14ac:dyDescent="0.35">
      <c r="A28" s="175">
        <v>1</v>
      </c>
      <c r="B28" s="172">
        <f ca="1">EDATE($B$27,AA28)</f>
        <v>45225</v>
      </c>
      <c r="C28" s="172">
        <f ca="1">IF(A28&gt;$F$8,"",B28)</f>
        <v>45225</v>
      </c>
      <c r="D28" s="175">
        <f t="shared" ref="D28:D39" ca="1" si="3">B28-B27</f>
        <v>30</v>
      </c>
      <c r="E28" s="173">
        <f>E27-G28</f>
        <v>737500</v>
      </c>
      <c r="F28" s="173">
        <f ca="1">G28+H28</f>
        <v>24206.16</v>
      </c>
      <c r="G28" s="173">
        <f>$E$27/$D$8</f>
        <v>12500</v>
      </c>
      <c r="H28" s="173">
        <f ca="1">IF(W28&lt;&gt;W27,ROUND(SUM(Y28*$F$9*G27/W28,Z28*$F$9*G27/W27),2),ROUND(G27*$F$9*D28/W27,2))</f>
        <v>11706.16</v>
      </c>
      <c r="I28" s="173"/>
      <c r="J28" s="173"/>
      <c r="K28" s="173"/>
      <c r="L28" s="173"/>
      <c r="M28" s="173"/>
      <c r="N28" s="173"/>
      <c r="O28" s="173"/>
      <c r="P28" s="175"/>
      <c r="Q28" s="175"/>
      <c r="R28" s="175"/>
      <c r="S28" s="244" t="str">
        <f>IF(A27=$D$8,XIRR(H$27:H27,C$27:C27),"")</f>
        <v/>
      </c>
      <c r="T28" s="173" t="str">
        <f t="shared" ref="T28:T91" si="4">IF(A27=$D$8,G28+P28+H28+I28+J28+K28+L28+Q28+R28,"")</f>
        <v/>
      </c>
      <c r="U28" s="173">
        <f ca="1">SUM(G28:T28)</f>
        <v>24206.16</v>
      </c>
      <c r="V28" s="141">
        <f t="shared" ref="V28:V91" ca="1" si="5">IF(C28="","",YEAR(C28))</f>
        <v>2023</v>
      </c>
      <c r="W28" s="141">
        <f ca="1">IF(OR(V28=2024,V28=2028,V28=2016,V28=2020,V28=2024,V28=2028,V28=2032,V28=2036,V28=2040),366,365)</f>
        <v>365</v>
      </c>
      <c r="X28" s="141">
        <f t="shared" ref="X28:X91" ca="1" si="6">IF(C28="","",DAY(C28))</f>
        <v>26</v>
      </c>
      <c r="Y28" s="177">
        <f ca="1">X28-1</f>
        <v>25</v>
      </c>
      <c r="Z28" s="178">
        <f t="shared" ref="Z28:Z91" ca="1" si="7">D28-Y28</f>
        <v>5</v>
      </c>
      <c r="AA28" s="141">
        <v>1</v>
      </c>
    </row>
    <row r="29" spans="1:35" x14ac:dyDescent="0.35">
      <c r="A29" s="175">
        <f>IF(A28&lt;$D$8,A28+1,"")</f>
        <v>2</v>
      </c>
      <c r="B29" s="172">
        <f t="shared" ref="B29:B92" ca="1" si="8">EDATE($B$27,AA29)</f>
        <v>45256</v>
      </c>
      <c r="C29" s="172">
        <f t="shared" ref="C29:C92" ca="1" si="9">IF(B29=$D$10,B29-1,(IF(B29&gt;$D$10," ",B29)))</f>
        <v>45256</v>
      </c>
      <c r="D29" s="175">
        <f t="shared" ca="1" si="3"/>
        <v>31</v>
      </c>
      <c r="E29" s="173">
        <f t="shared" ref="E29:E88" si="10">E28-G29</f>
        <v>725000</v>
      </c>
      <c r="F29" s="173">
        <f ca="1">IF(A28=$D$8,SUM(F$28:F28),IF(A28&gt;$D$8,"",G29+H29))</f>
        <v>24394.760000000002</v>
      </c>
      <c r="G29" s="173">
        <f>ROUND($G$27/$D$8,2)</f>
        <v>12500</v>
      </c>
      <c r="H29" s="173">
        <f ca="1">IF(A28=$D$8,ROUND(SUM($H$28:H28),2),IF(A29&gt;$F$8,"",IF(W29&lt;&gt;W28,ROUND(SUM(Y29*$F$9*E28/W29,Z29*$F$9*E28/W28),2),ROUND(E28*$F$9*D29/W28,2))))</f>
        <v>11894.76</v>
      </c>
      <c r="I29" s="173"/>
      <c r="J29" s="173"/>
      <c r="K29" s="173"/>
      <c r="L29" s="173"/>
      <c r="M29" s="173"/>
      <c r="N29" s="173"/>
      <c r="O29" s="173"/>
      <c r="P29" s="175"/>
      <c r="Q29" s="175"/>
      <c r="R29" s="175"/>
      <c r="S29" s="244" t="str">
        <f>IF(A28=$D$8,XIRR(U$27:U28,C$27:C28),"")</f>
        <v/>
      </c>
      <c r="T29" s="173" t="str">
        <f t="shared" si="4"/>
        <v/>
      </c>
      <c r="U29" s="173">
        <f ca="1">SUM(G29:T29)</f>
        <v>24394.760000000002</v>
      </c>
      <c r="V29" s="141">
        <f t="shared" ca="1" si="5"/>
        <v>2023</v>
      </c>
      <c r="W29" s="141">
        <f t="shared" ref="W29:W92" ca="1" si="11">IF(OR(V29=2024,V29=2028,V29=2016,V29=2020,V29=2024,V29=2028,V29=2032,V29=2036,V29=2040),366,365)</f>
        <v>365</v>
      </c>
      <c r="X29" s="141">
        <f t="shared" ca="1" si="6"/>
        <v>26</v>
      </c>
      <c r="Y29" s="177">
        <f t="shared" ref="Y29:Y87" ca="1" si="12">X29-1</f>
        <v>25</v>
      </c>
      <c r="Z29" s="178">
        <f t="shared" ca="1" si="7"/>
        <v>6</v>
      </c>
      <c r="AA29" s="141">
        <v>2</v>
      </c>
    </row>
    <row r="30" spans="1:35" x14ac:dyDescent="0.35">
      <c r="A30" s="175">
        <f t="shared" ref="A30:A93" si="13">IF(A29&lt;$D$8,A29+1,"")</f>
        <v>3</v>
      </c>
      <c r="B30" s="172">
        <f t="shared" ca="1" si="8"/>
        <v>45286</v>
      </c>
      <c r="C30" s="172">
        <f t="shared" ca="1" si="9"/>
        <v>45286</v>
      </c>
      <c r="D30" s="175">
        <f t="shared" ca="1" si="3"/>
        <v>30</v>
      </c>
      <c r="E30" s="173">
        <f t="shared" si="10"/>
        <v>712500</v>
      </c>
      <c r="F30" s="173">
        <f ca="1">IF(A29=$D$8,SUM(F$28:F29),IF(A29&gt;$D$8,"",G30+H30))</f>
        <v>23815.96</v>
      </c>
      <c r="G30" s="173">
        <f>IF(AND(A29="",A31=""),"",IF(A30="",ROUND(SUM(G$28:$G29),2),IF(A30=$D$8,$G$27-ROUND(SUM(G$28:$G29),2),ROUND($G$27/$D$8,2))))</f>
        <v>12500</v>
      </c>
      <c r="H30" s="173">
        <f ca="1">IF(A29=$D$8,ROUND(SUM($H$28:H29),2),IF(A30&gt;$F$8,"",IF(W30&lt;&gt;W29,ROUND(SUM(Y30*$F$9*E29/W30,Z30*$F$9*E29/W29),2),ROUND(E29*$F$9*D30/W29,2))))</f>
        <v>11315.96</v>
      </c>
      <c r="I30" s="173"/>
      <c r="J30" s="173"/>
      <c r="K30" s="173"/>
      <c r="L30" s="173"/>
      <c r="M30" s="173"/>
      <c r="N30" s="173"/>
      <c r="O30" s="173" t="str">
        <f t="shared" ref="O30:O39" si="14">IF(A30="",$O$27,"")</f>
        <v/>
      </c>
      <c r="P30" s="175"/>
      <c r="Q30" s="175"/>
      <c r="R30" s="175"/>
      <c r="S30" s="244" t="str">
        <f>IF(A29=$D$8,XIRR(U$27:U29,C$27:C29),"")</f>
        <v/>
      </c>
      <c r="T30" s="173" t="str">
        <f t="shared" si="4"/>
        <v/>
      </c>
      <c r="U30" s="173">
        <f t="shared" ref="U30:U93" ca="1" si="15">SUM(G30:T30)</f>
        <v>23815.96</v>
      </c>
      <c r="V30" s="141">
        <f t="shared" ca="1" si="5"/>
        <v>2023</v>
      </c>
      <c r="W30" s="141">
        <f t="shared" ca="1" si="11"/>
        <v>365</v>
      </c>
      <c r="X30" s="141">
        <f t="shared" ca="1" si="6"/>
        <v>26</v>
      </c>
      <c r="Y30" s="177">
        <f t="shared" ca="1" si="12"/>
        <v>25</v>
      </c>
      <c r="Z30" s="178">
        <f t="shared" ca="1" si="7"/>
        <v>5</v>
      </c>
      <c r="AA30" s="141">
        <v>3</v>
      </c>
    </row>
    <row r="31" spans="1:35" x14ac:dyDescent="0.35">
      <c r="A31" s="175">
        <f t="shared" si="13"/>
        <v>4</v>
      </c>
      <c r="B31" s="172">
        <f t="shared" ca="1" si="8"/>
        <v>45317</v>
      </c>
      <c r="C31" s="172">
        <f t="shared" ca="1" si="9"/>
        <v>45317</v>
      </c>
      <c r="D31" s="175">
        <f t="shared" ca="1" si="3"/>
        <v>31</v>
      </c>
      <c r="E31" s="173">
        <f t="shared" si="10"/>
        <v>700000</v>
      </c>
      <c r="F31" s="173">
        <f ca="1">IF(A30=$D$8,SUM(F$28:F30),IF(A30&gt;$D$8,"",G31+H31))</f>
        <v>23966.23</v>
      </c>
      <c r="G31" s="173">
        <f>IF(AND(A30="",A32=""),"",IF(A31="",ROUND(SUM(G$28:$G30),2),IF(A31=$D$8,$G$27-ROUND(SUM(G$28:$G30),2),ROUND($G$27/$D$8,2))))</f>
        <v>12500</v>
      </c>
      <c r="H31" s="173">
        <f ca="1">IF(A30=$D$8,ROUND(SUM($H$28:H30),2),IF(A31&gt;$F$8,"",IF(W31&lt;&gt;W30,ROUND(SUM(Y31*$F$9*E30/W31,Z31*$F$9*E30/W30),2),ROUND(E30*$F$9*D31/W30,2))))</f>
        <v>11466.23</v>
      </c>
      <c r="I31" s="173"/>
      <c r="J31" s="173"/>
      <c r="K31" s="173"/>
      <c r="L31" s="173"/>
      <c r="M31" s="173" t="str">
        <f t="shared" ref="M31:M39" si="16">IF(A31="",$M$27,"")</f>
        <v/>
      </c>
      <c r="N31" s="173" t="str">
        <f t="shared" ref="N31:N39" si="17">IF(A31="",$N$27,"")</f>
        <v/>
      </c>
      <c r="O31" s="173" t="str">
        <f t="shared" si="14"/>
        <v/>
      </c>
      <c r="P31" s="173" t="str">
        <f>IF(A30=$D$8,$P$27,"")</f>
        <v/>
      </c>
      <c r="Q31" s="173"/>
      <c r="R31" s="173" t="str">
        <f t="shared" ref="R31:R39" si="18">IF(A30=$D$8,$R$27,"")</f>
        <v/>
      </c>
      <c r="S31" s="244" t="str">
        <f>IF(A30=$D$8,XIRR(U$27:U30,C$27:C30),"")</f>
        <v/>
      </c>
      <c r="T31" s="173" t="str">
        <f t="shared" si="4"/>
        <v/>
      </c>
      <c r="U31" s="173">
        <f t="shared" ca="1" si="15"/>
        <v>23966.23</v>
      </c>
      <c r="V31" s="141">
        <f t="shared" ca="1" si="5"/>
        <v>2024</v>
      </c>
      <c r="W31" s="141">
        <f t="shared" ca="1" si="11"/>
        <v>366</v>
      </c>
      <c r="X31" s="141">
        <f t="shared" ca="1" si="6"/>
        <v>26</v>
      </c>
      <c r="Y31" s="177">
        <f t="shared" ca="1" si="12"/>
        <v>25</v>
      </c>
      <c r="Z31" s="178">
        <f t="shared" ca="1" si="7"/>
        <v>6</v>
      </c>
      <c r="AA31" s="141">
        <v>4</v>
      </c>
    </row>
    <row r="32" spans="1:35" x14ac:dyDescent="0.35">
      <c r="A32" s="175">
        <f t="shared" si="13"/>
        <v>5</v>
      </c>
      <c r="B32" s="172">
        <f t="shared" ca="1" si="8"/>
        <v>45348</v>
      </c>
      <c r="C32" s="172">
        <f t="shared" ca="1" si="9"/>
        <v>45348</v>
      </c>
      <c r="D32" s="175">
        <f t="shared" ca="1" si="3"/>
        <v>31</v>
      </c>
      <c r="E32" s="173">
        <f t="shared" si="10"/>
        <v>687500</v>
      </c>
      <c r="F32" s="173">
        <f ca="1">IF(A31=$D$8,SUM(F$28:F31),IF(A31&gt;$D$8,"",G32+H32))</f>
        <v>23759.1</v>
      </c>
      <c r="G32" s="173">
        <f>IF(AND(A31="",A33=""),"",IF(A32="",ROUND(SUM(G$28:$G31),2),IF(A32=$D$8,$G$27-ROUND(SUM(G$28:$G31),2),ROUND($G$27/$D$8,2))))</f>
        <v>12500</v>
      </c>
      <c r="H32" s="173">
        <f ca="1">IF(A31=$D$8,ROUND(SUM($H$28:H31),2),IF(A32&gt;$F$8,"",IF(W32&lt;&gt;W31,ROUND(SUM(Y32*$F$9*E31/W32,Z32*$F$9*E31/W31),2),ROUND(E31*$F$9*D32/W31,2))))</f>
        <v>11259.1</v>
      </c>
      <c r="I32" s="173"/>
      <c r="J32" s="173" t="str">
        <f t="shared" ref="J32:J40" si="19">IF(A32="",$J$27,"")</f>
        <v/>
      </c>
      <c r="K32" s="173" t="str">
        <f>IF(A31=$D$8,$K$27,"")</f>
        <v/>
      </c>
      <c r="L32" s="173" t="str">
        <f ca="1">IF(B31=$D$8,$K$27,"")</f>
        <v/>
      </c>
      <c r="M32" s="173" t="str">
        <f t="shared" si="16"/>
        <v/>
      </c>
      <c r="N32" s="173" t="str">
        <f t="shared" si="17"/>
        <v/>
      </c>
      <c r="O32" s="173" t="str">
        <f t="shared" si="14"/>
        <v/>
      </c>
      <c r="P32" s="173" t="str">
        <f>IF(A31=$D$8,$P$27,"")</f>
        <v/>
      </c>
      <c r="Q32" s="173" t="str">
        <f t="shared" ref="Q32:Q40" si="20">IF(A31=$D$8,$Q$27,"")</f>
        <v/>
      </c>
      <c r="R32" s="173" t="str">
        <f t="shared" si="18"/>
        <v/>
      </c>
      <c r="S32" s="244" t="str">
        <f>IF(A31=$D$8,XIRR(U$27:U31,C$27:C31),"")</f>
        <v/>
      </c>
      <c r="T32" s="173" t="str">
        <f t="shared" si="4"/>
        <v/>
      </c>
      <c r="U32" s="173">
        <f t="shared" ca="1" si="15"/>
        <v>23759.1</v>
      </c>
      <c r="V32" s="141">
        <f t="shared" ca="1" si="5"/>
        <v>2024</v>
      </c>
      <c r="W32" s="141">
        <f t="shared" ca="1" si="11"/>
        <v>366</v>
      </c>
      <c r="X32" s="141">
        <f t="shared" ca="1" si="6"/>
        <v>26</v>
      </c>
      <c r="Y32" s="177">
        <f t="shared" ca="1" si="12"/>
        <v>25</v>
      </c>
      <c r="Z32" s="178">
        <f t="shared" ca="1" si="7"/>
        <v>6</v>
      </c>
      <c r="AA32" s="141">
        <v>5</v>
      </c>
    </row>
    <row r="33" spans="1:27" x14ac:dyDescent="0.35">
      <c r="A33" s="175">
        <f t="shared" si="13"/>
        <v>6</v>
      </c>
      <c r="B33" s="172">
        <f t="shared" ca="1" si="8"/>
        <v>45377</v>
      </c>
      <c r="C33" s="172">
        <f t="shared" ca="1" si="9"/>
        <v>45377</v>
      </c>
      <c r="D33" s="175">
        <f t="shared" ca="1" si="3"/>
        <v>29</v>
      </c>
      <c r="E33" s="173">
        <f t="shared" si="10"/>
        <v>675000</v>
      </c>
      <c r="F33" s="173">
        <f ca="1">IF(A32=$D$8,SUM(F$28:F32),IF(A32&gt;$D$8,"",G33+H33))</f>
        <v>22844.620000000003</v>
      </c>
      <c r="G33" s="173">
        <f>IF(AND(A32="",A34=""),"",IF(A33="",ROUND(SUM(G$28:$G32),2),IF(A33=$D$8,$G$27-ROUND(SUM(G$28:$G32),2),ROUND($G$27/$D$8,2))))</f>
        <v>12500</v>
      </c>
      <c r="H33" s="173">
        <f ca="1">IF(A32=$D$8,ROUND(SUM($H$28:H32),2),IF(A33&gt;$F$8,"",IF(W33&lt;&gt;W32,ROUND(SUM(Y33*$F$9*E32/W33,Z33*$F$9*E32/W32),2),ROUND(E32*$F$9*D33/W32,2))))</f>
        <v>10344.620000000001</v>
      </c>
      <c r="I33" s="173" t="str">
        <f t="shared" ref="I33:I40" si="21">IF(A33="",$I$27,"")</f>
        <v/>
      </c>
      <c r="J33" s="173" t="str">
        <f t="shared" si="19"/>
        <v/>
      </c>
      <c r="K33" s="173" t="str">
        <f>IF(A33="",$K$27,"")</f>
        <v/>
      </c>
      <c r="L33" s="173" t="str">
        <f t="shared" ref="L33:L87" ca="1" si="22">IF(B32=$D$8,$K$27,"")</f>
        <v/>
      </c>
      <c r="M33" s="173" t="str">
        <f t="shared" si="16"/>
        <v/>
      </c>
      <c r="N33" s="173" t="str">
        <f t="shared" si="17"/>
        <v/>
      </c>
      <c r="O33" s="173" t="str">
        <f t="shared" si="14"/>
        <v/>
      </c>
      <c r="P33" s="173" t="str">
        <f>IF(A32=$D$8,$P$27,"")</f>
        <v/>
      </c>
      <c r="Q33" s="173" t="str">
        <f t="shared" si="20"/>
        <v/>
      </c>
      <c r="R33" s="173" t="str">
        <f t="shared" si="18"/>
        <v/>
      </c>
      <c r="S33" s="244" t="str">
        <f>IF(A32=$D$8,XIRR(U$27:U32,C$27:C32),"")</f>
        <v/>
      </c>
      <c r="T33" s="173" t="str">
        <f t="shared" si="4"/>
        <v/>
      </c>
      <c r="U33" s="173">
        <f t="shared" ca="1" si="15"/>
        <v>22844.620000000003</v>
      </c>
      <c r="V33" s="141">
        <f t="shared" ca="1" si="5"/>
        <v>2024</v>
      </c>
      <c r="W33" s="141">
        <f t="shared" ca="1" si="11"/>
        <v>366</v>
      </c>
      <c r="X33" s="141">
        <f t="shared" ca="1" si="6"/>
        <v>26</v>
      </c>
      <c r="Y33" s="177">
        <f t="shared" ca="1" si="12"/>
        <v>25</v>
      </c>
      <c r="Z33" s="178">
        <f t="shared" ca="1" si="7"/>
        <v>4</v>
      </c>
      <c r="AA33" s="141">
        <v>6</v>
      </c>
    </row>
    <row r="34" spans="1:27" x14ac:dyDescent="0.35">
      <c r="A34" s="175">
        <f t="shared" si="13"/>
        <v>7</v>
      </c>
      <c r="B34" s="172">
        <f t="shared" ca="1" si="8"/>
        <v>45408</v>
      </c>
      <c r="C34" s="172">
        <f t="shared" ca="1" si="9"/>
        <v>45408</v>
      </c>
      <c r="D34" s="175">
        <f t="shared" ca="1" si="3"/>
        <v>31</v>
      </c>
      <c r="E34" s="173">
        <f t="shared" si="10"/>
        <v>662500</v>
      </c>
      <c r="F34" s="173">
        <f ca="1">IF(A33=$D$8,SUM(F$28:F33),IF(A33&gt;$D$8,"",G34+H34))</f>
        <v>23356.989999999998</v>
      </c>
      <c r="G34" s="173">
        <f>IF(AND(A33="",A35=""),"",IF(A34="",ROUND(SUM(G$28:$G33),2),IF(A34=$D$8,$G$27-ROUND(SUM(G$28:$G33),2),ROUND($G$27/$D$8,2))))</f>
        <v>12500</v>
      </c>
      <c r="H34" s="173">
        <f ca="1">IF(A33=$D$8,ROUND(SUM($H$28:H33),2),IF(A34&gt;$F$8,"",IF(W34&lt;&gt;W33,ROUND(SUM(Y34*$F$9*E33/W34,Z34*$F$9*E33/W33),2),ROUND(E33*$F$9*D34/W33,2))))</f>
        <v>10856.99</v>
      </c>
      <c r="I34" s="173" t="str">
        <f t="shared" si="21"/>
        <v/>
      </c>
      <c r="J34" s="173" t="str">
        <f t="shared" si="19"/>
        <v/>
      </c>
      <c r="K34" s="173" t="str">
        <f t="shared" ref="K34:K40" si="23">IF(A34="",$K$27,"")</f>
        <v/>
      </c>
      <c r="L34" s="173" t="str">
        <f t="shared" ca="1" si="22"/>
        <v/>
      </c>
      <c r="M34" s="173" t="str">
        <f t="shared" si="16"/>
        <v/>
      </c>
      <c r="N34" s="173" t="str">
        <f t="shared" si="17"/>
        <v/>
      </c>
      <c r="O34" s="173" t="str">
        <f t="shared" si="14"/>
        <v/>
      </c>
      <c r="P34" s="173"/>
      <c r="Q34" s="173" t="str">
        <f t="shared" si="20"/>
        <v/>
      </c>
      <c r="R34" s="173" t="str">
        <f t="shared" si="18"/>
        <v/>
      </c>
      <c r="S34" s="244" t="str">
        <f>IF(A33=$D$8,XIRR(U$27:U33,C$27:C33),"")</f>
        <v/>
      </c>
      <c r="T34" s="173" t="str">
        <f t="shared" si="4"/>
        <v/>
      </c>
      <c r="U34" s="173">
        <f t="shared" ca="1" si="15"/>
        <v>23356.989999999998</v>
      </c>
      <c r="V34" s="141">
        <f t="shared" ca="1" si="5"/>
        <v>2024</v>
      </c>
      <c r="W34" s="141">
        <f t="shared" ca="1" si="11"/>
        <v>366</v>
      </c>
      <c r="X34" s="141">
        <f t="shared" ca="1" si="6"/>
        <v>26</v>
      </c>
      <c r="Y34" s="177">
        <f t="shared" ca="1" si="12"/>
        <v>25</v>
      </c>
      <c r="Z34" s="178">
        <f t="shared" ca="1" si="7"/>
        <v>6</v>
      </c>
      <c r="AA34" s="141">
        <v>7</v>
      </c>
    </row>
    <row r="35" spans="1:27" x14ac:dyDescent="0.35">
      <c r="A35" s="175">
        <f t="shared" si="13"/>
        <v>8</v>
      </c>
      <c r="B35" s="172">
        <f t="shared" ca="1" si="8"/>
        <v>45438</v>
      </c>
      <c r="C35" s="172">
        <f t="shared" ca="1" si="9"/>
        <v>45438</v>
      </c>
      <c r="D35" s="175">
        <f t="shared" ca="1" si="3"/>
        <v>30</v>
      </c>
      <c r="E35" s="173">
        <f t="shared" si="10"/>
        <v>650000</v>
      </c>
      <c r="F35" s="173">
        <f ca="1">IF(A34=$D$8,SUM(F$28:F34),IF(A34&gt;$D$8,"",G35+H35))</f>
        <v>22812.190000000002</v>
      </c>
      <c r="G35" s="173">
        <f>IF(AND(A34="",A36=""),"",IF(A35="",ROUND(SUM(G$28:$G34),2),IF(A35=$D$8,$G$27-ROUND(SUM(G$28:$G34),2),ROUND($G$27/$D$8,2))))</f>
        <v>12500</v>
      </c>
      <c r="H35" s="173">
        <f ca="1">IF(A34=$D$8,ROUND(SUM($H$28:H34),2),IF(A35&gt;$F$8,"",IF(W35&lt;&gt;W34,ROUND(SUM(Y35*$F$9*E34/W35,Z35*$F$9*E34/W34),2),ROUND(E34*$F$9*D35/W34,2))))</f>
        <v>10312.19</v>
      </c>
      <c r="I35" s="173" t="str">
        <f t="shared" si="21"/>
        <v/>
      </c>
      <c r="J35" s="173" t="str">
        <f t="shared" si="19"/>
        <v/>
      </c>
      <c r="K35" s="173" t="str">
        <f t="shared" si="23"/>
        <v/>
      </c>
      <c r="L35" s="173" t="str">
        <f t="shared" ca="1" si="22"/>
        <v/>
      </c>
      <c r="M35" s="173" t="str">
        <f t="shared" si="16"/>
        <v/>
      </c>
      <c r="N35" s="173" t="str">
        <f t="shared" si="17"/>
        <v/>
      </c>
      <c r="O35" s="173" t="str">
        <f t="shared" si="14"/>
        <v/>
      </c>
      <c r="P35" s="173" t="str">
        <f t="shared" ref="P35:P98" si="24">IF(A34=$D$8,$P$27,"")</f>
        <v/>
      </c>
      <c r="Q35" s="173" t="str">
        <f t="shared" si="20"/>
        <v/>
      </c>
      <c r="R35" s="173" t="str">
        <f t="shared" si="18"/>
        <v/>
      </c>
      <c r="S35" s="244" t="str">
        <f>IF(A34=$D$8,XIRR(U$27:U34,C$27:C34),"")</f>
        <v/>
      </c>
      <c r="T35" s="173" t="str">
        <f t="shared" si="4"/>
        <v/>
      </c>
      <c r="U35" s="173">
        <f t="shared" ca="1" si="15"/>
        <v>22812.190000000002</v>
      </c>
      <c r="V35" s="141">
        <f t="shared" ca="1" si="5"/>
        <v>2024</v>
      </c>
      <c r="W35" s="141">
        <f t="shared" ca="1" si="11"/>
        <v>366</v>
      </c>
      <c r="X35" s="141">
        <f t="shared" ca="1" si="6"/>
        <v>26</v>
      </c>
      <c r="Y35" s="177">
        <f t="shared" ca="1" si="12"/>
        <v>25</v>
      </c>
      <c r="Z35" s="178">
        <f t="shared" ca="1" si="7"/>
        <v>5</v>
      </c>
      <c r="AA35" s="141">
        <v>8</v>
      </c>
    </row>
    <row r="36" spans="1:27" x14ac:dyDescent="0.35">
      <c r="A36" s="175">
        <f t="shared" si="13"/>
        <v>9</v>
      </c>
      <c r="B36" s="172">
        <f t="shared" ca="1" si="8"/>
        <v>45469</v>
      </c>
      <c r="C36" s="172">
        <f t="shared" ca="1" si="9"/>
        <v>45469</v>
      </c>
      <c r="D36" s="175">
        <f t="shared" ca="1" si="3"/>
        <v>31</v>
      </c>
      <c r="E36" s="173">
        <f t="shared" si="10"/>
        <v>637500</v>
      </c>
      <c r="F36" s="173">
        <f ca="1">IF(A35=$D$8,SUM(F$28:F35),IF(A35&gt;$D$8,"",G36+H36))</f>
        <v>22954.879999999997</v>
      </c>
      <c r="G36" s="173">
        <f>IF(AND(A35="",A37=""),"",IF(A36="",ROUND(SUM(G$28:$G35),2),IF(A36=$D$8,$G$27-ROUND(SUM(G$28:$G35),2),ROUND($G$27/$D$8,2))))</f>
        <v>12500</v>
      </c>
      <c r="H36" s="173">
        <f ca="1">IF(A35=$D$8,ROUND(SUM($H$28:H35),2),IF(A36&gt;$F$8,"",IF(W36&lt;&gt;W35,ROUND(SUM(Y36*$F$9*E35/W36,Z36*$F$9*E35/W35),2),ROUND(E35*$F$9*D36/W35,2))))</f>
        <v>10454.879999999999</v>
      </c>
      <c r="I36" s="173" t="str">
        <f t="shared" si="21"/>
        <v/>
      </c>
      <c r="J36" s="173" t="str">
        <f t="shared" si="19"/>
        <v/>
      </c>
      <c r="K36" s="173" t="str">
        <f t="shared" si="23"/>
        <v/>
      </c>
      <c r="L36" s="173" t="str">
        <f t="shared" ca="1" si="22"/>
        <v/>
      </c>
      <c r="M36" s="173" t="str">
        <f t="shared" si="16"/>
        <v/>
      </c>
      <c r="N36" s="173" t="str">
        <f t="shared" si="17"/>
        <v/>
      </c>
      <c r="O36" s="173" t="str">
        <f t="shared" si="14"/>
        <v/>
      </c>
      <c r="P36" s="173" t="str">
        <f t="shared" si="24"/>
        <v/>
      </c>
      <c r="Q36" s="173" t="str">
        <f t="shared" si="20"/>
        <v/>
      </c>
      <c r="R36" s="173" t="str">
        <f t="shared" si="18"/>
        <v/>
      </c>
      <c r="S36" s="244" t="str">
        <f>IF(A35=$D$8,XIRR(U$27:U35,C$27:C35),"")</f>
        <v/>
      </c>
      <c r="T36" s="173" t="str">
        <f t="shared" si="4"/>
        <v/>
      </c>
      <c r="U36" s="173">
        <f t="shared" ca="1" si="15"/>
        <v>22954.879999999997</v>
      </c>
      <c r="V36" s="141">
        <f t="shared" ca="1" si="5"/>
        <v>2024</v>
      </c>
      <c r="W36" s="141">
        <f t="shared" ca="1" si="11"/>
        <v>366</v>
      </c>
      <c r="X36" s="141">
        <f t="shared" ca="1" si="6"/>
        <v>26</v>
      </c>
      <c r="Y36" s="177">
        <f t="shared" ca="1" si="12"/>
        <v>25</v>
      </c>
      <c r="Z36" s="178">
        <f t="shared" ca="1" si="7"/>
        <v>6</v>
      </c>
      <c r="AA36" s="141">
        <v>9</v>
      </c>
    </row>
    <row r="37" spans="1:27" x14ac:dyDescent="0.35">
      <c r="A37" s="175">
        <f t="shared" si="13"/>
        <v>10</v>
      </c>
      <c r="B37" s="172">
        <f t="shared" ca="1" si="8"/>
        <v>45499</v>
      </c>
      <c r="C37" s="172">
        <f t="shared" ca="1" si="9"/>
        <v>45499</v>
      </c>
      <c r="D37" s="175">
        <f t="shared" ca="1" si="3"/>
        <v>30</v>
      </c>
      <c r="E37" s="173">
        <f t="shared" si="10"/>
        <v>625000</v>
      </c>
      <c r="F37" s="173">
        <f ca="1">IF(A36=$D$8,SUM(F$28:F36),IF(A36&gt;$D$8,"",G37+H37))</f>
        <v>22423.05</v>
      </c>
      <c r="G37" s="173">
        <f>IF(AND(A36="",A38=""),"",IF(A37="",ROUND(SUM(G$28:$G36),2),IF(A37=$D$8,$G$27-ROUND(SUM(G$28:$G36),2),ROUND($G$27/$D$8,2))))</f>
        <v>12500</v>
      </c>
      <c r="H37" s="173">
        <f ca="1">IF(A36=$D$8,ROUND(SUM($H$28:H36),2),IF(A37&gt;$F$8,"",IF(W37&lt;&gt;W36,ROUND(SUM(Y37*$F$9*E36/W37,Z37*$F$9*E36/W36),2),ROUND(E36*$F$9*D37/W36,2))))</f>
        <v>9923.0499999999993</v>
      </c>
      <c r="I37" s="173" t="str">
        <f t="shared" si="21"/>
        <v/>
      </c>
      <c r="J37" s="173" t="str">
        <f t="shared" si="19"/>
        <v/>
      </c>
      <c r="K37" s="173" t="str">
        <f t="shared" si="23"/>
        <v/>
      </c>
      <c r="L37" s="173" t="str">
        <f t="shared" ca="1" si="22"/>
        <v/>
      </c>
      <c r="M37" s="173" t="str">
        <f t="shared" si="16"/>
        <v/>
      </c>
      <c r="N37" s="173" t="str">
        <f t="shared" si="17"/>
        <v/>
      </c>
      <c r="O37" s="173" t="str">
        <f t="shared" si="14"/>
        <v/>
      </c>
      <c r="P37" s="173" t="str">
        <f t="shared" si="24"/>
        <v/>
      </c>
      <c r="Q37" s="173" t="str">
        <f t="shared" si="20"/>
        <v/>
      </c>
      <c r="R37" s="173" t="str">
        <f t="shared" si="18"/>
        <v/>
      </c>
      <c r="S37" s="244" t="str">
        <f>IF(A36=$D$8,XIRR(U$27:U36,C$27:C36),"")</f>
        <v/>
      </c>
      <c r="T37" s="173" t="str">
        <f t="shared" si="4"/>
        <v/>
      </c>
      <c r="U37" s="173">
        <f t="shared" ca="1" si="15"/>
        <v>22423.05</v>
      </c>
      <c r="V37" s="141">
        <f t="shared" ca="1" si="5"/>
        <v>2024</v>
      </c>
      <c r="W37" s="141">
        <f t="shared" ca="1" si="11"/>
        <v>366</v>
      </c>
      <c r="X37" s="141">
        <f t="shared" ca="1" si="6"/>
        <v>26</v>
      </c>
      <c r="Y37" s="177">
        <f t="shared" ca="1" si="12"/>
        <v>25</v>
      </c>
      <c r="Z37" s="178">
        <f t="shared" ca="1" si="7"/>
        <v>5</v>
      </c>
      <c r="AA37" s="141">
        <v>10</v>
      </c>
    </row>
    <row r="38" spans="1:27" x14ac:dyDescent="0.35">
      <c r="A38" s="175">
        <f t="shared" si="13"/>
        <v>11</v>
      </c>
      <c r="B38" s="172">
        <f t="shared" ca="1" si="8"/>
        <v>45530</v>
      </c>
      <c r="C38" s="172">
        <f t="shared" ca="1" si="9"/>
        <v>45530</v>
      </c>
      <c r="D38" s="175">
        <f t="shared" ca="1" si="3"/>
        <v>31</v>
      </c>
      <c r="E38" s="173">
        <f t="shared" si="10"/>
        <v>612500</v>
      </c>
      <c r="F38" s="173">
        <f ca="1">IF(A37=$D$8,SUM(F$28:F37),IF(A37&gt;$D$8,"",G38+H38))</f>
        <v>22552.77</v>
      </c>
      <c r="G38" s="173">
        <f>IF(AND(A37="",A39=""),"",IF(A38="",ROUND(SUM(G$28:$G37),2),IF(A38=$D$8,$G$27-ROUND(SUM(G$28:$G37),2),ROUND($G$27/$D$8,2))))</f>
        <v>12500</v>
      </c>
      <c r="H38" s="173">
        <f ca="1">IF(A37=$D$8,ROUND(SUM($H$28:H37),2),IF(A38&gt;$F$8,"",IF(W38&lt;&gt;W37,ROUND(SUM(Y38*$F$9*E37/W38,Z38*$F$9*E37/W37),2),ROUND(E37*$F$9*D38/W37,2))))</f>
        <v>10052.77</v>
      </c>
      <c r="I38" s="173" t="str">
        <f t="shared" si="21"/>
        <v/>
      </c>
      <c r="J38" s="173" t="str">
        <f t="shared" si="19"/>
        <v/>
      </c>
      <c r="K38" s="173" t="str">
        <f t="shared" si="23"/>
        <v/>
      </c>
      <c r="L38" s="173" t="str">
        <f t="shared" ca="1" si="22"/>
        <v/>
      </c>
      <c r="M38" s="173" t="str">
        <f t="shared" si="16"/>
        <v/>
      </c>
      <c r="N38" s="173" t="str">
        <f t="shared" si="17"/>
        <v/>
      </c>
      <c r="O38" s="173" t="str">
        <f t="shared" si="14"/>
        <v/>
      </c>
      <c r="P38" s="173" t="str">
        <f t="shared" si="24"/>
        <v/>
      </c>
      <c r="Q38" s="173" t="str">
        <f t="shared" si="20"/>
        <v/>
      </c>
      <c r="R38" s="173" t="str">
        <f t="shared" si="18"/>
        <v/>
      </c>
      <c r="S38" s="244" t="str">
        <f>IF(A37=$D$8,XIRR(U$27:U37,C$27:C37),"")</f>
        <v/>
      </c>
      <c r="T38" s="173" t="str">
        <f t="shared" si="4"/>
        <v/>
      </c>
      <c r="U38" s="173">
        <f t="shared" ca="1" si="15"/>
        <v>22552.77</v>
      </c>
      <c r="V38" s="141">
        <f t="shared" ca="1" si="5"/>
        <v>2024</v>
      </c>
      <c r="W38" s="141">
        <f t="shared" ca="1" si="11"/>
        <v>366</v>
      </c>
      <c r="X38" s="141">
        <f t="shared" ca="1" si="6"/>
        <v>26</v>
      </c>
      <c r="Y38" s="177">
        <f t="shared" ca="1" si="12"/>
        <v>25</v>
      </c>
      <c r="Z38" s="178">
        <f t="shared" ca="1" si="7"/>
        <v>6</v>
      </c>
      <c r="AA38" s="141">
        <v>11</v>
      </c>
    </row>
    <row r="39" spans="1:27" x14ac:dyDescent="0.35">
      <c r="A39" s="175">
        <f t="shared" si="13"/>
        <v>12</v>
      </c>
      <c r="B39" s="172">
        <f t="shared" ca="1" si="8"/>
        <v>45561</v>
      </c>
      <c r="C39" s="172">
        <f t="shared" ca="1" si="9"/>
        <v>45561</v>
      </c>
      <c r="D39" s="175">
        <f t="shared" ca="1" si="3"/>
        <v>31</v>
      </c>
      <c r="E39" s="173">
        <f t="shared" si="10"/>
        <v>600000</v>
      </c>
      <c r="F39" s="173">
        <f ca="1">IF(A38=$D$8,SUM(F$28:F38),IF(A38&gt;$D$8,"",G39+H39))</f>
        <v>22351.71</v>
      </c>
      <c r="G39" s="173">
        <f>IF(AND(A38="",A40=""),"",IF(A39="",ROUND(SUM(G$28:$G38),2),IF(A39=$D$8,$G$27-ROUND(SUM(G$28:$G38),2),ROUND($G$27/$D$8,2))))</f>
        <v>12500</v>
      </c>
      <c r="H39" s="173">
        <f ca="1">IF(A38=$D$8,ROUND(SUM($H$28:H38),2),IF(A39&gt;$F$8,"",IF(W39&lt;&gt;W38,ROUND(SUM(Y39*$F$9*E38/W39,Z39*$F$9*E38/W38),2),ROUND(E38*$F$9*D39/W38,2))))</f>
        <v>9851.7099999999991</v>
      </c>
      <c r="I39" s="173" t="str">
        <f t="shared" si="21"/>
        <v/>
      </c>
      <c r="J39" s="173" t="str">
        <f t="shared" si="19"/>
        <v/>
      </c>
      <c r="K39" s="173" t="str">
        <f t="shared" si="23"/>
        <v/>
      </c>
      <c r="L39" s="173" t="str">
        <f t="shared" ca="1" si="22"/>
        <v/>
      </c>
      <c r="M39" s="173" t="str">
        <f t="shared" si="16"/>
        <v/>
      </c>
      <c r="N39" s="173" t="str">
        <f t="shared" si="17"/>
        <v/>
      </c>
      <c r="O39" s="173" t="str">
        <f t="shared" si="14"/>
        <v/>
      </c>
      <c r="P39" s="173" t="str">
        <f t="shared" si="24"/>
        <v/>
      </c>
      <c r="Q39" s="173" t="str">
        <f t="shared" si="20"/>
        <v/>
      </c>
      <c r="R39" s="173" t="str">
        <f t="shared" si="18"/>
        <v/>
      </c>
      <c r="S39" s="244" t="str">
        <f>IF(A38=$D$8,XIRR(U$27:U38,C$27:C38),"")</f>
        <v/>
      </c>
      <c r="T39" s="173" t="str">
        <f t="shared" si="4"/>
        <v/>
      </c>
      <c r="U39" s="173">
        <f t="shared" ca="1" si="15"/>
        <v>22351.71</v>
      </c>
      <c r="V39" s="141">
        <f t="shared" ca="1" si="5"/>
        <v>2024</v>
      </c>
      <c r="W39" s="141">
        <f t="shared" ca="1" si="11"/>
        <v>366</v>
      </c>
      <c r="X39" s="141">
        <f t="shared" ca="1" si="6"/>
        <v>26</v>
      </c>
      <c r="Y39" s="177">
        <f t="shared" ca="1" si="12"/>
        <v>25</v>
      </c>
      <c r="Z39" s="178">
        <f t="shared" ca="1" si="7"/>
        <v>6</v>
      </c>
      <c r="AA39" s="141">
        <v>12</v>
      </c>
    </row>
    <row r="40" spans="1:27" x14ac:dyDescent="0.35">
      <c r="A40" s="175">
        <f t="shared" si="13"/>
        <v>13</v>
      </c>
      <c r="B40" s="172">
        <f t="shared" ca="1" si="8"/>
        <v>45591</v>
      </c>
      <c r="C40" s="172">
        <f t="shared" ca="1" si="9"/>
        <v>45591</v>
      </c>
      <c r="D40" s="175">
        <f ca="1">IF(A40&gt;$D$8,"",C40-C39)</f>
        <v>30</v>
      </c>
      <c r="E40" s="173">
        <f t="shared" si="10"/>
        <v>587500</v>
      </c>
      <c r="F40" s="173">
        <f ca="1">IF(A39=$D$8,SUM(F$28:F39),IF(A39&gt;$D$8,"",G40+H40))</f>
        <v>21839.34</v>
      </c>
      <c r="G40" s="173">
        <f>IF(AND(A39="",A41=""),"",IF(A40="",ROUND(SUM(G$28:$G39),2),IF(A40=$D$8,$G$27-ROUND(SUM(G$28:$G39),2),ROUND($G$27/$D$8,2))))</f>
        <v>12500</v>
      </c>
      <c r="H40" s="173">
        <f ca="1">IF(A39=$D$8,ROUND(SUM($H$28:H39),2),IF(A40&gt;$F$8,"",IF(W40&lt;&gt;W39,ROUND(SUM(Y40*$F$9*E39/W40,Z40*$F$9*E39/W39),2),ROUND(E39*$F$9*D40/W39,2))))</f>
        <v>9339.34</v>
      </c>
      <c r="I40" s="173" t="str">
        <f t="shared" si="21"/>
        <v/>
      </c>
      <c r="J40" s="173" t="str">
        <f t="shared" si="19"/>
        <v/>
      </c>
      <c r="K40" s="173" t="str">
        <f t="shared" si="23"/>
        <v/>
      </c>
      <c r="L40" s="173">
        <f>IF($F$8&gt;12,($R$14),IF($A$39=$F$8,L27,""))</f>
        <v>2500</v>
      </c>
      <c r="M40" s="173" t="str">
        <f>IF(A40="",$M$27,"")</f>
        <v/>
      </c>
      <c r="N40" s="173" t="str">
        <f>IF(A40="",$N$27,"")</f>
        <v/>
      </c>
      <c r="O40" s="173" t="str">
        <f>IF(A40="",$O$27,"")</f>
        <v/>
      </c>
      <c r="P40" s="173" t="str">
        <f t="shared" si="24"/>
        <v/>
      </c>
      <c r="Q40" s="173" t="str">
        <f t="shared" si="20"/>
        <v/>
      </c>
      <c r="R40" s="173" t="str">
        <f>IF(A39=$D$8,$R$27,"")</f>
        <v/>
      </c>
      <c r="S40" s="244" t="str">
        <f>IF(A39=$D$8,XIRR(U$27:U39,C$27:C39),"")</f>
        <v/>
      </c>
      <c r="T40" s="173" t="str">
        <f t="shared" si="4"/>
        <v/>
      </c>
      <c r="U40" s="173">
        <f t="shared" ca="1" si="15"/>
        <v>24339.34</v>
      </c>
      <c r="V40" s="141">
        <f t="shared" ca="1" si="5"/>
        <v>2024</v>
      </c>
      <c r="W40" s="141">
        <f t="shared" ca="1" si="11"/>
        <v>366</v>
      </c>
      <c r="X40" s="141">
        <f t="shared" ca="1" si="6"/>
        <v>26</v>
      </c>
      <c r="Y40" s="177">
        <f t="shared" ca="1" si="12"/>
        <v>25</v>
      </c>
      <c r="Z40" s="178">
        <f t="shared" ca="1" si="7"/>
        <v>5</v>
      </c>
      <c r="AA40" s="141">
        <v>13</v>
      </c>
    </row>
    <row r="41" spans="1:27" x14ac:dyDescent="0.35">
      <c r="A41" s="175">
        <f t="shared" si="13"/>
        <v>14</v>
      </c>
      <c r="B41" s="172">
        <f t="shared" ca="1" si="8"/>
        <v>45622</v>
      </c>
      <c r="C41" s="172">
        <f t="shared" ca="1" si="9"/>
        <v>45622</v>
      </c>
      <c r="D41" s="175">
        <f t="shared" ref="D41:D104" ca="1" si="25">IF(A41&gt;$D$8,"",C41-C40)</f>
        <v>31</v>
      </c>
      <c r="E41" s="173">
        <f t="shared" si="10"/>
        <v>575000</v>
      </c>
      <c r="F41" s="173">
        <f ca="1">IF(A40=$D$8,SUM(F$28:F40),IF(A40&gt;$D$8,"",G41+H41))</f>
        <v>21949.599999999999</v>
      </c>
      <c r="G41" s="173">
        <f>IF(AND(A40="",A42=""),"",IF(A41="",ROUND(SUM(G$28:$G40),2),IF(A41=$D$8,$G$27-ROUND(SUM(G$28:$G40),2),ROUND($G$27/$D$8,2))))</f>
        <v>12500</v>
      </c>
      <c r="H41" s="173">
        <f ca="1">IF(A40=$D$8,ROUND(SUM($H$28:H40),2),IF(A41&gt;$F$8,"",IF(W41&lt;&gt;W40,ROUND(SUM(Y41*$F$9*E40/W41,Z41*$F$9*E40/W40),2),ROUND(E40*$F$9*D41/W40,2))))</f>
        <v>9449.6</v>
      </c>
      <c r="I41" s="173" t="str">
        <f t="shared" ref="I41:I104" si="26">IF(A40=$F$8,$I$27,"")</f>
        <v/>
      </c>
      <c r="J41" s="173" t="str">
        <f t="shared" ref="J41:J104" si="27">IF(A40=$F$8,$J$27,"")</f>
        <v/>
      </c>
      <c r="K41" s="173" t="str">
        <f>IF(A40=$F$8,$K$27,"")</f>
        <v/>
      </c>
      <c r="L41" s="173" t="str">
        <f t="shared" ca="1" si="22"/>
        <v/>
      </c>
      <c r="M41" s="173" t="str">
        <f>IF(A40=$F$8,$M$27,"")</f>
        <v/>
      </c>
      <c r="N41" s="173" t="str">
        <f>IF(A40=$F$8,$N$27,"")</f>
        <v/>
      </c>
      <c r="O41" s="173" t="str">
        <f>IF(A40=$F$8,$O$27,"")</f>
        <v/>
      </c>
      <c r="P41" s="173" t="str">
        <f t="shared" si="24"/>
        <v/>
      </c>
      <c r="Q41" s="173" t="str">
        <f t="shared" ref="Q41:Q52" si="28">IF(A40=$D$8,$Q$27,"")</f>
        <v/>
      </c>
      <c r="R41" s="173" t="str">
        <f t="shared" ref="R41:R104" si="29">IF(A40=$D$8,$R$27,"")</f>
        <v/>
      </c>
      <c r="S41" s="244" t="str">
        <f>IF(A40=$D$8,XIRR(U$27:U40,C$27:C40),"")</f>
        <v/>
      </c>
      <c r="T41" s="173" t="str">
        <f t="shared" si="4"/>
        <v/>
      </c>
      <c r="U41" s="173">
        <f t="shared" ca="1" si="15"/>
        <v>21949.599999999999</v>
      </c>
      <c r="V41" s="141">
        <f t="shared" ca="1" si="5"/>
        <v>2024</v>
      </c>
      <c r="W41" s="141">
        <f t="shared" ca="1" si="11"/>
        <v>366</v>
      </c>
      <c r="X41" s="141">
        <f t="shared" ca="1" si="6"/>
        <v>26</v>
      </c>
      <c r="Y41" s="177">
        <f t="shared" ca="1" si="12"/>
        <v>25</v>
      </c>
      <c r="Z41" s="178">
        <f t="shared" ca="1" si="7"/>
        <v>6</v>
      </c>
      <c r="AA41" s="141">
        <v>14</v>
      </c>
    </row>
    <row r="42" spans="1:27" x14ac:dyDescent="0.35">
      <c r="A42" s="175">
        <f t="shared" si="13"/>
        <v>15</v>
      </c>
      <c r="B42" s="172">
        <f t="shared" ca="1" si="8"/>
        <v>45652</v>
      </c>
      <c r="C42" s="172">
        <f t="shared" ca="1" si="9"/>
        <v>45652</v>
      </c>
      <c r="D42" s="175">
        <f t="shared" ca="1" si="25"/>
        <v>30</v>
      </c>
      <c r="E42" s="173">
        <f t="shared" si="10"/>
        <v>562500</v>
      </c>
      <c r="F42" s="173">
        <f ca="1">IF(A41=$D$8,SUM(F$28:F41),IF(A41&gt;$D$8,"",G42+H42))</f>
        <v>21450.2</v>
      </c>
      <c r="G42" s="173">
        <f>IF(AND(A41="",A43=""),"",IF(A42="",ROUND(SUM(G$28:$G41),2),IF(A42=$D$8,$G$27-ROUND(SUM(G$28:$G41),2),ROUND($G$27/$D$8,2))))</f>
        <v>12500</v>
      </c>
      <c r="H42" s="173">
        <f ca="1">IF(A41=$D$8,ROUND(SUM($H$28:H41),2),IF(A42&gt;$F$8,"",IF(W42&lt;&gt;W41,ROUND(SUM(Y42*$F$9*E41/W42,Z42*$F$9*E41/W41),2),ROUND(E41*$F$9*D42/W41,2))))</f>
        <v>8950.2000000000007</v>
      </c>
      <c r="I42" s="173" t="str">
        <f t="shared" si="26"/>
        <v/>
      </c>
      <c r="J42" s="173" t="str">
        <f t="shared" si="27"/>
        <v/>
      </c>
      <c r="K42" s="173" t="str">
        <f t="shared" ref="K42:K88" si="30">IF(A41=$F$8,$K$27,"")</f>
        <v/>
      </c>
      <c r="L42" s="173" t="str">
        <f t="shared" ca="1" si="22"/>
        <v/>
      </c>
      <c r="M42" s="173" t="str">
        <f t="shared" ref="M42:M105" si="31">IF(A41=$F$8,$M$27,"")</f>
        <v/>
      </c>
      <c r="N42" s="173" t="str">
        <f t="shared" ref="N42:N105" si="32">IF(A41=$F$8,$N$27,"")</f>
        <v/>
      </c>
      <c r="O42" s="173" t="str">
        <f t="shared" ref="O42:O105" si="33">IF(A41=$F$8,$O$27,"")</f>
        <v/>
      </c>
      <c r="P42" s="173" t="str">
        <f t="shared" si="24"/>
        <v/>
      </c>
      <c r="Q42" s="173" t="str">
        <f t="shared" si="28"/>
        <v/>
      </c>
      <c r="R42" s="173" t="str">
        <f t="shared" si="29"/>
        <v/>
      </c>
      <c r="S42" s="244" t="str">
        <f>IF(A41=$D$8,XIRR(U$27:U41,C$27:C41),"")</f>
        <v/>
      </c>
      <c r="T42" s="173" t="str">
        <f t="shared" si="4"/>
        <v/>
      </c>
      <c r="U42" s="173">
        <f t="shared" ca="1" si="15"/>
        <v>21450.2</v>
      </c>
      <c r="V42" s="141">
        <f t="shared" ca="1" si="5"/>
        <v>2024</v>
      </c>
      <c r="W42" s="141">
        <f t="shared" ca="1" si="11"/>
        <v>366</v>
      </c>
      <c r="X42" s="141">
        <f t="shared" ca="1" si="6"/>
        <v>26</v>
      </c>
      <c r="Y42" s="177">
        <f t="shared" ca="1" si="12"/>
        <v>25</v>
      </c>
      <c r="Z42" s="178">
        <f t="shared" ca="1" si="7"/>
        <v>5</v>
      </c>
      <c r="AA42" s="141">
        <v>15</v>
      </c>
    </row>
    <row r="43" spans="1:27" x14ac:dyDescent="0.35">
      <c r="A43" s="175">
        <f t="shared" si="13"/>
        <v>16</v>
      </c>
      <c r="B43" s="172">
        <f t="shared" ca="1" si="8"/>
        <v>45683</v>
      </c>
      <c r="C43" s="172">
        <f t="shared" ca="1" si="9"/>
        <v>45683</v>
      </c>
      <c r="D43" s="175">
        <f t="shared" ca="1" si="25"/>
        <v>31</v>
      </c>
      <c r="E43" s="173">
        <f t="shared" si="10"/>
        <v>550000</v>
      </c>
      <c r="F43" s="173">
        <f ca="1">IF(A42=$D$8,SUM(F$28:F42),IF(A42&gt;$D$8,"",G43+H43))</f>
        <v>21567.48</v>
      </c>
      <c r="G43" s="173">
        <f>IF(AND(A42="",A44=""),"",IF(A43="",ROUND(SUM(G$28:$G42),2),IF(A43=$D$8,$G$27-ROUND(SUM(G$28:$G42),2),ROUND($G$27/$D$8,2))))</f>
        <v>12500</v>
      </c>
      <c r="H43" s="173">
        <f ca="1">IF(A42=$D$8,ROUND(SUM($H$28:H42),2),IF(A43&gt;$F$8,"",IF(W43&lt;&gt;W42,ROUND(SUM(Y43*$F$9*E42/W43,Z43*$F$9*E42/W42),2),ROUND(E42*$F$9*D43/W42,2))))</f>
        <v>9067.48</v>
      </c>
      <c r="I43" s="173" t="str">
        <f t="shared" si="26"/>
        <v/>
      </c>
      <c r="J43" s="173" t="str">
        <f t="shared" si="27"/>
        <v/>
      </c>
      <c r="K43" s="173" t="str">
        <f t="shared" si="30"/>
        <v/>
      </c>
      <c r="L43" s="173" t="str">
        <f t="shared" ca="1" si="22"/>
        <v/>
      </c>
      <c r="M43" s="173" t="str">
        <f t="shared" si="31"/>
        <v/>
      </c>
      <c r="N43" s="173" t="str">
        <f t="shared" si="32"/>
        <v/>
      </c>
      <c r="O43" s="173" t="str">
        <f t="shared" si="33"/>
        <v/>
      </c>
      <c r="P43" s="173" t="str">
        <f t="shared" si="24"/>
        <v/>
      </c>
      <c r="Q43" s="173" t="str">
        <f t="shared" si="28"/>
        <v/>
      </c>
      <c r="R43" s="173" t="str">
        <f t="shared" si="29"/>
        <v/>
      </c>
      <c r="S43" s="244" t="str">
        <f>IF(A42=$D$8,XIRR(U$27:U42,C$27:C42),"")</f>
        <v/>
      </c>
      <c r="T43" s="173" t="str">
        <f t="shared" si="4"/>
        <v/>
      </c>
      <c r="U43" s="173">
        <f t="shared" ca="1" si="15"/>
        <v>21567.48</v>
      </c>
      <c r="V43" s="141">
        <f t="shared" ca="1" si="5"/>
        <v>2025</v>
      </c>
      <c r="W43" s="141">
        <f t="shared" ca="1" si="11"/>
        <v>365</v>
      </c>
      <c r="X43" s="141">
        <f t="shared" ca="1" si="6"/>
        <v>26</v>
      </c>
      <c r="Y43" s="177">
        <f t="shared" ca="1" si="12"/>
        <v>25</v>
      </c>
      <c r="Z43" s="178">
        <f t="shared" ca="1" si="7"/>
        <v>6</v>
      </c>
      <c r="AA43" s="141">
        <v>16</v>
      </c>
    </row>
    <row r="44" spans="1:27" x14ac:dyDescent="0.35">
      <c r="A44" s="175">
        <f t="shared" si="13"/>
        <v>17</v>
      </c>
      <c r="B44" s="172">
        <f t="shared" ca="1" si="8"/>
        <v>45714</v>
      </c>
      <c r="C44" s="172">
        <f t="shared" ca="1" si="9"/>
        <v>45714</v>
      </c>
      <c r="D44" s="175">
        <f t="shared" ca="1" si="25"/>
        <v>31</v>
      </c>
      <c r="E44" s="173">
        <f t="shared" si="10"/>
        <v>537500</v>
      </c>
      <c r="F44" s="173">
        <f ca="1">IF(A43=$D$8,SUM(F$28:F43),IF(A43&gt;$D$8,"",G44+H44))</f>
        <v>21370.67</v>
      </c>
      <c r="G44" s="173">
        <f>IF(AND(A43="",A45=""),"",IF(A44="",ROUND(SUM(G$28:$G43),2),IF(A44=$D$8,$G$27-ROUND(SUM(G$28:$G43),2),ROUND($G$27/$D$8,2))))</f>
        <v>12500</v>
      </c>
      <c r="H44" s="173">
        <f ca="1">IF(A43=$D$8,ROUND(SUM($H$28:H43),2),IF(A44&gt;$F$8,"",IF(W44&lt;&gt;W43,ROUND(SUM(Y44*$F$9*E43/W44,Z44*$F$9*E43/W43),2),ROUND(E43*$F$9*D44/W43,2))))</f>
        <v>8870.67</v>
      </c>
      <c r="I44" s="173" t="str">
        <f t="shared" si="26"/>
        <v/>
      </c>
      <c r="J44" s="173" t="str">
        <f t="shared" si="27"/>
        <v/>
      </c>
      <c r="K44" s="173" t="str">
        <f t="shared" si="30"/>
        <v/>
      </c>
      <c r="L44" s="173" t="str">
        <f t="shared" ca="1" si="22"/>
        <v/>
      </c>
      <c r="M44" s="173" t="str">
        <f t="shared" si="31"/>
        <v/>
      </c>
      <c r="N44" s="173" t="str">
        <f t="shared" si="32"/>
        <v/>
      </c>
      <c r="O44" s="173" t="str">
        <f t="shared" si="33"/>
        <v/>
      </c>
      <c r="P44" s="173" t="str">
        <f t="shared" si="24"/>
        <v/>
      </c>
      <c r="Q44" s="173" t="str">
        <f t="shared" si="28"/>
        <v/>
      </c>
      <c r="R44" s="173" t="str">
        <f t="shared" si="29"/>
        <v/>
      </c>
      <c r="S44" s="244" t="str">
        <f>IF(A43=$D$8,XIRR(U$27:U43,C$27:C43),"")</f>
        <v/>
      </c>
      <c r="T44" s="173" t="str">
        <f t="shared" si="4"/>
        <v/>
      </c>
      <c r="U44" s="173">
        <f t="shared" ca="1" si="15"/>
        <v>21370.67</v>
      </c>
      <c r="V44" s="141">
        <f t="shared" ca="1" si="5"/>
        <v>2025</v>
      </c>
      <c r="W44" s="141">
        <f t="shared" ca="1" si="11"/>
        <v>365</v>
      </c>
      <c r="X44" s="141">
        <f t="shared" ca="1" si="6"/>
        <v>26</v>
      </c>
      <c r="Y44" s="177">
        <f t="shared" ca="1" si="12"/>
        <v>25</v>
      </c>
      <c r="Z44" s="178">
        <f t="shared" ca="1" si="7"/>
        <v>6</v>
      </c>
      <c r="AA44" s="141">
        <v>17</v>
      </c>
    </row>
    <row r="45" spans="1:27" x14ac:dyDescent="0.35">
      <c r="A45" s="175">
        <f t="shared" si="13"/>
        <v>18</v>
      </c>
      <c r="B45" s="172">
        <f t="shared" ca="1" si="8"/>
        <v>45742</v>
      </c>
      <c r="C45" s="172">
        <f t="shared" ca="1" si="9"/>
        <v>45742</v>
      </c>
      <c r="D45" s="175">
        <f t="shared" ca="1" si="25"/>
        <v>28</v>
      </c>
      <c r="E45" s="173">
        <f t="shared" si="10"/>
        <v>525000</v>
      </c>
      <c r="F45" s="173">
        <f ca="1">IF(A44=$D$8,SUM(F$28:F44),IF(A44&gt;$D$8,"",G45+H45))</f>
        <v>20330.12</v>
      </c>
      <c r="G45" s="173">
        <f>IF(AND(A44="",A46=""),"",IF(A45="",ROUND(SUM(G$28:$G44),2),IF(A45=$D$8,$G$27-ROUND(SUM(G$28:$G44),2),ROUND($G$27/$D$8,2))))</f>
        <v>12500</v>
      </c>
      <c r="H45" s="173">
        <f ca="1">IF(A44=$D$8,ROUND(SUM($H$28:H44),2),IF(A45&gt;$F$8,"",IF(W45&lt;&gt;W44,ROUND(SUM(Y45*$F$9*E44/W45,Z45*$F$9*E44/W44),2),ROUND(E44*$F$9*D45/W44,2))))</f>
        <v>7830.12</v>
      </c>
      <c r="I45" s="173" t="str">
        <f t="shared" si="26"/>
        <v/>
      </c>
      <c r="J45" s="173" t="str">
        <f t="shared" si="27"/>
        <v/>
      </c>
      <c r="K45" s="173" t="str">
        <f t="shared" si="30"/>
        <v/>
      </c>
      <c r="L45" s="173" t="str">
        <f t="shared" ca="1" si="22"/>
        <v/>
      </c>
      <c r="M45" s="173" t="str">
        <f t="shared" si="31"/>
        <v/>
      </c>
      <c r="N45" s="173" t="str">
        <f t="shared" si="32"/>
        <v/>
      </c>
      <c r="O45" s="173" t="str">
        <f t="shared" si="33"/>
        <v/>
      </c>
      <c r="P45" s="173" t="str">
        <f t="shared" si="24"/>
        <v/>
      </c>
      <c r="Q45" s="173" t="str">
        <f t="shared" si="28"/>
        <v/>
      </c>
      <c r="R45" s="173" t="str">
        <f t="shared" si="29"/>
        <v/>
      </c>
      <c r="S45" s="244" t="str">
        <f>IF(A44=$D$8,XIRR(U$27:U44,C$27:C44),"")</f>
        <v/>
      </c>
      <c r="T45" s="173" t="str">
        <f t="shared" si="4"/>
        <v/>
      </c>
      <c r="U45" s="173">
        <f t="shared" ca="1" si="15"/>
        <v>20330.12</v>
      </c>
      <c r="V45" s="141">
        <f t="shared" ca="1" si="5"/>
        <v>2025</v>
      </c>
      <c r="W45" s="141">
        <f t="shared" ca="1" si="11"/>
        <v>365</v>
      </c>
      <c r="X45" s="141">
        <f t="shared" ca="1" si="6"/>
        <v>26</v>
      </c>
      <c r="Y45" s="177">
        <f t="shared" ca="1" si="12"/>
        <v>25</v>
      </c>
      <c r="Z45" s="178">
        <f t="shared" ca="1" si="7"/>
        <v>3</v>
      </c>
      <c r="AA45" s="141">
        <v>18</v>
      </c>
    </row>
    <row r="46" spans="1:27" x14ac:dyDescent="0.35">
      <c r="A46" s="175">
        <f t="shared" si="13"/>
        <v>19</v>
      </c>
      <c r="B46" s="172">
        <f t="shared" ca="1" si="8"/>
        <v>45773</v>
      </c>
      <c r="C46" s="172">
        <f t="shared" ca="1" si="9"/>
        <v>45773</v>
      </c>
      <c r="D46" s="175">
        <f t="shared" ca="1" si="25"/>
        <v>31</v>
      </c>
      <c r="E46" s="173">
        <f t="shared" si="10"/>
        <v>512500</v>
      </c>
      <c r="F46" s="173">
        <f ca="1">IF(A45=$D$8,SUM(F$28:F45),IF(A45&gt;$D$8,"",G46+H46))</f>
        <v>20967.46</v>
      </c>
      <c r="G46" s="173">
        <f>IF(AND(A45="",A47=""),"",IF(A46="",ROUND(SUM(G$28:$G45),2),IF(A46=$D$8,$G$27-ROUND(SUM(G$28:$G45),2),ROUND($G$27/$D$8,2))))</f>
        <v>12500</v>
      </c>
      <c r="H46" s="173">
        <f ca="1">IF(A45=$D$8,ROUND(SUM($H$28:H45),2),IF(A46&gt;$F$8,"",IF(W46&lt;&gt;W45,ROUND(SUM(Y46*$F$9*E45/W46,Z46*$F$9*E45/W45),2),ROUND(E45*$F$9*D46/W45,2))))</f>
        <v>8467.4599999999991</v>
      </c>
      <c r="I46" s="173" t="str">
        <f t="shared" si="26"/>
        <v/>
      </c>
      <c r="J46" s="173" t="str">
        <f t="shared" si="27"/>
        <v/>
      </c>
      <c r="K46" s="173" t="str">
        <f t="shared" si="30"/>
        <v/>
      </c>
      <c r="L46" s="173" t="str">
        <f t="shared" ca="1" si="22"/>
        <v/>
      </c>
      <c r="M46" s="173" t="str">
        <f t="shared" si="31"/>
        <v/>
      </c>
      <c r="N46" s="173" t="str">
        <f t="shared" si="32"/>
        <v/>
      </c>
      <c r="O46" s="173" t="str">
        <f t="shared" si="33"/>
        <v/>
      </c>
      <c r="P46" s="173" t="str">
        <f t="shared" si="24"/>
        <v/>
      </c>
      <c r="Q46" s="173" t="str">
        <f t="shared" si="28"/>
        <v/>
      </c>
      <c r="R46" s="173" t="str">
        <f t="shared" si="29"/>
        <v/>
      </c>
      <c r="S46" s="244" t="str">
        <f>IF(A45=$D$8,XIRR(U$27:U45,C$27:C45),"")</f>
        <v/>
      </c>
      <c r="T46" s="173" t="str">
        <f t="shared" si="4"/>
        <v/>
      </c>
      <c r="U46" s="173">
        <f t="shared" ca="1" si="15"/>
        <v>20967.46</v>
      </c>
      <c r="V46" s="141">
        <f t="shared" ca="1" si="5"/>
        <v>2025</v>
      </c>
      <c r="W46" s="141">
        <f t="shared" ca="1" si="11"/>
        <v>365</v>
      </c>
      <c r="X46" s="141">
        <f t="shared" ca="1" si="6"/>
        <v>26</v>
      </c>
      <c r="Y46" s="177">
        <f t="shared" ca="1" si="12"/>
        <v>25</v>
      </c>
      <c r="Z46" s="178">
        <f t="shared" ca="1" si="7"/>
        <v>6</v>
      </c>
      <c r="AA46" s="141">
        <v>19</v>
      </c>
    </row>
    <row r="47" spans="1:27" x14ac:dyDescent="0.35">
      <c r="A47" s="175">
        <f t="shared" si="13"/>
        <v>20</v>
      </c>
      <c r="B47" s="172">
        <f t="shared" ca="1" si="8"/>
        <v>45803</v>
      </c>
      <c r="C47" s="172">
        <f t="shared" ca="1" si="9"/>
        <v>45803</v>
      </c>
      <c r="D47" s="175">
        <f t="shared" ca="1" si="25"/>
        <v>30</v>
      </c>
      <c r="E47" s="173">
        <f t="shared" si="10"/>
        <v>500000</v>
      </c>
      <c r="F47" s="173">
        <f ca="1">IF(A46=$D$8,SUM(F$28:F46),IF(A46&gt;$D$8,"",G47+H47))</f>
        <v>20499.21</v>
      </c>
      <c r="G47" s="173">
        <f>IF(AND(A46="",A48=""),"",IF(A47="",ROUND(SUM(G$28:$G46),2),IF(A47=$D$8,$G$27-ROUND(SUM(G$28:$G46),2),ROUND($G$27/$D$8,2))))</f>
        <v>12500</v>
      </c>
      <c r="H47" s="173">
        <f ca="1">IF(A46=$D$8,ROUND(SUM($H$28:H46),2),IF(A47&gt;$F$8,"",IF(W47&lt;&gt;W46,ROUND(SUM(Y47*$F$9*E46/W47,Z47*$F$9*E46/W46),2),ROUND(E46*$F$9*D47/W46,2))))</f>
        <v>7999.21</v>
      </c>
      <c r="I47" s="173" t="str">
        <f t="shared" si="26"/>
        <v/>
      </c>
      <c r="J47" s="173" t="str">
        <f t="shared" si="27"/>
        <v/>
      </c>
      <c r="K47" s="173" t="str">
        <f t="shared" si="30"/>
        <v/>
      </c>
      <c r="L47" s="173" t="str">
        <f t="shared" ca="1" si="22"/>
        <v/>
      </c>
      <c r="M47" s="173" t="str">
        <f t="shared" si="31"/>
        <v/>
      </c>
      <c r="N47" s="173" t="str">
        <f t="shared" si="32"/>
        <v/>
      </c>
      <c r="O47" s="173" t="str">
        <f t="shared" si="33"/>
        <v/>
      </c>
      <c r="P47" s="173" t="str">
        <f t="shared" si="24"/>
        <v/>
      </c>
      <c r="Q47" s="173" t="str">
        <f t="shared" si="28"/>
        <v/>
      </c>
      <c r="R47" s="173" t="str">
        <f t="shared" si="29"/>
        <v/>
      </c>
      <c r="S47" s="244" t="str">
        <f>IF(A46=$D$8,XIRR(U$27:U46,C$27:C46),"")</f>
        <v/>
      </c>
      <c r="T47" s="173" t="str">
        <f t="shared" si="4"/>
        <v/>
      </c>
      <c r="U47" s="173">
        <f t="shared" ca="1" si="15"/>
        <v>20499.21</v>
      </c>
      <c r="V47" s="141">
        <f t="shared" ca="1" si="5"/>
        <v>2025</v>
      </c>
      <c r="W47" s="141">
        <f t="shared" ca="1" si="11"/>
        <v>365</v>
      </c>
      <c r="X47" s="141">
        <f t="shared" ca="1" si="6"/>
        <v>26</v>
      </c>
      <c r="Y47" s="177">
        <f t="shared" ca="1" si="12"/>
        <v>25</v>
      </c>
      <c r="Z47" s="178">
        <f t="shared" ca="1" si="7"/>
        <v>5</v>
      </c>
      <c r="AA47" s="141">
        <v>20</v>
      </c>
    </row>
    <row r="48" spans="1:27" x14ac:dyDescent="0.35">
      <c r="A48" s="175">
        <f t="shared" si="13"/>
        <v>21</v>
      </c>
      <c r="B48" s="172">
        <f t="shared" ca="1" si="8"/>
        <v>45834</v>
      </c>
      <c r="C48" s="172">
        <f t="shared" ca="1" si="9"/>
        <v>45834</v>
      </c>
      <c r="D48" s="175">
        <f t="shared" ca="1" si="25"/>
        <v>31</v>
      </c>
      <c r="E48" s="173">
        <f t="shared" si="10"/>
        <v>487500</v>
      </c>
      <c r="F48" s="173">
        <f ca="1">IF(A47=$D$8,SUM(F$28:F47),IF(A47&gt;$D$8,"",G48+H48))</f>
        <v>20564.25</v>
      </c>
      <c r="G48" s="173">
        <f>IF(AND(A47="",A49=""),"",IF(A48="",ROUND(SUM(G$28:$G47),2),IF(A48=$D$8,$G$27-ROUND(SUM(G$28:$G47),2),ROUND($G$27/$D$8,2))))</f>
        <v>12500</v>
      </c>
      <c r="H48" s="173">
        <f ca="1">IF(A47=$D$8,ROUND(SUM($H$28:H47),2),IF(A48&gt;$F$8,"",IF(W48&lt;&gt;W47,ROUND(SUM(Y48*$F$9*E47/W48,Z48*$F$9*E47/W47),2),ROUND(E47*$F$9*D48/W47,2))))</f>
        <v>8064.25</v>
      </c>
      <c r="I48" s="173" t="str">
        <f t="shared" si="26"/>
        <v/>
      </c>
      <c r="J48" s="173" t="str">
        <f t="shared" si="27"/>
        <v/>
      </c>
      <c r="K48" s="173" t="str">
        <f t="shared" si="30"/>
        <v/>
      </c>
      <c r="L48" s="173" t="str">
        <f t="shared" ca="1" si="22"/>
        <v/>
      </c>
      <c r="M48" s="173" t="str">
        <f t="shared" si="31"/>
        <v/>
      </c>
      <c r="N48" s="173" t="str">
        <f t="shared" si="32"/>
        <v/>
      </c>
      <c r="O48" s="173" t="str">
        <f t="shared" si="33"/>
        <v/>
      </c>
      <c r="P48" s="173" t="str">
        <f t="shared" si="24"/>
        <v/>
      </c>
      <c r="Q48" s="173" t="str">
        <f t="shared" si="28"/>
        <v/>
      </c>
      <c r="R48" s="173" t="str">
        <f t="shared" si="29"/>
        <v/>
      </c>
      <c r="S48" s="244" t="str">
        <f>IF(A47=$D$8,XIRR(U$27:U47,C$27:C47),"")</f>
        <v/>
      </c>
      <c r="T48" s="173" t="str">
        <f t="shared" si="4"/>
        <v/>
      </c>
      <c r="U48" s="173">
        <f t="shared" ca="1" si="15"/>
        <v>20564.25</v>
      </c>
      <c r="V48" s="141">
        <f t="shared" ca="1" si="5"/>
        <v>2025</v>
      </c>
      <c r="W48" s="141">
        <f t="shared" ca="1" si="11"/>
        <v>365</v>
      </c>
      <c r="X48" s="141">
        <f t="shared" ca="1" si="6"/>
        <v>26</v>
      </c>
      <c r="Y48" s="177">
        <f t="shared" ca="1" si="12"/>
        <v>25</v>
      </c>
      <c r="Z48" s="178">
        <f t="shared" ca="1" si="7"/>
        <v>6</v>
      </c>
      <c r="AA48" s="141">
        <v>21</v>
      </c>
    </row>
    <row r="49" spans="1:27" x14ac:dyDescent="0.35">
      <c r="A49" s="175">
        <f t="shared" si="13"/>
        <v>22</v>
      </c>
      <c r="B49" s="172">
        <f t="shared" ca="1" si="8"/>
        <v>45864</v>
      </c>
      <c r="C49" s="172">
        <f t="shared" ca="1" si="9"/>
        <v>45864</v>
      </c>
      <c r="D49" s="175">
        <f t="shared" ca="1" si="25"/>
        <v>30</v>
      </c>
      <c r="E49" s="173">
        <f t="shared" si="10"/>
        <v>475000</v>
      </c>
      <c r="F49" s="173">
        <f ca="1">IF(A48=$D$8,SUM(F$28:F48),IF(A48&gt;$D$8,"",G49+H49))</f>
        <v>20109.010000000002</v>
      </c>
      <c r="G49" s="173">
        <f>IF(AND(A48="",A50=""),"",IF(A49="",ROUND(SUM(G$28:$G48),2),IF(A49=$D$8,$G$27-ROUND(SUM(G$28:$G48),2),ROUND($G$27/$D$8,2))))</f>
        <v>12500</v>
      </c>
      <c r="H49" s="173">
        <f ca="1">IF(A48=$D$8,ROUND(SUM($H$28:H48),2),IF(A49&gt;$F$8,"",IF(W49&lt;&gt;W48,ROUND(SUM(Y49*$F$9*E48/W49,Z49*$F$9*E48/W48),2),ROUND(E48*$F$9*D49/W48,2))))</f>
        <v>7609.01</v>
      </c>
      <c r="I49" s="173" t="str">
        <f t="shared" si="26"/>
        <v/>
      </c>
      <c r="J49" s="173" t="str">
        <f t="shared" si="27"/>
        <v/>
      </c>
      <c r="K49" s="173" t="str">
        <f t="shared" si="30"/>
        <v/>
      </c>
      <c r="L49" s="173" t="str">
        <f t="shared" ca="1" si="22"/>
        <v/>
      </c>
      <c r="M49" s="173" t="str">
        <f t="shared" si="31"/>
        <v/>
      </c>
      <c r="N49" s="173" t="str">
        <f t="shared" si="32"/>
        <v/>
      </c>
      <c r="O49" s="173" t="str">
        <f t="shared" si="33"/>
        <v/>
      </c>
      <c r="P49" s="173" t="str">
        <f t="shared" si="24"/>
        <v/>
      </c>
      <c r="Q49" s="173" t="str">
        <f t="shared" si="28"/>
        <v/>
      </c>
      <c r="R49" s="173" t="str">
        <f t="shared" si="29"/>
        <v/>
      </c>
      <c r="S49" s="244" t="str">
        <f>IF(A48=$D$8,XIRR(U$27:U48,C$27:C48),"")</f>
        <v/>
      </c>
      <c r="T49" s="173" t="str">
        <f t="shared" si="4"/>
        <v/>
      </c>
      <c r="U49" s="173">
        <f t="shared" ca="1" si="15"/>
        <v>20109.010000000002</v>
      </c>
      <c r="V49" s="141">
        <f t="shared" ca="1" si="5"/>
        <v>2025</v>
      </c>
      <c r="W49" s="141">
        <f t="shared" ca="1" si="11"/>
        <v>365</v>
      </c>
      <c r="X49" s="141">
        <f t="shared" ca="1" si="6"/>
        <v>26</v>
      </c>
      <c r="Y49" s="177">
        <f t="shared" ca="1" si="12"/>
        <v>25</v>
      </c>
      <c r="Z49" s="178">
        <f t="shared" ca="1" si="7"/>
        <v>5</v>
      </c>
      <c r="AA49" s="141">
        <v>22</v>
      </c>
    </row>
    <row r="50" spans="1:27" x14ac:dyDescent="0.35">
      <c r="A50" s="175">
        <f t="shared" si="13"/>
        <v>23</v>
      </c>
      <c r="B50" s="172">
        <f t="shared" ca="1" si="8"/>
        <v>45895</v>
      </c>
      <c r="C50" s="172">
        <f t="shared" ca="1" si="9"/>
        <v>45895</v>
      </c>
      <c r="D50" s="175">
        <f t="shared" ca="1" si="25"/>
        <v>31</v>
      </c>
      <c r="E50" s="173">
        <f t="shared" si="10"/>
        <v>462500</v>
      </c>
      <c r="F50" s="173">
        <f ca="1">IF(A49=$D$8,SUM(F$28:F49),IF(A49&gt;$D$8,"",G50+H50))</f>
        <v>20161.03</v>
      </c>
      <c r="G50" s="173">
        <f>IF(AND(A49="",A51=""),"",IF(A50="",ROUND(SUM(G$28:$G49),2),IF(A50=$D$8,$G$27-ROUND(SUM(G$28:$G49),2),ROUND($G$27/$D$8,2))))</f>
        <v>12500</v>
      </c>
      <c r="H50" s="173">
        <f ca="1">IF(A49=$D$8,ROUND(SUM($H$28:H49),2),IF(A50&gt;$F$8,"",IF(W50&lt;&gt;W49,ROUND(SUM(Y50*$F$9*E49/W50,Z50*$F$9*E49/W49),2),ROUND(E49*$F$9*D50/W49,2))))</f>
        <v>7661.03</v>
      </c>
      <c r="I50" s="173" t="str">
        <f t="shared" si="26"/>
        <v/>
      </c>
      <c r="J50" s="173" t="str">
        <f t="shared" si="27"/>
        <v/>
      </c>
      <c r="K50" s="173" t="str">
        <f t="shared" si="30"/>
        <v/>
      </c>
      <c r="L50" s="173" t="str">
        <f t="shared" ca="1" si="22"/>
        <v/>
      </c>
      <c r="M50" s="173" t="str">
        <f t="shared" si="31"/>
        <v/>
      </c>
      <c r="N50" s="173" t="str">
        <f t="shared" si="32"/>
        <v/>
      </c>
      <c r="O50" s="173" t="str">
        <f t="shared" si="33"/>
        <v/>
      </c>
      <c r="P50" s="173" t="str">
        <f t="shared" si="24"/>
        <v/>
      </c>
      <c r="Q50" s="173" t="str">
        <f t="shared" si="28"/>
        <v/>
      </c>
      <c r="R50" s="173" t="str">
        <f t="shared" si="29"/>
        <v/>
      </c>
      <c r="S50" s="244" t="str">
        <f>IF(A49=$D$8,XIRR(U$27:U49,C$27:C49),"")</f>
        <v/>
      </c>
      <c r="T50" s="173" t="str">
        <f t="shared" si="4"/>
        <v/>
      </c>
      <c r="U50" s="173">
        <f t="shared" ca="1" si="15"/>
        <v>20161.03</v>
      </c>
      <c r="V50" s="141">
        <f t="shared" ca="1" si="5"/>
        <v>2025</v>
      </c>
      <c r="W50" s="141">
        <f t="shared" ca="1" si="11"/>
        <v>365</v>
      </c>
      <c r="X50" s="141">
        <f t="shared" ca="1" si="6"/>
        <v>26</v>
      </c>
      <c r="Y50" s="177">
        <f t="shared" ca="1" si="12"/>
        <v>25</v>
      </c>
      <c r="Z50" s="178">
        <f t="shared" ca="1" si="7"/>
        <v>6</v>
      </c>
      <c r="AA50" s="141">
        <v>23</v>
      </c>
    </row>
    <row r="51" spans="1:27" x14ac:dyDescent="0.35">
      <c r="A51" s="175">
        <f t="shared" si="13"/>
        <v>24</v>
      </c>
      <c r="B51" s="172">
        <f t="shared" ca="1" si="8"/>
        <v>45926</v>
      </c>
      <c r="C51" s="172">
        <f t="shared" ca="1" si="9"/>
        <v>45926</v>
      </c>
      <c r="D51" s="175">
        <f t="shared" ca="1" si="25"/>
        <v>31</v>
      </c>
      <c r="E51" s="173">
        <f t="shared" si="10"/>
        <v>450000</v>
      </c>
      <c r="F51" s="173">
        <f ca="1">IF(A50=$D$8,SUM(F$28:F50),IF(A50&gt;$D$8,"",G51+H51))</f>
        <v>19959.43</v>
      </c>
      <c r="G51" s="173">
        <f>IF(AND(A50="",A52=""),"",IF(A51="",ROUND(SUM(G$28:$G50),2),IF(A51=$D$8,$G$27-ROUND(SUM(G$28:$G50),2),ROUND($G$27/$D$8,2))))</f>
        <v>12500</v>
      </c>
      <c r="H51" s="173">
        <f ca="1">IF(A50=$D$8,ROUND(SUM($H$28:H50),2),IF(A51&gt;$F$8,"",IF(W51&lt;&gt;W50,ROUND(SUM(Y51*$F$9*E50/W51,Z51*$F$9*E50/W50),2),ROUND(E50*$F$9*D51/W50,2))))</f>
        <v>7459.43</v>
      </c>
      <c r="I51" s="173" t="str">
        <f t="shared" si="26"/>
        <v/>
      </c>
      <c r="J51" s="173" t="str">
        <f t="shared" si="27"/>
        <v/>
      </c>
      <c r="K51" s="173" t="str">
        <f t="shared" si="30"/>
        <v/>
      </c>
      <c r="L51" s="173" t="str">
        <f t="shared" ca="1" si="22"/>
        <v/>
      </c>
      <c r="M51" s="173" t="str">
        <f t="shared" si="31"/>
        <v/>
      </c>
      <c r="N51" s="173" t="str">
        <f t="shared" si="32"/>
        <v/>
      </c>
      <c r="O51" s="173" t="str">
        <f t="shared" si="33"/>
        <v/>
      </c>
      <c r="P51" s="173" t="str">
        <f t="shared" si="24"/>
        <v/>
      </c>
      <c r="Q51" s="173" t="str">
        <f t="shared" si="28"/>
        <v/>
      </c>
      <c r="R51" s="173" t="str">
        <f t="shared" si="29"/>
        <v/>
      </c>
      <c r="S51" s="244" t="str">
        <f>IF(A50=$D$8,XIRR(U$27:U50,C$27:C50),"")</f>
        <v/>
      </c>
      <c r="T51" s="173" t="str">
        <f t="shared" si="4"/>
        <v/>
      </c>
      <c r="U51" s="173">
        <f t="shared" ca="1" si="15"/>
        <v>19959.43</v>
      </c>
      <c r="V51" s="141">
        <f t="shared" ca="1" si="5"/>
        <v>2025</v>
      </c>
      <c r="W51" s="141">
        <f t="shared" ca="1" si="11"/>
        <v>365</v>
      </c>
      <c r="X51" s="141">
        <f t="shared" ca="1" si="6"/>
        <v>26</v>
      </c>
      <c r="Y51" s="177">
        <f t="shared" ca="1" si="12"/>
        <v>25</v>
      </c>
      <c r="Z51" s="178">
        <f t="shared" ca="1" si="7"/>
        <v>6</v>
      </c>
      <c r="AA51" s="141">
        <v>24</v>
      </c>
    </row>
    <row r="52" spans="1:27" x14ac:dyDescent="0.35">
      <c r="A52" s="175">
        <f t="shared" si="13"/>
        <v>25</v>
      </c>
      <c r="B52" s="172">
        <f t="shared" ca="1" si="8"/>
        <v>45956</v>
      </c>
      <c r="C52" s="172">
        <f t="shared" ca="1" si="9"/>
        <v>45956</v>
      </c>
      <c r="D52" s="175">
        <f t="shared" ca="1" si="25"/>
        <v>30</v>
      </c>
      <c r="E52" s="173">
        <f t="shared" si="10"/>
        <v>437500</v>
      </c>
      <c r="F52" s="173">
        <f ca="1">IF(A51=$D$8,SUM(F$28:F51),IF(A51&gt;$D$8,"",G52+H52))</f>
        <v>19523.7</v>
      </c>
      <c r="G52" s="173">
        <f>IF(AND(A51="",A53=""),"",IF(A52="",ROUND(SUM(G$28:$G51),2),IF(A52=$D$8,$G$27-ROUND(SUM(G$28:$G51),2),ROUND($G$27/$D$8,2))))</f>
        <v>12500</v>
      </c>
      <c r="H52" s="173">
        <f ca="1">IF(A51=$D$8,ROUND(SUM($H$28:H51),2),IF(A52&gt;$F$8,"",IF(W52&lt;&gt;W51,ROUND(SUM(Y52*$F$9*E51/W52,Z52*$F$9*E51/W51),2),ROUND(E51*$F$9*D52/W51,2))))</f>
        <v>7023.7</v>
      </c>
      <c r="I52" s="173" t="str">
        <f t="shared" si="26"/>
        <v/>
      </c>
      <c r="J52" s="173" t="str">
        <f t="shared" si="27"/>
        <v/>
      </c>
      <c r="K52" s="173" t="str">
        <f t="shared" si="30"/>
        <v/>
      </c>
      <c r="L52" s="174">
        <f>IF($F$8&gt;24,($R$14),IF(A51=$F$8,L40+L27,""))</f>
        <v>2500</v>
      </c>
      <c r="M52" s="173" t="str">
        <f t="shared" si="31"/>
        <v/>
      </c>
      <c r="N52" s="173" t="str">
        <f t="shared" si="32"/>
        <v/>
      </c>
      <c r="O52" s="173" t="str">
        <f t="shared" si="33"/>
        <v/>
      </c>
      <c r="P52" s="173" t="str">
        <f t="shared" si="24"/>
        <v/>
      </c>
      <c r="Q52" s="173" t="str">
        <f t="shared" si="28"/>
        <v/>
      </c>
      <c r="R52" s="173" t="str">
        <f t="shared" si="29"/>
        <v/>
      </c>
      <c r="S52" s="244" t="str">
        <f>IF(A51=$D$8,XIRR(U$27:U51,C$27:C51),"")</f>
        <v/>
      </c>
      <c r="T52" s="173" t="str">
        <f t="shared" si="4"/>
        <v/>
      </c>
      <c r="U52" s="173">
        <f t="shared" ca="1" si="15"/>
        <v>22023.7</v>
      </c>
      <c r="V52" s="141">
        <f t="shared" ca="1" si="5"/>
        <v>2025</v>
      </c>
      <c r="W52" s="141">
        <f t="shared" ca="1" si="11"/>
        <v>365</v>
      </c>
      <c r="X52" s="141">
        <f t="shared" ca="1" si="6"/>
        <v>26</v>
      </c>
      <c r="Y52" s="177">
        <f t="shared" ca="1" si="12"/>
        <v>25</v>
      </c>
      <c r="Z52" s="178">
        <f t="shared" ca="1" si="7"/>
        <v>5</v>
      </c>
      <c r="AA52" s="141">
        <v>25</v>
      </c>
    </row>
    <row r="53" spans="1:27" x14ac:dyDescent="0.35">
      <c r="A53" s="175">
        <f t="shared" si="13"/>
        <v>26</v>
      </c>
      <c r="B53" s="172">
        <f t="shared" ca="1" si="8"/>
        <v>45987</v>
      </c>
      <c r="C53" s="172">
        <f t="shared" ca="1" si="9"/>
        <v>45987</v>
      </c>
      <c r="D53" s="175">
        <f t="shared" ca="1" si="25"/>
        <v>31</v>
      </c>
      <c r="E53" s="173">
        <f t="shared" si="10"/>
        <v>425000</v>
      </c>
      <c r="F53" s="173">
        <f ca="1">IF(A52=$D$8,SUM(F$28:F52),IF(A52&gt;$D$8,"",G53+H53))</f>
        <v>19556.22</v>
      </c>
      <c r="G53" s="173">
        <f>IF(AND(A52="",A54=""),"",IF(A53="",ROUND(SUM(G$28:$G52),2),IF(A53=$D$8,$G$27-ROUND(SUM(G$28:$G52),2),ROUND($G$27/$D$8,2))))</f>
        <v>12500</v>
      </c>
      <c r="H53" s="173">
        <f ca="1">IF(A52=$D$8,ROUND(SUM($H$28:H52),2),IF(A53&gt;$F$8,"",IF(W53&lt;&gt;W52,ROUND(SUM(Y53*$F$9*E52/W53,Z53*$F$9*E52/W52),2),ROUND(E52*$F$9*D53/W52,2))))</f>
        <v>7056.22</v>
      </c>
      <c r="I53" s="173" t="str">
        <f t="shared" si="26"/>
        <v/>
      </c>
      <c r="J53" s="173" t="str">
        <f t="shared" si="27"/>
        <v/>
      </c>
      <c r="K53" s="173" t="str">
        <f t="shared" si="30"/>
        <v/>
      </c>
      <c r="L53" s="173" t="str">
        <f t="shared" ca="1" si="22"/>
        <v/>
      </c>
      <c r="M53" s="173" t="str">
        <f t="shared" si="31"/>
        <v/>
      </c>
      <c r="N53" s="173" t="str">
        <f t="shared" si="32"/>
        <v/>
      </c>
      <c r="O53" s="173" t="str">
        <f t="shared" si="33"/>
        <v/>
      </c>
      <c r="P53" s="173" t="str">
        <f t="shared" si="24"/>
        <v/>
      </c>
      <c r="Q53" s="173" t="str">
        <f t="shared" ref="Q53:Q64" si="34">IF(A52=$D$8,$Q$27,"")</f>
        <v/>
      </c>
      <c r="R53" s="173" t="str">
        <f t="shared" si="29"/>
        <v/>
      </c>
      <c r="S53" s="244" t="str">
        <f>IF(A52=$D$8,XIRR(U$27:U52,C$27:C52),"")</f>
        <v/>
      </c>
      <c r="T53" s="173" t="str">
        <f t="shared" si="4"/>
        <v/>
      </c>
      <c r="U53" s="173">
        <f t="shared" ca="1" si="15"/>
        <v>19556.22</v>
      </c>
      <c r="V53" s="141">
        <f t="shared" ca="1" si="5"/>
        <v>2025</v>
      </c>
      <c r="W53" s="141">
        <f t="shared" ca="1" si="11"/>
        <v>365</v>
      </c>
      <c r="X53" s="141">
        <f t="shared" ca="1" si="6"/>
        <v>26</v>
      </c>
      <c r="Y53" s="177">
        <f t="shared" ca="1" si="12"/>
        <v>25</v>
      </c>
      <c r="Z53" s="178">
        <f t="shared" ca="1" si="7"/>
        <v>6</v>
      </c>
      <c r="AA53" s="141">
        <v>26</v>
      </c>
    </row>
    <row r="54" spans="1:27" x14ac:dyDescent="0.35">
      <c r="A54" s="175">
        <f t="shared" si="13"/>
        <v>27</v>
      </c>
      <c r="B54" s="172">
        <f t="shared" ca="1" si="8"/>
        <v>46017</v>
      </c>
      <c r="C54" s="172">
        <f t="shared" ca="1" si="9"/>
        <v>46017</v>
      </c>
      <c r="D54" s="175">
        <f t="shared" ca="1" si="25"/>
        <v>30</v>
      </c>
      <c r="E54" s="173">
        <f t="shared" si="10"/>
        <v>412500</v>
      </c>
      <c r="F54" s="173">
        <f ca="1">IF(A53=$D$8,SUM(F$28:F53),IF(A53&gt;$D$8,"",G54+H54))</f>
        <v>19133.489999999998</v>
      </c>
      <c r="G54" s="173">
        <f>IF(AND(A53="",A55=""),"",IF(A54="",ROUND(SUM(G$28:$G53),2),IF(A54=$D$8,$G$27-ROUND(SUM(G$28:$G53),2),ROUND($G$27/$D$8,2))))</f>
        <v>12500</v>
      </c>
      <c r="H54" s="173">
        <f ca="1">IF(A53=$D$8,ROUND(SUM($H$28:H53),2),IF(A54&gt;$F$8,"",IF(W54&lt;&gt;W53,ROUND(SUM(Y54*$F$9*E53/W54,Z54*$F$9*E53/W53),2),ROUND(E53*$F$9*D54/W53,2))))</f>
        <v>6633.49</v>
      </c>
      <c r="I54" s="173" t="str">
        <f t="shared" si="26"/>
        <v/>
      </c>
      <c r="J54" s="173" t="str">
        <f t="shared" si="27"/>
        <v/>
      </c>
      <c r="K54" s="173" t="str">
        <f t="shared" si="30"/>
        <v/>
      </c>
      <c r="L54" s="173" t="str">
        <f t="shared" ca="1" si="22"/>
        <v/>
      </c>
      <c r="M54" s="173" t="str">
        <f t="shared" si="31"/>
        <v/>
      </c>
      <c r="N54" s="173" t="str">
        <f t="shared" si="32"/>
        <v/>
      </c>
      <c r="O54" s="173" t="str">
        <f t="shared" si="33"/>
        <v/>
      </c>
      <c r="P54" s="173" t="str">
        <f t="shared" si="24"/>
        <v/>
      </c>
      <c r="Q54" s="173" t="str">
        <f t="shared" si="34"/>
        <v/>
      </c>
      <c r="R54" s="173" t="str">
        <f t="shared" si="29"/>
        <v/>
      </c>
      <c r="S54" s="244" t="str">
        <f>IF(A53=$D$8,XIRR(U$27:U53,C$27:C53),"")</f>
        <v/>
      </c>
      <c r="T54" s="173" t="str">
        <f t="shared" si="4"/>
        <v/>
      </c>
      <c r="U54" s="173">
        <f t="shared" ca="1" si="15"/>
        <v>19133.489999999998</v>
      </c>
      <c r="V54" s="141">
        <f t="shared" ca="1" si="5"/>
        <v>2025</v>
      </c>
      <c r="W54" s="141">
        <f t="shared" ca="1" si="11"/>
        <v>365</v>
      </c>
      <c r="X54" s="141">
        <f t="shared" ca="1" si="6"/>
        <v>26</v>
      </c>
      <c r="Y54" s="177">
        <f t="shared" ca="1" si="12"/>
        <v>25</v>
      </c>
      <c r="Z54" s="178">
        <f t="shared" ca="1" si="7"/>
        <v>5</v>
      </c>
      <c r="AA54" s="141">
        <v>27</v>
      </c>
    </row>
    <row r="55" spans="1:27" x14ac:dyDescent="0.35">
      <c r="A55" s="175">
        <f t="shared" si="13"/>
        <v>28</v>
      </c>
      <c r="B55" s="172">
        <f t="shared" ca="1" si="8"/>
        <v>46048</v>
      </c>
      <c r="C55" s="172">
        <f t="shared" ca="1" si="9"/>
        <v>46048</v>
      </c>
      <c r="D55" s="175">
        <f t="shared" ca="1" si="25"/>
        <v>31</v>
      </c>
      <c r="E55" s="173">
        <f t="shared" si="10"/>
        <v>400000</v>
      </c>
      <c r="F55" s="173">
        <f ca="1">IF(A54=$D$8,SUM(F$28:F54),IF(A54&gt;$D$8,"",G55+H55))</f>
        <v>19153</v>
      </c>
      <c r="G55" s="173">
        <f>IF(AND(A54="",A56=""),"",IF(A55="",ROUND(SUM(G$28:$G54),2),IF(A55=$D$8,$G$27-ROUND(SUM(G$28:$G54),2),ROUND($G$27/$D$8,2))))</f>
        <v>12500</v>
      </c>
      <c r="H55" s="173">
        <f ca="1">IF(A54=$D$8,ROUND(SUM($H$28:H54),2),IF(A55&gt;$F$8,"",IF(W55&lt;&gt;W54,ROUND(SUM(Y55*$F$9*E54/W55,Z55*$F$9*E54/W54),2),ROUND(E54*$F$9*D55/W54,2))))</f>
        <v>6653</v>
      </c>
      <c r="I55" s="173" t="str">
        <f t="shared" si="26"/>
        <v/>
      </c>
      <c r="J55" s="173" t="str">
        <f t="shared" si="27"/>
        <v/>
      </c>
      <c r="K55" s="173" t="str">
        <f t="shared" si="30"/>
        <v/>
      </c>
      <c r="L55" s="173" t="str">
        <f t="shared" ca="1" si="22"/>
        <v/>
      </c>
      <c r="M55" s="173" t="str">
        <f t="shared" si="31"/>
        <v/>
      </c>
      <c r="N55" s="173" t="str">
        <f t="shared" si="32"/>
        <v/>
      </c>
      <c r="O55" s="173" t="str">
        <f t="shared" si="33"/>
        <v/>
      </c>
      <c r="P55" s="173" t="str">
        <f t="shared" si="24"/>
        <v/>
      </c>
      <c r="Q55" s="173" t="str">
        <f t="shared" si="34"/>
        <v/>
      </c>
      <c r="R55" s="173" t="str">
        <f t="shared" si="29"/>
        <v/>
      </c>
      <c r="S55" s="244" t="str">
        <f>IF(A54=$D$8,XIRR(U$27:U54,C$27:C54),"")</f>
        <v/>
      </c>
      <c r="T55" s="173" t="str">
        <f t="shared" si="4"/>
        <v/>
      </c>
      <c r="U55" s="173">
        <f t="shared" ca="1" si="15"/>
        <v>19153</v>
      </c>
      <c r="V55" s="141">
        <f t="shared" ca="1" si="5"/>
        <v>2026</v>
      </c>
      <c r="W55" s="141">
        <f t="shared" ca="1" si="11"/>
        <v>365</v>
      </c>
      <c r="X55" s="141">
        <f t="shared" ca="1" si="6"/>
        <v>26</v>
      </c>
      <c r="Y55" s="177">
        <f t="shared" ca="1" si="12"/>
        <v>25</v>
      </c>
      <c r="Z55" s="178">
        <f t="shared" ca="1" si="7"/>
        <v>6</v>
      </c>
      <c r="AA55" s="141">
        <v>28</v>
      </c>
    </row>
    <row r="56" spans="1:27" x14ac:dyDescent="0.35">
      <c r="A56" s="175">
        <f t="shared" si="13"/>
        <v>29</v>
      </c>
      <c r="B56" s="172">
        <f t="shared" ca="1" si="8"/>
        <v>46079</v>
      </c>
      <c r="C56" s="172">
        <f t="shared" ca="1" si="9"/>
        <v>46079</v>
      </c>
      <c r="D56" s="175">
        <f t="shared" ca="1" si="25"/>
        <v>31</v>
      </c>
      <c r="E56" s="173">
        <f t="shared" si="10"/>
        <v>387500</v>
      </c>
      <c r="F56" s="173">
        <f ca="1">IF(A55=$D$8,SUM(F$28:F55),IF(A55&gt;$D$8,"",G56+H56))</f>
        <v>18951.400000000001</v>
      </c>
      <c r="G56" s="173">
        <f>IF(AND(A55="",A57=""),"",IF(A56="",ROUND(SUM(G$28:$G55),2),IF(A56=$D$8,$G$27-ROUND(SUM(G$28:$G55),2),ROUND($G$27/$D$8,2))))</f>
        <v>12500</v>
      </c>
      <c r="H56" s="173">
        <f ca="1">IF(A55=$D$8,ROUND(SUM($H$28:H55),2),IF(A56&gt;$F$8,"",IF(W56&lt;&gt;W55,ROUND(SUM(Y56*$F$9*E55/W56,Z56*$F$9*E55/W55),2),ROUND(E55*$F$9*D56/W55,2))))</f>
        <v>6451.4</v>
      </c>
      <c r="I56" s="173" t="str">
        <f t="shared" si="26"/>
        <v/>
      </c>
      <c r="J56" s="173" t="str">
        <f t="shared" si="27"/>
        <v/>
      </c>
      <c r="K56" s="173" t="str">
        <f t="shared" si="30"/>
        <v/>
      </c>
      <c r="L56" s="173" t="str">
        <f t="shared" ca="1" si="22"/>
        <v/>
      </c>
      <c r="M56" s="173" t="str">
        <f t="shared" si="31"/>
        <v/>
      </c>
      <c r="N56" s="173" t="str">
        <f t="shared" si="32"/>
        <v/>
      </c>
      <c r="O56" s="173" t="str">
        <f t="shared" si="33"/>
        <v/>
      </c>
      <c r="P56" s="173" t="str">
        <f t="shared" si="24"/>
        <v/>
      </c>
      <c r="Q56" s="173" t="str">
        <f t="shared" si="34"/>
        <v/>
      </c>
      <c r="R56" s="173" t="str">
        <f t="shared" si="29"/>
        <v/>
      </c>
      <c r="S56" s="244" t="str">
        <f>IF(A55=$D$8,XIRR(U$27:U55,C$27:C55),"")</f>
        <v/>
      </c>
      <c r="T56" s="173" t="str">
        <f t="shared" si="4"/>
        <v/>
      </c>
      <c r="U56" s="173">
        <f t="shared" ca="1" si="15"/>
        <v>18951.400000000001</v>
      </c>
      <c r="V56" s="141">
        <f t="shared" ca="1" si="5"/>
        <v>2026</v>
      </c>
      <c r="W56" s="141">
        <f t="shared" ca="1" si="11"/>
        <v>365</v>
      </c>
      <c r="X56" s="141">
        <f t="shared" ca="1" si="6"/>
        <v>26</v>
      </c>
      <c r="Y56" s="177">
        <f t="shared" ca="1" si="12"/>
        <v>25</v>
      </c>
      <c r="Z56" s="178">
        <f t="shared" ca="1" si="7"/>
        <v>6</v>
      </c>
      <c r="AA56" s="141">
        <v>29</v>
      </c>
    </row>
    <row r="57" spans="1:27" x14ac:dyDescent="0.35">
      <c r="A57" s="175">
        <f t="shared" si="13"/>
        <v>30</v>
      </c>
      <c r="B57" s="172">
        <f t="shared" ca="1" si="8"/>
        <v>46107</v>
      </c>
      <c r="C57" s="172">
        <f t="shared" ca="1" si="9"/>
        <v>46107</v>
      </c>
      <c r="D57" s="175">
        <f t="shared" ca="1" si="25"/>
        <v>28</v>
      </c>
      <c r="E57" s="173">
        <f t="shared" si="10"/>
        <v>375000</v>
      </c>
      <c r="F57" s="173">
        <f ca="1">IF(A56=$D$8,SUM(F$28:F56),IF(A56&gt;$D$8,"",G57+H57))</f>
        <v>18144.97</v>
      </c>
      <c r="G57" s="173">
        <f>IF(AND(A56="",A58=""),"",IF(A57="",ROUND(SUM(G$28:$G56),2),IF(A57=$D$8,$G$27-ROUND(SUM(G$28:$G56),2),ROUND($G$27/$D$8,2))))</f>
        <v>12500</v>
      </c>
      <c r="H57" s="173">
        <f ca="1">IF(A56=$D$8,ROUND(SUM($H$28:H56),2),IF(A57&gt;$F$8,"",IF(W57&lt;&gt;W56,ROUND(SUM(Y57*$F$9*E56/W57,Z57*$F$9*E56/W56),2),ROUND(E56*$F$9*D57/W56,2))))</f>
        <v>5644.97</v>
      </c>
      <c r="I57" s="173" t="str">
        <f t="shared" si="26"/>
        <v/>
      </c>
      <c r="J57" s="173" t="str">
        <f t="shared" si="27"/>
        <v/>
      </c>
      <c r="K57" s="173" t="str">
        <f t="shared" si="30"/>
        <v/>
      </c>
      <c r="L57" s="173" t="str">
        <f t="shared" ca="1" si="22"/>
        <v/>
      </c>
      <c r="M57" s="173" t="str">
        <f t="shared" si="31"/>
        <v/>
      </c>
      <c r="N57" s="173" t="str">
        <f t="shared" si="32"/>
        <v/>
      </c>
      <c r="O57" s="173" t="str">
        <f t="shared" si="33"/>
        <v/>
      </c>
      <c r="P57" s="173" t="str">
        <f t="shared" si="24"/>
        <v/>
      </c>
      <c r="Q57" s="173" t="str">
        <f t="shared" si="34"/>
        <v/>
      </c>
      <c r="R57" s="173" t="str">
        <f t="shared" si="29"/>
        <v/>
      </c>
      <c r="S57" s="244" t="str">
        <f>IF(A56=$D$8,XIRR(U$27:U56,C$27:C56),"")</f>
        <v/>
      </c>
      <c r="T57" s="173" t="str">
        <f t="shared" si="4"/>
        <v/>
      </c>
      <c r="U57" s="173">
        <f t="shared" ca="1" si="15"/>
        <v>18144.97</v>
      </c>
      <c r="V57" s="141">
        <f t="shared" ca="1" si="5"/>
        <v>2026</v>
      </c>
      <c r="W57" s="141">
        <f t="shared" ca="1" si="11"/>
        <v>365</v>
      </c>
      <c r="X57" s="141">
        <f t="shared" ca="1" si="6"/>
        <v>26</v>
      </c>
      <c r="Y57" s="177">
        <f t="shared" ca="1" si="12"/>
        <v>25</v>
      </c>
      <c r="Z57" s="178">
        <f t="shared" ca="1" si="7"/>
        <v>3</v>
      </c>
      <c r="AA57" s="141">
        <v>30</v>
      </c>
    </row>
    <row r="58" spans="1:27" x14ac:dyDescent="0.35">
      <c r="A58" s="175">
        <f t="shared" si="13"/>
        <v>31</v>
      </c>
      <c r="B58" s="172">
        <f t="shared" ca="1" si="8"/>
        <v>46138</v>
      </c>
      <c r="C58" s="172">
        <f t="shared" ca="1" si="9"/>
        <v>46138</v>
      </c>
      <c r="D58" s="175">
        <f t="shared" ca="1" si="25"/>
        <v>31</v>
      </c>
      <c r="E58" s="173">
        <f t="shared" si="10"/>
        <v>362500</v>
      </c>
      <c r="F58" s="173">
        <f ca="1">IF(A57=$D$8,SUM(F$28:F57),IF(A57&gt;$D$8,"",G58+H58))</f>
        <v>18548.18</v>
      </c>
      <c r="G58" s="173">
        <f>IF(AND(A57="",A59=""),"",IF(A58="",ROUND(SUM(G$28:$G57),2),IF(A58=$D$8,$G$27-ROUND(SUM(G$28:$G57),2),ROUND($G$27/$D$8,2))))</f>
        <v>12500</v>
      </c>
      <c r="H58" s="173">
        <f ca="1">IF(A57=$D$8,ROUND(SUM($H$28:H57),2),IF(A58&gt;$F$8,"",IF(W58&lt;&gt;W57,ROUND(SUM(Y58*$F$9*E57/W58,Z58*$F$9*E57/W57),2),ROUND(E57*$F$9*D58/W57,2))))</f>
        <v>6048.18</v>
      </c>
      <c r="I58" s="173" t="str">
        <f t="shared" si="26"/>
        <v/>
      </c>
      <c r="J58" s="173" t="str">
        <f t="shared" si="27"/>
        <v/>
      </c>
      <c r="K58" s="173" t="str">
        <f t="shared" si="30"/>
        <v/>
      </c>
      <c r="L58" s="173" t="str">
        <f t="shared" ca="1" si="22"/>
        <v/>
      </c>
      <c r="M58" s="173" t="str">
        <f t="shared" si="31"/>
        <v/>
      </c>
      <c r="N58" s="173" t="str">
        <f t="shared" si="32"/>
        <v/>
      </c>
      <c r="O58" s="173" t="str">
        <f t="shared" si="33"/>
        <v/>
      </c>
      <c r="P58" s="173" t="str">
        <f t="shared" si="24"/>
        <v/>
      </c>
      <c r="Q58" s="173" t="str">
        <f t="shared" si="34"/>
        <v/>
      </c>
      <c r="R58" s="173" t="str">
        <f t="shared" si="29"/>
        <v/>
      </c>
      <c r="S58" s="244" t="str">
        <f>IF(A57=$D$8,XIRR(U$27:U57,C$27:C57),"")</f>
        <v/>
      </c>
      <c r="T58" s="173" t="str">
        <f t="shared" si="4"/>
        <v/>
      </c>
      <c r="U58" s="173">
        <f t="shared" ca="1" si="15"/>
        <v>18548.18</v>
      </c>
      <c r="V58" s="141">
        <f t="shared" ca="1" si="5"/>
        <v>2026</v>
      </c>
      <c r="W58" s="141">
        <f t="shared" ca="1" si="11"/>
        <v>365</v>
      </c>
      <c r="X58" s="141">
        <f t="shared" ca="1" si="6"/>
        <v>26</v>
      </c>
      <c r="Y58" s="177">
        <f t="shared" ca="1" si="12"/>
        <v>25</v>
      </c>
      <c r="Z58" s="178">
        <f t="shared" ca="1" si="7"/>
        <v>6</v>
      </c>
      <c r="AA58" s="141">
        <v>31</v>
      </c>
    </row>
    <row r="59" spans="1:27" x14ac:dyDescent="0.35">
      <c r="A59" s="175">
        <f t="shared" si="13"/>
        <v>32</v>
      </c>
      <c r="B59" s="172">
        <f t="shared" ca="1" si="8"/>
        <v>46168</v>
      </c>
      <c r="C59" s="172">
        <f t="shared" ca="1" si="9"/>
        <v>46168</v>
      </c>
      <c r="D59" s="175">
        <f t="shared" ca="1" si="25"/>
        <v>30</v>
      </c>
      <c r="E59" s="173">
        <f t="shared" si="10"/>
        <v>350000</v>
      </c>
      <c r="F59" s="173">
        <f ca="1">IF(A58=$D$8,SUM(F$28:F58),IF(A58&gt;$D$8,"",G59+H59))</f>
        <v>18157.98</v>
      </c>
      <c r="G59" s="173">
        <f>IF(AND(A58="",A60=""),"",IF(A59="",ROUND(SUM(G$28:$G58),2),IF(A59=$D$8,$G$27-ROUND(SUM(G$28:$G58),2),ROUND($G$27/$D$8,2))))</f>
        <v>12500</v>
      </c>
      <c r="H59" s="173">
        <f ca="1">IF(A58=$D$8,ROUND(SUM($H$28:H58),2),IF(A59&gt;$F$8,"",IF(W59&lt;&gt;W58,ROUND(SUM(Y59*$F$9*E58/W59,Z59*$F$9*E58/W58),2),ROUND(E58*$F$9*D59/W58,2))))</f>
        <v>5657.98</v>
      </c>
      <c r="I59" s="173" t="str">
        <f t="shared" si="26"/>
        <v/>
      </c>
      <c r="J59" s="173" t="str">
        <f t="shared" si="27"/>
        <v/>
      </c>
      <c r="K59" s="173" t="str">
        <f t="shared" si="30"/>
        <v/>
      </c>
      <c r="L59" s="173" t="str">
        <f t="shared" ca="1" si="22"/>
        <v/>
      </c>
      <c r="M59" s="173" t="str">
        <f t="shared" si="31"/>
        <v/>
      </c>
      <c r="N59" s="173" t="str">
        <f t="shared" si="32"/>
        <v/>
      </c>
      <c r="O59" s="173" t="str">
        <f t="shared" si="33"/>
        <v/>
      </c>
      <c r="P59" s="173" t="str">
        <f t="shared" si="24"/>
        <v/>
      </c>
      <c r="Q59" s="173" t="str">
        <f t="shared" si="34"/>
        <v/>
      </c>
      <c r="R59" s="173" t="str">
        <f t="shared" si="29"/>
        <v/>
      </c>
      <c r="S59" s="244" t="str">
        <f>IF(A58=$D$8,XIRR(U$27:U58,C$27:C58),"")</f>
        <v/>
      </c>
      <c r="T59" s="173" t="str">
        <f t="shared" si="4"/>
        <v/>
      </c>
      <c r="U59" s="173">
        <f t="shared" ca="1" si="15"/>
        <v>18157.98</v>
      </c>
      <c r="V59" s="141">
        <f t="shared" ca="1" si="5"/>
        <v>2026</v>
      </c>
      <c r="W59" s="141">
        <f t="shared" ca="1" si="11"/>
        <v>365</v>
      </c>
      <c r="X59" s="141">
        <f t="shared" ca="1" si="6"/>
        <v>26</v>
      </c>
      <c r="Y59" s="177">
        <f t="shared" ca="1" si="12"/>
        <v>25</v>
      </c>
      <c r="Z59" s="178">
        <f t="shared" ca="1" si="7"/>
        <v>5</v>
      </c>
      <c r="AA59" s="141">
        <v>32</v>
      </c>
    </row>
    <row r="60" spans="1:27" x14ac:dyDescent="0.35">
      <c r="A60" s="175">
        <f t="shared" si="13"/>
        <v>33</v>
      </c>
      <c r="B60" s="172">
        <f t="shared" ca="1" si="8"/>
        <v>46199</v>
      </c>
      <c r="C60" s="172">
        <f t="shared" ca="1" si="9"/>
        <v>46199</v>
      </c>
      <c r="D60" s="175">
        <f t="shared" ca="1" si="25"/>
        <v>31</v>
      </c>
      <c r="E60" s="173">
        <f t="shared" si="10"/>
        <v>337500</v>
      </c>
      <c r="F60" s="173">
        <f ca="1">IF(A59=$D$8,SUM(F$28:F59),IF(A59&gt;$D$8,"",G60+H60))</f>
        <v>18144.97</v>
      </c>
      <c r="G60" s="173">
        <f>IF(AND(A59="",A61=""),"",IF(A60="",ROUND(SUM(G$28:$G59),2),IF(A60=$D$8,$G$27-ROUND(SUM(G$28:$G59),2),ROUND($G$27/$D$8,2))))</f>
        <v>12500</v>
      </c>
      <c r="H60" s="173">
        <f ca="1">IF(A59=$D$8,ROUND(SUM($H$28:H59),2),IF(A60&gt;$F$8,"",IF(W60&lt;&gt;W59,ROUND(SUM(Y60*$F$9*E59/W60,Z60*$F$9*E59/W59),2),ROUND(E59*$F$9*D60/W59,2))))</f>
        <v>5644.97</v>
      </c>
      <c r="I60" s="173" t="str">
        <f t="shared" si="26"/>
        <v/>
      </c>
      <c r="J60" s="173" t="str">
        <f t="shared" si="27"/>
        <v/>
      </c>
      <c r="K60" s="173" t="str">
        <f t="shared" si="30"/>
        <v/>
      </c>
      <c r="L60" s="173" t="str">
        <f t="shared" ca="1" si="22"/>
        <v/>
      </c>
      <c r="M60" s="173" t="str">
        <f t="shared" si="31"/>
        <v/>
      </c>
      <c r="N60" s="173" t="str">
        <f t="shared" si="32"/>
        <v/>
      </c>
      <c r="O60" s="173" t="str">
        <f t="shared" si="33"/>
        <v/>
      </c>
      <c r="P60" s="173" t="str">
        <f t="shared" si="24"/>
        <v/>
      </c>
      <c r="Q60" s="173" t="str">
        <f t="shared" si="34"/>
        <v/>
      </c>
      <c r="R60" s="173" t="str">
        <f t="shared" si="29"/>
        <v/>
      </c>
      <c r="S60" s="244" t="str">
        <f>IF(A59=$D$8,XIRR(U$27:U59,C$27:C59),"")</f>
        <v/>
      </c>
      <c r="T60" s="173" t="str">
        <f t="shared" si="4"/>
        <v/>
      </c>
      <c r="U60" s="173">
        <f t="shared" ca="1" si="15"/>
        <v>18144.97</v>
      </c>
      <c r="V60" s="141">
        <f t="shared" ca="1" si="5"/>
        <v>2026</v>
      </c>
      <c r="W60" s="141">
        <f t="shared" ca="1" si="11"/>
        <v>365</v>
      </c>
      <c r="X60" s="141">
        <f t="shared" ca="1" si="6"/>
        <v>26</v>
      </c>
      <c r="Y60" s="177">
        <f t="shared" ca="1" si="12"/>
        <v>25</v>
      </c>
      <c r="Z60" s="178">
        <f t="shared" ca="1" si="7"/>
        <v>6</v>
      </c>
      <c r="AA60" s="141">
        <v>33</v>
      </c>
    </row>
    <row r="61" spans="1:27" x14ac:dyDescent="0.35">
      <c r="A61" s="175">
        <f t="shared" si="13"/>
        <v>34</v>
      </c>
      <c r="B61" s="172">
        <f t="shared" ca="1" si="8"/>
        <v>46229</v>
      </c>
      <c r="C61" s="172">
        <f t="shared" ca="1" si="9"/>
        <v>46229</v>
      </c>
      <c r="D61" s="175">
        <f t="shared" ca="1" si="25"/>
        <v>30</v>
      </c>
      <c r="E61" s="173">
        <f t="shared" si="10"/>
        <v>325000</v>
      </c>
      <c r="F61" s="173">
        <f ca="1">IF(A60=$D$8,SUM(F$28:F60),IF(A60&gt;$D$8,"",G61+H61))</f>
        <v>17767.77</v>
      </c>
      <c r="G61" s="173">
        <f>IF(AND(A60="",A62=""),"",IF(A61="",ROUND(SUM(G$28:$G60),2),IF(A61=$D$8,$G$27-ROUND(SUM(G$28:$G60),2),ROUND($G$27/$D$8,2))))</f>
        <v>12500</v>
      </c>
      <c r="H61" s="173">
        <f ca="1">IF(A60=$D$8,ROUND(SUM($H$28:H60),2),IF(A61&gt;$F$8,"",IF(W61&lt;&gt;W60,ROUND(SUM(Y61*$F$9*E60/W61,Z61*$F$9*E60/W60),2),ROUND(E60*$F$9*D61/W60,2))))</f>
        <v>5267.77</v>
      </c>
      <c r="I61" s="173" t="str">
        <f t="shared" si="26"/>
        <v/>
      </c>
      <c r="J61" s="173" t="str">
        <f t="shared" si="27"/>
        <v/>
      </c>
      <c r="K61" s="173" t="str">
        <f t="shared" si="30"/>
        <v/>
      </c>
      <c r="L61" s="173" t="str">
        <f t="shared" ca="1" si="22"/>
        <v/>
      </c>
      <c r="M61" s="173" t="str">
        <f t="shared" si="31"/>
        <v/>
      </c>
      <c r="N61" s="173" t="str">
        <f t="shared" si="32"/>
        <v/>
      </c>
      <c r="O61" s="173" t="str">
        <f t="shared" si="33"/>
        <v/>
      </c>
      <c r="P61" s="173" t="str">
        <f t="shared" si="24"/>
        <v/>
      </c>
      <c r="Q61" s="173" t="str">
        <f t="shared" si="34"/>
        <v/>
      </c>
      <c r="R61" s="173" t="str">
        <f t="shared" si="29"/>
        <v/>
      </c>
      <c r="S61" s="244" t="str">
        <f>IF(A60=$D$8,XIRR(U$27:U60,C$27:C60),"")</f>
        <v/>
      </c>
      <c r="T61" s="173" t="str">
        <f t="shared" si="4"/>
        <v/>
      </c>
      <c r="U61" s="173">
        <f t="shared" ca="1" si="15"/>
        <v>17767.77</v>
      </c>
      <c r="V61" s="141">
        <f t="shared" ca="1" si="5"/>
        <v>2026</v>
      </c>
      <c r="W61" s="141">
        <f t="shared" ca="1" si="11"/>
        <v>365</v>
      </c>
      <c r="X61" s="141">
        <f t="shared" ca="1" si="6"/>
        <v>26</v>
      </c>
      <c r="Y61" s="177">
        <f t="shared" ca="1" si="12"/>
        <v>25</v>
      </c>
      <c r="Z61" s="178">
        <f t="shared" ca="1" si="7"/>
        <v>5</v>
      </c>
      <c r="AA61" s="141">
        <v>34</v>
      </c>
    </row>
    <row r="62" spans="1:27" x14ac:dyDescent="0.35">
      <c r="A62" s="175">
        <f t="shared" si="13"/>
        <v>35</v>
      </c>
      <c r="B62" s="172">
        <f t="shared" ca="1" si="8"/>
        <v>46260</v>
      </c>
      <c r="C62" s="172">
        <f t="shared" ca="1" si="9"/>
        <v>46260</v>
      </c>
      <c r="D62" s="175">
        <f t="shared" ca="1" si="25"/>
        <v>31</v>
      </c>
      <c r="E62" s="173">
        <f t="shared" si="10"/>
        <v>312500</v>
      </c>
      <c r="F62" s="173">
        <f ca="1">IF(A61=$D$8,SUM(F$28:F61),IF(A61&gt;$D$8,"",G62+H62))</f>
        <v>17741.760000000002</v>
      </c>
      <c r="G62" s="173">
        <f>IF(AND(A61="",A63=""),"",IF(A62="",ROUND(SUM(G$28:$G61),2),IF(A62=$D$8,$G$27-ROUND(SUM(G$28:$G61),2),ROUND($G$27/$D$8,2))))</f>
        <v>12500</v>
      </c>
      <c r="H62" s="173">
        <f ca="1">IF(A61=$D$8,ROUND(SUM($H$28:H61),2),IF(A62&gt;$F$8,"",IF(W62&lt;&gt;W61,ROUND(SUM(Y62*$F$9*E61/W62,Z62*$F$9*E61/W61),2),ROUND(E61*$F$9*D62/W61,2))))</f>
        <v>5241.76</v>
      </c>
      <c r="I62" s="173" t="str">
        <f t="shared" si="26"/>
        <v/>
      </c>
      <c r="J62" s="173" t="str">
        <f t="shared" si="27"/>
        <v/>
      </c>
      <c r="K62" s="173" t="str">
        <f t="shared" si="30"/>
        <v/>
      </c>
      <c r="L62" s="173" t="str">
        <f t="shared" ca="1" si="22"/>
        <v/>
      </c>
      <c r="M62" s="173" t="str">
        <f t="shared" si="31"/>
        <v/>
      </c>
      <c r="N62" s="173" t="str">
        <f t="shared" si="32"/>
        <v/>
      </c>
      <c r="O62" s="173" t="str">
        <f t="shared" si="33"/>
        <v/>
      </c>
      <c r="P62" s="173" t="str">
        <f t="shared" si="24"/>
        <v/>
      </c>
      <c r="Q62" s="173" t="str">
        <f t="shared" si="34"/>
        <v/>
      </c>
      <c r="R62" s="173" t="str">
        <f t="shared" si="29"/>
        <v/>
      </c>
      <c r="S62" s="244" t="str">
        <f>IF(A61=$D$8,XIRR(U$27:U61,C$27:C61),"")</f>
        <v/>
      </c>
      <c r="T62" s="173" t="str">
        <f t="shared" si="4"/>
        <v/>
      </c>
      <c r="U62" s="173">
        <f t="shared" ca="1" si="15"/>
        <v>17741.760000000002</v>
      </c>
      <c r="V62" s="141">
        <f t="shared" ca="1" si="5"/>
        <v>2026</v>
      </c>
      <c r="W62" s="141">
        <f t="shared" ca="1" si="11"/>
        <v>365</v>
      </c>
      <c r="X62" s="141">
        <f t="shared" ca="1" si="6"/>
        <v>26</v>
      </c>
      <c r="Y62" s="177">
        <f t="shared" ca="1" si="12"/>
        <v>25</v>
      </c>
      <c r="Z62" s="178">
        <f t="shared" ca="1" si="7"/>
        <v>6</v>
      </c>
      <c r="AA62" s="141">
        <v>35</v>
      </c>
    </row>
    <row r="63" spans="1:27" x14ac:dyDescent="0.35">
      <c r="A63" s="175">
        <f t="shared" si="13"/>
        <v>36</v>
      </c>
      <c r="B63" s="172">
        <f t="shared" ca="1" si="8"/>
        <v>46291</v>
      </c>
      <c r="C63" s="172">
        <f t="shared" ca="1" si="9"/>
        <v>46291</v>
      </c>
      <c r="D63" s="175">
        <f t="shared" ca="1" si="25"/>
        <v>31</v>
      </c>
      <c r="E63" s="173">
        <f t="shared" si="10"/>
        <v>300000</v>
      </c>
      <c r="F63" s="173">
        <f ca="1">IF(A62=$D$8,SUM(F$28:F62),IF(A62&gt;$D$8,"",G63+H63))</f>
        <v>17540.150000000001</v>
      </c>
      <c r="G63" s="173">
        <f>IF(AND(A62="",A64=""),"",IF(A63="",ROUND(SUM(G$28:$G62),2),IF(A63=$D$8,$G$27-ROUND(SUM(G$28:$G62),2),ROUND($G$27/$D$8,2))))</f>
        <v>12500</v>
      </c>
      <c r="H63" s="173">
        <f ca="1">IF(A62=$D$8,ROUND(SUM($H$28:H62),2),IF(A63&gt;$F$8,"",IF(W63&lt;&gt;W62,ROUND(SUM(Y63*$F$9*E62/W63,Z63*$F$9*E62/W62),2),ROUND(E62*$F$9*D63/W62,2))))</f>
        <v>5040.1499999999996</v>
      </c>
      <c r="I63" s="173" t="str">
        <f t="shared" si="26"/>
        <v/>
      </c>
      <c r="J63" s="173" t="str">
        <f t="shared" si="27"/>
        <v/>
      </c>
      <c r="K63" s="173" t="str">
        <f t="shared" si="30"/>
        <v/>
      </c>
      <c r="L63" s="173" t="str">
        <f t="shared" ca="1" si="22"/>
        <v/>
      </c>
      <c r="M63" s="173" t="str">
        <f t="shared" si="31"/>
        <v/>
      </c>
      <c r="N63" s="173" t="str">
        <f t="shared" si="32"/>
        <v/>
      </c>
      <c r="O63" s="173" t="str">
        <f t="shared" si="33"/>
        <v/>
      </c>
      <c r="P63" s="173" t="str">
        <f t="shared" si="24"/>
        <v/>
      </c>
      <c r="Q63" s="173" t="str">
        <f t="shared" si="34"/>
        <v/>
      </c>
      <c r="R63" s="173" t="str">
        <f t="shared" si="29"/>
        <v/>
      </c>
      <c r="S63" s="244" t="str">
        <f>IF(A62=$D$8,XIRR(U$27:U62,C$27:C62),"")</f>
        <v/>
      </c>
      <c r="T63" s="173" t="str">
        <f t="shared" si="4"/>
        <v/>
      </c>
      <c r="U63" s="173">
        <f t="shared" ca="1" si="15"/>
        <v>17540.150000000001</v>
      </c>
      <c r="V63" s="141">
        <f t="shared" ca="1" si="5"/>
        <v>2026</v>
      </c>
      <c r="W63" s="141">
        <f t="shared" ca="1" si="11"/>
        <v>365</v>
      </c>
      <c r="X63" s="141">
        <f t="shared" ca="1" si="6"/>
        <v>26</v>
      </c>
      <c r="Y63" s="177">
        <f t="shared" ca="1" si="12"/>
        <v>25</v>
      </c>
      <c r="Z63" s="178">
        <f t="shared" ca="1" si="7"/>
        <v>6</v>
      </c>
      <c r="AA63" s="141">
        <v>36</v>
      </c>
    </row>
    <row r="64" spans="1:27" x14ac:dyDescent="0.35">
      <c r="A64" s="175">
        <f t="shared" si="13"/>
        <v>37</v>
      </c>
      <c r="B64" s="172">
        <f t="shared" ca="1" si="8"/>
        <v>46321</v>
      </c>
      <c r="C64" s="172">
        <f t="shared" ca="1" si="9"/>
        <v>46321</v>
      </c>
      <c r="D64" s="175">
        <f t="shared" ca="1" si="25"/>
        <v>30</v>
      </c>
      <c r="E64" s="173">
        <f t="shared" si="10"/>
        <v>287500</v>
      </c>
      <c r="F64" s="173">
        <f ca="1">IF(A63=$D$8,SUM(F$28:F63),IF(A63&gt;$D$8,"",G64+H64))</f>
        <v>17182.47</v>
      </c>
      <c r="G64" s="173">
        <f>IF(AND(A63="",A65=""),"",IF(A64="",ROUND(SUM(G$28:$G63),2),IF(A64=$D$8,$G$27-ROUND(SUM(G$28:$G63),2),ROUND($G$27/$D$8,2))))</f>
        <v>12500</v>
      </c>
      <c r="H64" s="173">
        <f ca="1">IF(A63=$D$8,ROUND(SUM($H$28:H63),2),IF(A64&gt;$F$8,"",IF(W64&lt;&gt;W63,ROUND(SUM(Y64*$F$9*E63/W64,Z64*$F$9*E63/W63),2),ROUND(E63*$F$9*D64/W63,2))))</f>
        <v>4682.47</v>
      </c>
      <c r="I64" s="173" t="str">
        <f t="shared" si="26"/>
        <v/>
      </c>
      <c r="J64" s="173" t="str">
        <f t="shared" si="27"/>
        <v/>
      </c>
      <c r="K64" s="173" t="str">
        <f t="shared" si="30"/>
        <v/>
      </c>
      <c r="L64" s="173">
        <f>IF($F$8&gt;36,($R$14),IF(A63=$F$8,L52+L40+L27,""))</f>
        <v>2500</v>
      </c>
      <c r="M64" s="173" t="str">
        <f t="shared" si="31"/>
        <v/>
      </c>
      <c r="N64" s="173" t="str">
        <f t="shared" si="32"/>
        <v/>
      </c>
      <c r="O64" s="173" t="str">
        <f t="shared" si="33"/>
        <v/>
      </c>
      <c r="P64" s="173" t="str">
        <f t="shared" si="24"/>
        <v/>
      </c>
      <c r="Q64" s="173" t="str">
        <f t="shared" si="34"/>
        <v/>
      </c>
      <c r="R64" s="173" t="str">
        <f t="shared" si="29"/>
        <v/>
      </c>
      <c r="S64" s="244" t="str">
        <f>IF(A63=$D$8,XIRR(U$27:U63,C$27:C63),"")</f>
        <v/>
      </c>
      <c r="T64" s="173" t="str">
        <f t="shared" si="4"/>
        <v/>
      </c>
      <c r="U64" s="173">
        <f t="shared" ca="1" si="15"/>
        <v>19682.47</v>
      </c>
      <c r="V64" s="141">
        <f t="shared" ca="1" si="5"/>
        <v>2026</v>
      </c>
      <c r="W64" s="141">
        <f t="shared" ca="1" si="11"/>
        <v>365</v>
      </c>
      <c r="X64" s="141">
        <f t="shared" ca="1" si="6"/>
        <v>26</v>
      </c>
      <c r="Y64" s="177">
        <f t="shared" ca="1" si="12"/>
        <v>25</v>
      </c>
      <c r="Z64" s="178">
        <f t="shared" ca="1" si="7"/>
        <v>5</v>
      </c>
      <c r="AA64" s="141">
        <v>37</v>
      </c>
    </row>
    <row r="65" spans="1:27" x14ac:dyDescent="0.35">
      <c r="A65" s="175">
        <f t="shared" si="13"/>
        <v>38</v>
      </c>
      <c r="B65" s="172">
        <f t="shared" ca="1" si="8"/>
        <v>46352</v>
      </c>
      <c r="C65" s="172">
        <f t="shared" ca="1" si="9"/>
        <v>46352</v>
      </c>
      <c r="D65" s="175">
        <f t="shared" ca="1" si="25"/>
        <v>31</v>
      </c>
      <c r="E65" s="173">
        <f t="shared" si="10"/>
        <v>275000</v>
      </c>
      <c r="F65" s="173">
        <f ca="1">IF(A64=$D$8,SUM(F$28:F64),IF(A64&gt;$D$8,"",G65+H65))</f>
        <v>17136.939999999999</v>
      </c>
      <c r="G65" s="173">
        <f>IF(AND(A64="",A66=""),"",IF(A65="",ROUND(SUM(G$28:$G64),2),IF(A65=$D$8,$G$27-ROUND(SUM(G$28:$G64),2),ROUND($G$27/$D$8,2))))</f>
        <v>12500</v>
      </c>
      <c r="H65" s="173">
        <f ca="1">IF(A64=$D$8,ROUND(SUM($H$28:H64),2),IF(A65&gt;$F$8,"",IF(W65&lt;&gt;W64,ROUND(SUM(Y65*$F$9*E64/W65,Z65*$F$9*E64/W64),2),ROUND(E64*$F$9*D65/W64,2))))</f>
        <v>4636.9399999999996</v>
      </c>
      <c r="I65" s="173" t="str">
        <f t="shared" si="26"/>
        <v/>
      </c>
      <c r="J65" s="173" t="str">
        <f t="shared" si="27"/>
        <v/>
      </c>
      <c r="K65" s="173" t="str">
        <f t="shared" si="30"/>
        <v/>
      </c>
      <c r="L65" s="173" t="str">
        <f t="shared" ca="1" si="22"/>
        <v/>
      </c>
      <c r="M65" s="173" t="str">
        <f t="shared" si="31"/>
        <v/>
      </c>
      <c r="N65" s="173" t="str">
        <f t="shared" si="32"/>
        <v/>
      </c>
      <c r="O65" s="173" t="str">
        <f t="shared" si="33"/>
        <v/>
      </c>
      <c r="P65" s="173" t="str">
        <f t="shared" si="24"/>
        <v/>
      </c>
      <c r="Q65" s="173" t="str">
        <f t="shared" ref="Q65:Q76" si="35">IF(A64=$D$8,$Q$27,"")</f>
        <v/>
      </c>
      <c r="R65" s="173" t="str">
        <f t="shared" si="29"/>
        <v/>
      </c>
      <c r="S65" s="244" t="str">
        <f>IF(A64=$D$8,XIRR(U$27:U64,C$27:C64),"")</f>
        <v/>
      </c>
      <c r="T65" s="173" t="str">
        <f t="shared" si="4"/>
        <v/>
      </c>
      <c r="U65" s="173">
        <f t="shared" ca="1" si="15"/>
        <v>17136.939999999999</v>
      </c>
      <c r="V65" s="141">
        <f t="shared" ca="1" si="5"/>
        <v>2026</v>
      </c>
      <c r="W65" s="141">
        <f t="shared" ca="1" si="11"/>
        <v>365</v>
      </c>
      <c r="X65" s="141">
        <f t="shared" ca="1" si="6"/>
        <v>26</v>
      </c>
      <c r="Y65" s="177">
        <f t="shared" ca="1" si="12"/>
        <v>25</v>
      </c>
      <c r="Z65" s="178">
        <f t="shared" ca="1" si="7"/>
        <v>6</v>
      </c>
      <c r="AA65" s="141">
        <v>38</v>
      </c>
    </row>
    <row r="66" spans="1:27" x14ac:dyDescent="0.35">
      <c r="A66" s="175">
        <f t="shared" si="13"/>
        <v>39</v>
      </c>
      <c r="B66" s="172">
        <f t="shared" ca="1" si="8"/>
        <v>46382</v>
      </c>
      <c r="C66" s="172">
        <f t="shared" ca="1" si="9"/>
        <v>46382</v>
      </c>
      <c r="D66" s="175">
        <f t="shared" ca="1" si="25"/>
        <v>30</v>
      </c>
      <c r="E66" s="173">
        <f t="shared" si="10"/>
        <v>262500</v>
      </c>
      <c r="F66" s="173">
        <f ca="1">IF(A65=$D$8,SUM(F$28:F65),IF(A65&gt;$D$8,"",G66+H66))</f>
        <v>16792.260000000002</v>
      </c>
      <c r="G66" s="173">
        <f>IF(AND(A65="",A67=""),"",IF(A66="",ROUND(SUM(G$28:$G65),2),IF(A66=$D$8,$G$27-ROUND(SUM(G$28:$G65),2),ROUND($G$27/$D$8,2))))</f>
        <v>12500</v>
      </c>
      <c r="H66" s="173">
        <f ca="1">IF(A65=$D$8,ROUND(SUM($H$28:H65),2),IF(A66&gt;$F$8,"",IF(W66&lt;&gt;W65,ROUND(SUM(Y66*$F$9*E65/W66,Z66*$F$9*E65/W65),2),ROUND(E65*$F$9*D66/W65,2))))</f>
        <v>4292.26</v>
      </c>
      <c r="I66" s="173" t="str">
        <f t="shared" si="26"/>
        <v/>
      </c>
      <c r="J66" s="173" t="str">
        <f t="shared" si="27"/>
        <v/>
      </c>
      <c r="K66" s="173" t="str">
        <f t="shared" si="30"/>
        <v/>
      </c>
      <c r="L66" s="173" t="str">
        <f t="shared" ca="1" si="22"/>
        <v/>
      </c>
      <c r="M66" s="173" t="str">
        <f t="shared" si="31"/>
        <v/>
      </c>
      <c r="N66" s="173" t="str">
        <f t="shared" si="32"/>
        <v/>
      </c>
      <c r="O66" s="173" t="str">
        <f t="shared" si="33"/>
        <v/>
      </c>
      <c r="P66" s="173" t="str">
        <f t="shared" si="24"/>
        <v/>
      </c>
      <c r="Q66" s="173" t="str">
        <f t="shared" si="35"/>
        <v/>
      </c>
      <c r="R66" s="173" t="str">
        <f t="shared" si="29"/>
        <v/>
      </c>
      <c r="S66" s="244" t="str">
        <f>IF(A65=$D$8,XIRR(U$27:U65,C$27:C65),"")</f>
        <v/>
      </c>
      <c r="T66" s="173" t="str">
        <f t="shared" si="4"/>
        <v/>
      </c>
      <c r="U66" s="173">
        <f t="shared" ca="1" si="15"/>
        <v>16792.260000000002</v>
      </c>
      <c r="V66" s="141">
        <f t="shared" ca="1" si="5"/>
        <v>2026</v>
      </c>
      <c r="W66" s="141">
        <f t="shared" ca="1" si="11"/>
        <v>365</v>
      </c>
      <c r="X66" s="141">
        <f t="shared" ca="1" si="6"/>
        <v>26</v>
      </c>
      <c r="Y66" s="177">
        <f t="shared" ca="1" si="12"/>
        <v>25</v>
      </c>
      <c r="Z66" s="178">
        <f t="shared" ca="1" si="7"/>
        <v>5</v>
      </c>
      <c r="AA66" s="141">
        <v>39</v>
      </c>
    </row>
    <row r="67" spans="1:27" x14ac:dyDescent="0.35">
      <c r="A67" s="175">
        <f t="shared" si="13"/>
        <v>40</v>
      </c>
      <c r="B67" s="172">
        <f t="shared" ca="1" si="8"/>
        <v>46413</v>
      </c>
      <c r="C67" s="172">
        <f t="shared" ca="1" si="9"/>
        <v>46413</v>
      </c>
      <c r="D67" s="175">
        <f t="shared" ca="1" si="25"/>
        <v>31</v>
      </c>
      <c r="E67" s="173">
        <f t="shared" si="10"/>
        <v>250000</v>
      </c>
      <c r="F67" s="173">
        <f ca="1">IF(A66=$D$8,SUM(F$28:F66),IF(A66&gt;$D$8,"",G67+H67))</f>
        <v>16733.73</v>
      </c>
      <c r="G67" s="173">
        <f>IF(AND(A66="",A68=""),"",IF(A67="",ROUND(SUM(G$28:$G66),2),IF(A67=$D$8,$G$27-ROUND(SUM(G$28:$G66),2),ROUND($G$27/$D$8,2))))</f>
        <v>12500</v>
      </c>
      <c r="H67" s="173">
        <f ca="1">IF(A66=$D$8,ROUND(SUM($H$28:H66),2),IF(A67&gt;$F$8,"",IF(W67&lt;&gt;W66,ROUND(SUM(Y67*$F$9*E66/W67,Z67*$F$9*E66/W66),2),ROUND(E66*$F$9*D67/W66,2))))</f>
        <v>4233.7299999999996</v>
      </c>
      <c r="I67" s="173" t="str">
        <f t="shared" si="26"/>
        <v/>
      </c>
      <c r="J67" s="173" t="str">
        <f t="shared" si="27"/>
        <v/>
      </c>
      <c r="K67" s="173" t="str">
        <f t="shared" si="30"/>
        <v/>
      </c>
      <c r="L67" s="173" t="str">
        <f t="shared" ca="1" si="22"/>
        <v/>
      </c>
      <c r="M67" s="173" t="str">
        <f t="shared" si="31"/>
        <v/>
      </c>
      <c r="N67" s="173" t="str">
        <f t="shared" si="32"/>
        <v/>
      </c>
      <c r="O67" s="173" t="str">
        <f t="shared" si="33"/>
        <v/>
      </c>
      <c r="P67" s="173" t="str">
        <f t="shared" si="24"/>
        <v/>
      </c>
      <c r="Q67" s="173" t="str">
        <f t="shared" si="35"/>
        <v/>
      </c>
      <c r="R67" s="173" t="str">
        <f t="shared" si="29"/>
        <v/>
      </c>
      <c r="S67" s="244" t="str">
        <f>IF(A66=$D$8,XIRR(U$27:U66,C$27:C66),"")</f>
        <v/>
      </c>
      <c r="T67" s="173" t="str">
        <f t="shared" si="4"/>
        <v/>
      </c>
      <c r="U67" s="173">
        <f t="shared" ca="1" si="15"/>
        <v>16733.73</v>
      </c>
      <c r="V67" s="141">
        <f t="shared" ca="1" si="5"/>
        <v>2027</v>
      </c>
      <c r="W67" s="141">
        <f t="shared" ca="1" si="11"/>
        <v>365</v>
      </c>
      <c r="X67" s="141">
        <f t="shared" ca="1" si="6"/>
        <v>26</v>
      </c>
      <c r="Y67" s="177">
        <f t="shared" ca="1" si="12"/>
        <v>25</v>
      </c>
      <c r="Z67" s="178">
        <f t="shared" ca="1" si="7"/>
        <v>6</v>
      </c>
      <c r="AA67" s="141">
        <v>40</v>
      </c>
    </row>
    <row r="68" spans="1:27" x14ac:dyDescent="0.35">
      <c r="A68" s="175">
        <f t="shared" si="13"/>
        <v>41</v>
      </c>
      <c r="B68" s="172">
        <f t="shared" ca="1" si="8"/>
        <v>46444</v>
      </c>
      <c r="C68" s="172">
        <f t="shared" ca="1" si="9"/>
        <v>46444</v>
      </c>
      <c r="D68" s="175">
        <f t="shared" ca="1" si="25"/>
        <v>31</v>
      </c>
      <c r="E68" s="173">
        <f t="shared" si="10"/>
        <v>237500</v>
      </c>
      <c r="F68" s="173">
        <f ca="1">IF(A67=$D$8,SUM(F$28:F67),IF(A67&gt;$D$8,"",G68+H68))</f>
        <v>16532.12</v>
      </c>
      <c r="G68" s="173">
        <f>IF(AND(A67="",A69=""),"",IF(A68="",ROUND(SUM(G$28:$G67),2),IF(A68=$D$8,$G$27-ROUND(SUM(G$28:$G67),2),ROUND($G$27/$D$8,2))))</f>
        <v>12500</v>
      </c>
      <c r="H68" s="173">
        <f ca="1">IF(A67=$D$8,ROUND(SUM($H$28:H67),2),IF(A68&gt;$F$8,"",IF(W68&lt;&gt;W67,ROUND(SUM(Y68*$F$9*E67/W68,Z68*$F$9*E67/W67),2),ROUND(E67*$F$9*D68/W67,2))))</f>
        <v>4032.12</v>
      </c>
      <c r="I68" s="173" t="str">
        <f t="shared" si="26"/>
        <v/>
      </c>
      <c r="J68" s="173" t="str">
        <f t="shared" si="27"/>
        <v/>
      </c>
      <c r="K68" s="173" t="str">
        <f t="shared" si="30"/>
        <v/>
      </c>
      <c r="L68" s="173" t="str">
        <f t="shared" ca="1" si="22"/>
        <v/>
      </c>
      <c r="M68" s="173" t="str">
        <f t="shared" si="31"/>
        <v/>
      </c>
      <c r="N68" s="173" t="str">
        <f t="shared" si="32"/>
        <v/>
      </c>
      <c r="O68" s="173" t="str">
        <f t="shared" si="33"/>
        <v/>
      </c>
      <c r="P68" s="173" t="str">
        <f t="shared" si="24"/>
        <v/>
      </c>
      <c r="Q68" s="173" t="str">
        <f t="shared" si="35"/>
        <v/>
      </c>
      <c r="R68" s="173" t="str">
        <f t="shared" si="29"/>
        <v/>
      </c>
      <c r="S68" s="244" t="str">
        <f>IF(A67=$D$8,XIRR(U$27:U67,C$27:C67),"")</f>
        <v/>
      </c>
      <c r="T68" s="173" t="str">
        <f t="shared" si="4"/>
        <v/>
      </c>
      <c r="U68" s="173">
        <f t="shared" ca="1" si="15"/>
        <v>16532.12</v>
      </c>
      <c r="V68" s="141">
        <f t="shared" ca="1" si="5"/>
        <v>2027</v>
      </c>
      <c r="W68" s="141">
        <f t="shared" ca="1" si="11"/>
        <v>365</v>
      </c>
      <c r="X68" s="141">
        <f t="shared" ca="1" si="6"/>
        <v>26</v>
      </c>
      <c r="Y68" s="177">
        <f t="shared" ca="1" si="12"/>
        <v>25</v>
      </c>
      <c r="Z68" s="178">
        <f t="shared" ca="1" si="7"/>
        <v>6</v>
      </c>
      <c r="AA68" s="141">
        <v>41</v>
      </c>
    </row>
    <row r="69" spans="1:27" x14ac:dyDescent="0.35">
      <c r="A69" s="175">
        <f t="shared" si="13"/>
        <v>42</v>
      </c>
      <c r="B69" s="172">
        <f t="shared" ca="1" si="8"/>
        <v>46472</v>
      </c>
      <c r="C69" s="172">
        <f t="shared" ca="1" si="9"/>
        <v>46472</v>
      </c>
      <c r="D69" s="175">
        <f t="shared" ca="1" si="25"/>
        <v>28</v>
      </c>
      <c r="E69" s="173">
        <f t="shared" si="10"/>
        <v>225000</v>
      </c>
      <c r="F69" s="173">
        <f ca="1">IF(A68=$D$8,SUM(F$28:F68),IF(A68&gt;$D$8,"",G69+H69))</f>
        <v>15959.82</v>
      </c>
      <c r="G69" s="173">
        <f>IF(AND(A68="",A70=""),"",IF(A69="",ROUND(SUM(G$28:$G68),2),IF(A69=$D$8,$G$27-ROUND(SUM(G$28:$G68),2),ROUND($G$27/$D$8,2))))</f>
        <v>12500</v>
      </c>
      <c r="H69" s="173">
        <f ca="1">IF(A68=$D$8,ROUND(SUM($H$28:H68),2),IF(A69&gt;$F$8,"",IF(W69&lt;&gt;W68,ROUND(SUM(Y69*$F$9*E68/W69,Z69*$F$9*E68/W68),2),ROUND(E68*$F$9*D69/W68,2))))</f>
        <v>3459.82</v>
      </c>
      <c r="I69" s="173" t="str">
        <f t="shared" si="26"/>
        <v/>
      </c>
      <c r="J69" s="173" t="str">
        <f t="shared" si="27"/>
        <v/>
      </c>
      <c r="K69" s="173" t="str">
        <f t="shared" si="30"/>
        <v/>
      </c>
      <c r="L69" s="173" t="str">
        <f t="shared" ca="1" si="22"/>
        <v/>
      </c>
      <c r="M69" s="173" t="str">
        <f t="shared" si="31"/>
        <v/>
      </c>
      <c r="N69" s="173" t="str">
        <f t="shared" si="32"/>
        <v/>
      </c>
      <c r="O69" s="173" t="str">
        <f t="shared" si="33"/>
        <v/>
      </c>
      <c r="P69" s="173" t="str">
        <f t="shared" si="24"/>
        <v/>
      </c>
      <c r="Q69" s="173" t="str">
        <f t="shared" si="35"/>
        <v/>
      </c>
      <c r="R69" s="173" t="str">
        <f t="shared" si="29"/>
        <v/>
      </c>
      <c r="S69" s="244" t="str">
        <f>IF(A68=$D$8,XIRR(U$27:U68,C$27:C68),"")</f>
        <v/>
      </c>
      <c r="T69" s="173" t="str">
        <f t="shared" si="4"/>
        <v/>
      </c>
      <c r="U69" s="173">
        <f t="shared" ca="1" si="15"/>
        <v>15959.82</v>
      </c>
      <c r="V69" s="141">
        <f t="shared" ca="1" si="5"/>
        <v>2027</v>
      </c>
      <c r="W69" s="141">
        <f t="shared" ca="1" si="11"/>
        <v>365</v>
      </c>
      <c r="X69" s="141">
        <f t="shared" ca="1" si="6"/>
        <v>26</v>
      </c>
      <c r="Y69" s="177">
        <f t="shared" ca="1" si="12"/>
        <v>25</v>
      </c>
      <c r="Z69" s="178">
        <f t="shared" ca="1" si="7"/>
        <v>3</v>
      </c>
      <c r="AA69" s="141">
        <v>42</v>
      </c>
    </row>
    <row r="70" spans="1:27" x14ac:dyDescent="0.35">
      <c r="A70" s="175">
        <f t="shared" si="13"/>
        <v>43</v>
      </c>
      <c r="B70" s="172">
        <f t="shared" ca="1" si="8"/>
        <v>46503</v>
      </c>
      <c r="C70" s="172">
        <f t="shared" ca="1" si="9"/>
        <v>46503</v>
      </c>
      <c r="D70" s="175">
        <f t="shared" ca="1" si="25"/>
        <v>31</v>
      </c>
      <c r="E70" s="173">
        <f t="shared" si="10"/>
        <v>212500</v>
      </c>
      <c r="F70" s="173">
        <f ca="1">IF(A69=$D$8,SUM(F$28:F69),IF(A69&gt;$D$8,"",G70+H70))</f>
        <v>16128.91</v>
      </c>
      <c r="G70" s="173">
        <f>IF(AND(A69="",A71=""),"",IF(A70="",ROUND(SUM(G$28:$G69),2),IF(A70=$D$8,$G$27-ROUND(SUM(G$28:$G69),2),ROUND($G$27/$D$8,2))))</f>
        <v>12500</v>
      </c>
      <c r="H70" s="173">
        <f ca="1">IF(A69=$D$8,ROUND(SUM($H$28:H69),2),IF(A70&gt;$F$8,"",IF(W70&lt;&gt;W69,ROUND(SUM(Y70*$F$9*E69/W70,Z70*$F$9*E69/W69),2),ROUND(E69*$F$9*D70/W69,2))))</f>
        <v>3628.91</v>
      </c>
      <c r="I70" s="173" t="str">
        <f t="shared" si="26"/>
        <v/>
      </c>
      <c r="J70" s="173" t="str">
        <f t="shared" si="27"/>
        <v/>
      </c>
      <c r="K70" s="173" t="str">
        <f t="shared" si="30"/>
        <v/>
      </c>
      <c r="L70" s="173" t="str">
        <f t="shared" ca="1" si="22"/>
        <v/>
      </c>
      <c r="M70" s="173" t="str">
        <f t="shared" si="31"/>
        <v/>
      </c>
      <c r="N70" s="173" t="str">
        <f t="shared" si="32"/>
        <v/>
      </c>
      <c r="O70" s="173" t="str">
        <f t="shared" si="33"/>
        <v/>
      </c>
      <c r="P70" s="173" t="str">
        <f t="shared" si="24"/>
        <v/>
      </c>
      <c r="Q70" s="173" t="str">
        <f t="shared" si="35"/>
        <v/>
      </c>
      <c r="R70" s="173" t="str">
        <f t="shared" si="29"/>
        <v/>
      </c>
      <c r="S70" s="244" t="str">
        <f>IF(A69=$D$8,XIRR(U$27:U69,C$27:C69),"")</f>
        <v/>
      </c>
      <c r="T70" s="173" t="str">
        <f t="shared" si="4"/>
        <v/>
      </c>
      <c r="U70" s="173">
        <f t="shared" ca="1" si="15"/>
        <v>16128.91</v>
      </c>
      <c r="V70" s="141">
        <f t="shared" ca="1" si="5"/>
        <v>2027</v>
      </c>
      <c r="W70" s="141">
        <f t="shared" ca="1" si="11"/>
        <v>365</v>
      </c>
      <c r="X70" s="141">
        <f t="shared" ca="1" si="6"/>
        <v>26</v>
      </c>
      <c r="Y70" s="177">
        <f t="shared" ca="1" si="12"/>
        <v>25</v>
      </c>
      <c r="Z70" s="178">
        <f t="shared" ca="1" si="7"/>
        <v>6</v>
      </c>
      <c r="AA70" s="141">
        <v>43</v>
      </c>
    </row>
    <row r="71" spans="1:27" x14ac:dyDescent="0.35">
      <c r="A71" s="175">
        <f t="shared" si="13"/>
        <v>44</v>
      </c>
      <c r="B71" s="172">
        <f t="shared" ca="1" si="8"/>
        <v>46533</v>
      </c>
      <c r="C71" s="172">
        <f t="shared" ca="1" si="9"/>
        <v>46533</v>
      </c>
      <c r="D71" s="175">
        <f t="shared" ca="1" si="25"/>
        <v>30</v>
      </c>
      <c r="E71" s="173">
        <f t="shared" si="10"/>
        <v>200000</v>
      </c>
      <c r="F71" s="173">
        <f ca="1">IF(A70=$D$8,SUM(F$28:F70),IF(A70&gt;$D$8,"",G71+H71))</f>
        <v>15816.75</v>
      </c>
      <c r="G71" s="173">
        <f>IF(AND(A70="",A72=""),"",IF(A71="",ROUND(SUM(G$28:$G70),2),IF(A71=$D$8,$G$27-ROUND(SUM(G$28:$G70),2),ROUND($G$27/$D$8,2))))</f>
        <v>12500</v>
      </c>
      <c r="H71" s="173">
        <f ca="1">IF(A70=$D$8,ROUND(SUM($H$28:H70),2),IF(A71&gt;$F$8,"",IF(W71&lt;&gt;W70,ROUND(SUM(Y71*$F$9*E70/W71,Z71*$F$9*E70/W70),2),ROUND(E70*$F$9*D71/W70,2))))</f>
        <v>3316.75</v>
      </c>
      <c r="I71" s="173" t="str">
        <f t="shared" si="26"/>
        <v/>
      </c>
      <c r="J71" s="173" t="str">
        <f t="shared" si="27"/>
        <v/>
      </c>
      <c r="K71" s="173" t="str">
        <f t="shared" si="30"/>
        <v/>
      </c>
      <c r="L71" s="173" t="str">
        <f t="shared" ca="1" si="22"/>
        <v/>
      </c>
      <c r="M71" s="173" t="str">
        <f t="shared" si="31"/>
        <v/>
      </c>
      <c r="N71" s="173" t="str">
        <f t="shared" si="32"/>
        <v/>
      </c>
      <c r="O71" s="173" t="str">
        <f t="shared" si="33"/>
        <v/>
      </c>
      <c r="P71" s="173" t="str">
        <f t="shared" si="24"/>
        <v/>
      </c>
      <c r="Q71" s="173" t="str">
        <f t="shared" si="35"/>
        <v/>
      </c>
      <c r="R71" s="173" t="str">
        <f t="shared" si="29"/>
        <v/>
      </c>
      <c r="S71" s="244" t="str">
        <f>IF(A70=$D$8,XIRR(U$27:U70,C$27:C70),"")</f>
        <v/>
      </c>
      <c r="T71" s="173" t="str">
        <f t="shared" si="4"/>
        <v/>
      </c>
      <c r="U71" s="173">
        <f t="shared" ca="1" si="15"/>
        <v>15816.75</v>
      </c>
      <c r="V71" s="141">
        <f t="shared" ca="1" si="5"/>
        <v>2027</v>
      </c>
      <c r="W71" s="141">
        <f t="shared" ca="1" si="11"/>
        <v>365</v>
      </c>
      <c r="X71" s="141">
        <f t="shared" ca="1" si="6"/>
        <v>26</v>
      </c>
      <c r="Y71" s="177">
        <f t="shared" ca="1" si="12"/>
        <v>25</v>
      </c>
      <c r="Z71" s="178">
        <f t="shared" ca="1" si="7"/>
        <v>5</v>
      </c>
      <c r="AA71" s="141">
        <v>44</v>
      </c>
    </row>
    <row r="72" spans="1:27" x14ac:dyDescent="0.35">
      <c r="A72" s="175">
        <f t="shared" si="13"/>
        <v>45</v>
      </c>
      <c r="B72" s="172">
        <f t="shared" ca="1" si="8"/>
        <v>46564</v>
      </c>
      <c r="C72" s="172">
        <f t="shared" ca="1" si="9"/>
        <v>46564</v>
      </c>
      <c r="D72" s="175">
        <f t="shared" ca="1" si="25"/>
        <v>31</v>
      </c>
      <c r="E72" s="173">
        <f t="shared" si="10"/>
        <v>187500</v>
      </c>
      <c r="F72" s="173">
        <f ca="1">IF(A71=$D$8,SUM(F$28:F71),IF(A71&gt;$D$8,"",G72+H72))</f>
        <v>15725.7</v>
      </c>
      <c r="G72" s="173">
        <f>IF(AND(A71="",A73=""),"",IF(A72="",ROUND(SUM(G$28:$G71),2),IF(A72=$D$8,$G$27-ROUND(SUM(G$28:$G71),2),ROUND($G$27/$D$8,2))))</f>
        <v>12500</v>
      </c>
      <c r="H72" s="173">
        <f ca="1">IF(A71=$D$8,ROUND(SUM($H$28:H71),2),IF(A72&gt;$F$8,"",IF(W72&lt;&gt;W71,ROUND(SUM(Y72*$F$9*E71/W72,Z72*$F$9*E71/W71),2),ROUND(E71*$F$9*D72/W71,2))))</f>
        <v>3225.7</v>
      </c>
      <c r="I72" s="173" t="str">
        <f t="shared" si="26"/>
        <v/>
      </c>
      <c r="J72" s="173" t="str">
        <f t="shared" si="27"/>
        <v/>
      </c>
      <c r="K72" s="173" t="str">
        <f t="shared" si="30"/>
        <v/>
      </c>
      <c r="L72" s="173" t="str">
        <f t="shared" ca="1" si="22"/>
        <v/>
      </c>
      <c r="M72" s="173" t="str">
        <f t="shared" si="31"/>
        <v/>
      </c>
      <c r="N72" s="173" t="str">
        <f t="shared" si="32"/>
        <v/>
      </c>
      <c r="O72" s="173" t="str">
        <f t="shared" si="33"/>
        <v/>
      </c>
      <c r="P72" s="173" t="str">
        <f t="shared" si="24"/>
        <v/>
      </c>
      <c r="Q72" s="173" t="str">
        <f t="shared" si="35"/>
        <v/>
      </c>
      <c r="R72" s="173" t="str">
        <f t="shared" si="29"/>
        <v/>
      </c>
      <c r="S72" s="244" t="str">
        <f>IF(A71=$D$8,XIRR(U$27:U71,C$27:C71),"")</f>
        <v/>
      </c>
      <c r="T72" s="173" t="str">
        <f t="shared" si="4"/>
        <v/>
      </c>
      <c r="U72" s="173">
        <f t="shared" ca="1" si="15"/>
        <v>15725.7</v>
      </c>
      <c r="V72" s="141">
        <f t="shared" ca="1" si="5"/>
        <v>2027</v>
      </c>
      <c r="W72" s="141">
        <f t="shared" ca="1" si="11"/>
        <v>365</v>
      </c>
      <c r="X72" s="141">
        <f t="shared" ca="1" si="6"/>
        <v>26</v>
      </c>
      <c r="Y72" s="177">
        <f t="shared" ca="1" si="12"/>
        <v>25</v>
      </c>
      <c r="Z72" s="178">
        <f t="shared" ca="1" si="7"/>
        <v>6</v>
      </c>
      <c r="AA72" s="141">
        <v>45</v>
      </c>
    </row>
    <row r="73" spans="1:27" x14ac:dyDescent="0.35">
      <c r="A73" s="175">
        <f t="shared" si="13"/>
        <v>46</v>
      </c>
      <c r="B73" s="172">
        <f t="shared" ca="1" si="8"/>
        <v>46594</v>
      </c>
      <c r="C73" s="172">
        <f t="shared" ca="1" si="9"/>
        <v>46594</v>
      </c>
      <c r="D73" s="175">
        <f t="shared" ca="1" si="25"/>
        <v>30</v>
      </c>
      <c r="E73" s="173">
        <f t="shared" si="10"/>
        <v>175000</v>
      </c>
      <c r="F73" s="173">
        <f ca="1">IF(A72=$D$8,SUM(F$28:F72),IF(A72&gt;$D$8,"",G73+H73))</f>
        <v>15426.54</v>
      </c>
      <c r="G73" s="173">
        <f>IF(AND(A72="",A74=""),"",IF(A73="",ROUND(SUM(G$28:$G72),2),IF(A73=$D$8,$G$27-ROUND(SUM(G$28:$G72),2),ROUND($G$27/$D$8,2))))</f>
        <v>12500</v>
      </c>
      <c r="H73" s="173">
        <f ca="1">IF(A72=$D$8,ROUND(SUM($H$28:H72),2),IF(A73&gt;$F$8,"",IF(W73&lt;&gt;W72,ROUND(SUM(Y73*$F$9*E72/W73,Z73*$F$9*E72/W72),2),ROUND(E72*$F$9*D73/W72,2))))</f>
        <v>2926.54</v>
      </c>
      <c r="I73" s="173" t="str">
        <f t="shared" si="26"/>
        <v/>
      </c>
      <c r="J73" s="173" t="str">
        <f t="shared" si="27"/>
        <v/>
      </c>
      <c r="K73" s="173" t="str">
        <f t="shared" si="30"/>
        <v/>
      </c>
      <c r="L73" s="173" t="str">
        <f t="shared" ca="1" si="22"/>
        <v/>
      </c>
      <c r="M73" s="173" t="str">
        <f t="shared" si="31"/>
        <v/>
      </c>
      <c r="N73" s="173" t="str">
        <f t="shared" si="32"/>
        <v/>
      </c>
      <c r="O73" s="173" t="str">
        <f t="shared" si="33"/>
        <v/>
      </c>
      <c r="P73" s="173" t="str">
        <f t="shared" si="24"/>
        <v/>
      </c>
      <c r="Q73" s="173" t="str">
        <f t="shared" si="35"/>
        <v/>
      </c>
      <c r="R73" s="173" t="str">
        <f t="shared" si="29"/>
        <v/>
      </c>
      <c r="S73" s="244" t="str">
        <f>IF(A72=$D$8,XIRR(U$27:U72,C$27:C72),"")</f>
        <v/>
      </c>
      <c r="T73" s="173" t="str">
        <f t="shared" si="4"/>
        <v/>
      </c>
      <c r="U73" s="173">
        <f t="shared" ca="1" si="15"/>
        <v>15426.54</v>
      </c>
      <c r="V73" s="141">
        <f t="shared" ca="1" si="5"/>
        <v>2027</v>
      </c>
      <c r="W73" s="141">
        <f t="shared" ca="1" si="11"/>
        <v>365</v>
      </c>
      <c r="X73" s="141">
        <f t="shared" ca="1" si="6"/>
        <v>26</v>
      </c>
      <c r="Y73" s="177">
        <f t="shared" ca="1" si="12"/>
        <v>25</v>
      </c>
      <c r="Z73" s="178">
        <f t="shared" ca="1" si="7"/>
        <v>5</v>
      </c>
      <c r="AA73" s="141">
        <v>46</v>
      </c>
    </row>
    <row r="74" spans="1:27" x14ac:dyDescent="0.35">
      <c r="A74" s="175">
        <f t="shared" si="13"/>
        <v>47</v>
      </c>
      <c r="B74" s="172">
        <f t="shared" ca="1" si="8"/>
        <v>46625</v>
      </c>
      <c r="C74" s="172">
        <f t="shared" ca="1" si="9"/>
        <v>46625</v>
      </c>
      <c r="D74" s="175">
        <f t="shared" ca="1" si="25"/>
        <v>31</v>
      </c>
      <c r="E74" s="173">
        <f t="shared" si="10"/>
        <v>162500</v>
      </c>
      <c r="F74" s="173">
        <f ca="1">IF(A73=$D$8,SUM(F$28:F73),IF(A73&gt;$D$8,"",G74+H74))</f>
        <v>15322.49</v>
      </c>
      <c r="G74" s="173">
        <f>IF(AND(A73="",A75=""),"",IF(A74="",ROUND(SUM(G$28:$G73),2),IF(A74=$D$8,$G$27-ROUND(SUM(G$28:$G73),2),ROUND($G$27/$D$8,2))))</f>
        <v>12500</v>
      </c>
      <c r="H74" s="173">
        <f ca="1">IF(A73=$D$8,ROUND(SUM($H$28:H73),2),IF(A74&gt;$F$8,"",IF(W74&lt;&gt;W73,ROUND(SUM(Y74*$F$9*E73/W74,Z74*$F$9*E73/W73),2),ROUND(E73*$F$9*D74/W73,2))))</f>
        <v>2822.49</v>
      </c>
      <c r="I74" s="173" t="str">
        <f t="shared" si="26"/>
        <v/>
      </c>
      <c r="J74" s="173" t="str">
        <f t="shared" si="27"/>
        <v/>
      </c>
      <c r="K74" s="173" t="str">
        <f t="shared" si="30"/>
        <v/>
      </c>
      <c r="L74" s="173" t="str">
        <f t="shared" ca="1" si="22"/>
        <v/>
      </c>
      <c r="M74" s="173" t="str">
        <f t="shared" si="31"/>
        <v/>
      </c>
      <c r="N74" s="173" t="str">
        <f t="shared" si="32"/>
        <v/>
      </c>
      <c r="O74" s="173" t="str">
        <f t="shared" si="33"/>
        <v/>
      </c>
      <c r="P74" s="173" t="str">
        <f t="shared" si="24"/>
        <v/>
      </c>
      <c r="Q74" s="173" t="str">
        <f t="shared" si="35"/>
        <v/>
      </c>
      <c r="R74" s="173" t="str">
        <f t="shared" si="29"/>
        <v/>
      </c>
      <c r="S74" s="244" t="str">
        <f>IF(A73=$D$8,XIRR(U$27:U73,C$27:C73),"")</f>
        <v/>
      </c>
      <c r="T74" s="173" t="str">
        <f t="shared" si="4"/>
        <v/>
      </c>
      <c r="U74" s="173">
        <f t="shared" ca="1" si="15"/>
        <v>15322.49</v>
      </c>
      <c r="V74" s="141">
        <f t="shared" ca="1" si="5"/>
        <v>2027</v>
      </c>
      <c r="W74" s="141">
        <f t="shared" ca="1" si="11"/>
        <v>365</v>
      </c>
      <c r="X74" s="141">
        <f t="shared" ca="1" si="6"/>
        <v>26</v>
      </c>
      <c r="Y74" s="177">
        <f t="shared" ca="1" si="12"/>
        <v>25</v>
      </c>
      <c r="Z74" s="178">
        <f t="shared" ca="1" si="7"/>
        <v>6</v>
      </c>
      <c r="AA74" s="141">
        <v>47</v>
      </c>
    </row>
    <row r="75" spans="1:27" x14ac:dyDescent="0.35">
      <c r="A75" s="175">
        <f t="shared" si="13"/>
        <v>48</v>
      </c>
      <c r="B75" s="172">
        <f t="shared" ca="1" si="8"/>
        <v>46656</v>
      </c>
      <c r="C75" s="172">
        <f t="shared" ca="1" si="9"/>
        <v>46656</v>
      </c>
      <c r="D75" s="175">
        <f t="shared" ca="1" si="25"/>
        <v>31</v>
      </c>
      <c r="E75" s="173">
        <f t="shared" si="10"/>
        <v>150000</v>
      </c>
      <c r="F75" s="173">
        <f ca="1">IF(A74=$D$8,SUM(F$28:F74),IF(A74&gt;$D$8,"",G75+H75))</f>
        <v>15120.880000000001</v>
      </c>
      <c r="G75" s="173">
        <f>IF(AND(A74="",A76=""),"",IF(A75="",ROUND(SUM(G$28:$G74),2),IF(A75=$D$8,$G$27-ROUND(SUM(G$28:$G74),2),ROUND($G$27/$D$8,2))))</f>
        <v>12500</v>
      </c>
      <c r="H75" s="173">
        <f ca="1">IF(A74=$D$8,ROUND(SUM($H$28:H74),2),IF(A75&gt;$F$8,"",IF(W75&lt;&gt;W74,ROUND(SUM(Y75*$F$9*E74/W75,Z75*$F$9*E74/W74),2),ROUND(E74*$F$9*D75/W74,2))))</f>
        <v>2620.88</v>
      </c>
      <c r="I75" s="173" t="str">
        <f t="shared" si="26"/>
        <v/>
      </c>
      <c r="J75" s="173" t="str">
        <f t="shared" si="27"/>
        <v/>
      </c>
      <c r="K75" s="173" t="str">
        <f t="shared" si="30"/>
        <v/>
      </c>
      <c r="L75" s="173" t="str">
        <f t="shared" ca="1" si="22"/>
        <v/>
      </c>
      <c r="M75" s="173" t="str">
        <f t="shared" si="31"/>
        <v/>
      </c>
      <c r="N75" s="173" t="str">
        <f t="shared" si="32"/>
        <v/>
      </c>
      <c r="O75" s="173" t="str">
        <f t="shared" si="33"/>
        <v/>
      </c>
      <c r="P75" s="173" t="str">
        <f t="shared" si="24"/>
        <v/>
      </c>
      <c r="Q75" s="173" t="str">
        <f t="shared" si="35"/>
        <v/>
      </c>
      <c r="R75" s="173" t="str">
        <f t="shared" si="29"/>
        <v/>
      </c>
      <c r="S75" s="244" t="str">
        <f>IF(A74=$D$8,XIRR(U$27:U74,C$27:C74),"")</f>
        <v/>
      </c>
      <c r="T75" s="173" t="str">
        <f t="shared" si="4"/>
        <v/>
      </c>
      <c r="U75" s="173">
        <f t="shared" ca="1" si="15"/>
        <v>15120.880000000001</v>
      </c>
      <c r="V75" s="141">
        <f t="shared" ca="1" si="5"/>
        <v>2027</v>
      </c>
      <c r="W75" s="141">
        <f t="shared" ca="1" si="11"/>
        <v>365</v>
      </c>
      <c r="X75" s="141">
        <f t="shared" ca="1" si="6"/>
        <v>26</v>
      </c>
      <c r="Y75" s="177">
        <f t="shared" ca="1" si="12"/>
        <v>25</v>
      </c>
      <c r="Z75" s="178">
        <f t="shared" ca="1" si="7"/>
        <v>6</v>
      </c>
      <c r="AA75" s="141">
        <v>48</v>
      </c>
    </row>
    <row r="76" spans="1:27" x14ac:dyDescent="0.35">
      <c r="A76" s="175">
        <f t="shared" si="13"/>
        <v>49</v>
      </c>
      <c r="B76" s="172">
        <f t="shared" ca="1" si="8"/>
        <v>46686</v>
      </c>
      <c r="C76" s="172">
        <f t="shared" ca="1" si="9"/>
        <v>46686</v>
      </c>
      <c r="D76" s="175">
        <f t="shared" ca="1" si="25"/>
        <v>30</v>
      </c>
      <c r="E76" s="173">
        <f t="shared" si="10"/>
        <v>137500</v>
      </c>
      <c r="F76" s="173">
        <f ca="1">IF(A75=$D$8,SUM(F$28:F75),IF(A75&gt;$D$8,"",G76+H76))</f>
        <v>14841.23</v>
      </c>
      <c r="G76" s="173">
        <f>IF(AND(A75="",A77=""),"",IF(A76="",ROUND(SUM(G$28:$G75),2),IF(A76=$D$8,$G$27-ROUND(SUM(G$28:$G75),2),ROUND($G$27/$D$8,2))))</f>
        <v>12500</v>
      </c>
      <c r="H76" s="173">
        <f ca="1">IF(A75=$D$8,ROUND(SUM($H$28:H75),2),IF(A76&gt;$F$8,"",IF(W76&lt;&gt;W75,ROUND(SUM(Y76*$F$9*E75/W76,Z76*$F$9*E75/W75),2),ROUND(E75*$F$9*D76/W75,2))))</f>
        <v>2341.23</v>
      </c>
      <c r="I76" s="173" t="str">
        <f t="shared" si="26"/>
        <v/>
      </c>
      <c r="J76" s="173" t="str">
        <f t="shared" si="27"/>
        <v/>
      </c>
      <c r="K76" s="173" t="str">
        <f t="shared" si="30"/>
        <v/>
      </c>
      <c r="L76" s="173">
        <f>IF($F$8&gt;48,($R$14),IF(A75=$F$8,L64+L52+L40+L27,""))</f>
        <v>2500</v>
      </c>
      <c r="M76" s="173" t="str">
        <f t="shared" si="31"/>
        <v/>
      </c>
      <c r="N76" s="173" t="str">
        <f t="shared" si="32"/>
        <v/>
      </c>
      <c r="O76" s="173" t="str">
        <f t="shared" si="33"/>
        <v/>
      </c>
      <c r="P76" s="173" t="str">
        <f t="shared" si="24"/>
        <v/>
      </c>
      <c r="Q76" s="173" t="str">
        <f t="shared" si="35"/>
        <v/>
      </c>
      <c r="R76" s="173" t="str">
        <f t="shared" si="29"/>
        <v/>
      </c>
      <c r="S76" s="244" t="str">
        <f>IF(A75=$D$8,XIRR(U$27:U75,C$27:C75),"")</f>
        <v/>
      </c>
      <c r="T76" s="173" t="str">
        <f t="shared" si="4"/>
        <v/>
      </c>
      <c r="U76" s="173">
        <f t="shared" ca="1" si="15"/>
        <v>17341.23</v>
      </c>
      <c r="V76" s="141">
        <f t="shared" ca="1" si="5"/>
        <v>2027</v>
      </c>
      <c r="W76" s="141">
        <f t="shared" ca="1" si="11"/>
        <v>365</v>
      </c>
      <c r="X76" s="141">
        <f t="shared" ca="1" si="6"/>
        <v>26</v>
      </c>
      <c r="Y76" s="177">
        <f t="shared" ca="1" si="12"/>
        <v>25</v>
      </c>
      <c r="Z76" s="178">
        <f t="shared" ca="1" si="7"/>
        <v>5</v>
      </c>
      <c r="AA76" s="141">
        <v>49</v>
      </c>
    </row>
    <row r="77" spans="1:27" x14ac:dyDescent="0.35">
      <c r="A77" s="175">
        <f t="shared" si="13"/>
        <v>50</v>
      </c>
      <c r="B77" s="172">
        <f t="shared" ca="1" si="8"/>
        <v>46717</v>
      </c>
      <c r="C77" s="172">
        <f t="shared" ca="1" si="9"/>
        <v>46717</v>
      </c>
      <c r="D77" s="175">
        <f t="shared" ca="1" si="25"/>
        <v>31</v>
      </c>
      <c r="E77" s="173">
        <f t="shared" si="10"/>
        <v>125000</v>
      </c>
      <c r="F77" s="173">
        <f ca="1">IF(A76=$D$8,SUM(F$28:F76),IF(A76&gt;$D$8,"",G77+H77))</f>
        <v>14717.67</v>
      </c>
      <c r="G77" s="173">
        <f>IF(AND(A76="",A78=""),"",IF(A77="",ROUND(SUM(G$28:$G76),2),IF(A77=$D$8,$G$27-ROUND(SUM(G$28:$G76),2),ROUND($G$27/$D$8,2))))</f>
        <v>12500</v>
      </c>
      <c r="H77" s="173">
        <f ca="1">IF(A76=$D$8,ROUND(SUM($H$28:H76),2),IF(A77&gt;$F$8,"",IF(W77&lt;&gt;W76,ROUND(SUM(Y77*$F$9*E76/W77,Z77*$F$9*E76/W76),2),ROUND(E76*$F$9*D77/W76,2))))</f>
        <v>2217.67</v>
      </c>
      <c r="I77" s="173" t="str">
        <f t="shared" si="26"/>
        <v/>
      </c>
      <c r="J77" s="173" t="str">
        <f t="shared" si="27"/>
        <v/>
      </c>
      <c r="K77" s="173" t="str">
        <f t="shared" si="30"/>
        <v/>
      </c>
      <c r="L77" s="173" t="str">
        <f t="shared" ca="1" si="22"/>
        <v/>
      </c>
      <c r="M77" s="173" t="str">
        <f t="shared" si="31"/>
        <v/>
      </c>
      <c r="N77" s="173" t="str">
        <f t="shared" si="32"/>
        <v/>
      </c>
      <c r="O77" s="173" t="str">
        <f t="shared" si="33"/>
        <v/>
      </c>
      <c r="P77" s="173" t="str">
        <f t="shared" si="24"/>
        <v/>
      </c>
      <c r="Q77" s="173" t="str">
        <f t="shared" ref="Q77:Q88" si="36">IF(A76=$D$8,$Q$27,"")</f>
        <v/>
      </c>
      <c r="R77" s="173" t="str">
        <f t="shared" si="29"/>
        <v/>
      </c>
      <c r="S77" s="244" t="str">
        <f>IF(A76=$D$8,XIRR(U$27:U76,C$27:C76),"")</f>
        <v/>
      </c>
      <c r="T77" s="173" t="str">
        <f t="shared" si="4"/>
        <v/>
      </c>
      <c r="U77" s="173">
        <f t="shared" ca="1" si="15"/>
        <v>14717.67</v>
      </c>
      <c r="V77" s="141">
        <f t="shared" ca="1" si="5"/>
        <v>2027</v>
      </c>
      <c r="W77" s="141">
        <f t="shared" ca="1" si="11"/>
        <v>365</v>
      </c>
      <c r="X77" s="141">
        <f t="shared" ca="1" si="6"/>
        <v>26</v>
      </c>
      <c r="Y77" s="177">
        <f t="shared" ca="1" si="12"/>
        <v>25</v>
      </c>
      <c r="Z77" s="178">
        <f t="shared" ca="1" si="7"/>
        <v>6</v>
      </c>
      <c r="AA77" s="141">
        <v>50</v>
      </c>
    </row>
    <row r="78" spans="1:27" x14ac:dyDescent="0.35">
      <c r="A78" s="175">
        <f t="shared" si="13"/>
        <v>51</v>
      </c>
      <c r="B78" s="172">
        <f t="shared" ca="1" si="8"/>
        <v>46747</v>
      </c>
      <c r="C78" s="172">
        <f t="shared" ca="1" si="9"/>
        <v>46747</v>
      </c>
      <c r="D78" s="175">
        <f t="shared" ca="1" si="25"/>
        <v>30</v>
      </c>
      <c r="E78" s="173">
        <f t="shared" si="10"/>
        <v>112500</v>
      </c>
      <c r="F78" s="173">
        <f ca="1">IF(A77=$D$8,SUM(F$28:F77),IF(A77&gt;$D$8,"",G78+H78))</f>
        <v>14451.03</v>
      </c>
      <c r="G78" s="173">
        <f>IF(AND(A77="",A79=""),"",IF(A78="",ROUND(SUM(G$28:$G77),2),IF(A78=$D$8,$G$27-ROUND(SUM(G$28:$G77),2),ROUND($G$27/$D$8,2))))</f>
        <v>12500</v>
      </c>
      <c r="H78" s="173">
        <f ca="1">IF(A77=$D$8,ROUND(SUM($H$28:H77),2),IF(A78&gt;$F$8,"",IF(W78&lt;&gt;W77,ROUND(SUM(Y78*$F$9*E77/W78,Z78*$F$9*E77/W77),2),ROUND(E77*$F$9*D78/W77,2))))</f>
        <v>1951.03</v>
      </c>
      <c r="I78" s="173" t="str">
        <f t="shared" si="26"/>
        <v/>
      </c>
      <c r="J78" s="173" t="str">
        <f t="shared" si="27"/>
        <v/>
      </c>
      <c r="K78" s="173" t="str">
        <f t="shared" si="30"/>
        <v/>
      </c>
      <c r="L78" s="173" t="str">
        <f t="shared" ca="1" si="22"/>
        <v/>
      </c>
      <c r="M78" s="173" t="str">
        <f t="shared" si="31"/>
        <v/>
      </c>
      <c r="N78" s="173" t="str">
        <f t="shared" si="32"/>
        <v/>
      </c>
      <c r="O78" s="173" t="str">
        <f t="shared" si="33"/>
        <v/>
      </c>
      <c r="P78" s="173" t="str">
        <f t="shared" si="24"/>
        <v/>
      </c>
      <c r="Q78" s="173" t="str">
        <f t="shared" si="36"/>
        <v/>
      </c>
      <c r="R78" s="173" t="str">
        <f t="shared" si="29"/>
        <v/>
      </c>
      <c r="S78" s="244" t="str">
        <f>IF(A77=$D$8,XIRR(U$27:U77,C$27:C77),"")</f>
        <v/>
      </c>
      <c r="T78" s="173" t="str">
        <f t="shared" si="4"/>
        <v/>
      </c>
      <c r="U78" s="173">
        <f t="shared" ca="1" si="15"/>
        <v>14451.03</v>
      </c>
      <c r="V78" s="141">
        <f t="shared" ca="1" si="5"/>
        <v>2027</v>
      </c>
      <c r="W78" s="141">
        <f t="shared" ca="1" si="11"/>
        <v>365</v>
      </c>
      <c r="X78" s="141">
        <f t="shared" ca="1" si="6"/>
        <v>26</v>
      </c>
      <c r="Y78" s="177">
        <f t="shared" ca="1" si="12"/>
        <v>25</v>
      </c>
      <c r="Z78" s="178">
        <f t="shared" ca="1" si="7"/>
        <v>5</v>
      </c>
      <c r="AA78" s="141">
        <v>51</v>
      </c>
    </row>
    <row r="79" spans="1:27" x14ac:dyDescent="0.35">
      <c r="A79" s="175">
        <f t="shared" si="13"/>
        <v>52</v>
      </c>
      <c r="B79" s="172">
        <f t="shared" ca="1" si="8"/>
        <v>46778</v>
      </c>
      <c r="C79" s="172">
        <f t="shared" ca="1" si="9"/>
        <v>46778</v>
      </c>
      <c r="D79" s="175">
        <f t="shared" ca="1" si="25"/>
        <v>31</v>
      </c>
      <c r="E79" s="173">
        <f t="shared" si="10"/>
        <v>100000</v>
      </c>
      <c r="F79" s="173">
        <f ca="1">IF(A78=$D$8,SUM(F$28:F78),IF(A78&gt;$D$8,"",G79+H79))</f>
        <v>14310.46</v>
      </c>
      <c r="G79" s="173">
        <f>IF(AND(A78="",A80=""),"",IF(A79="",ROUND(SUM(G$28:$G78),2),IF(A79=$D$8,$G$27-ROUND(SUM(G$28:$G78),2),ROUND($G$27/$D$8,2))))</f>
        <v>12500</v>
      </c>
      <c r="H79" s="173">
        <f ca="1">IF(A78=$D$8,ROUND(SUM($H$28:H78),2),IF(A79&gt;$F$8,"",IF(W79&lt;&gt;W78,ROUND(SUM(Y79*$F$9*E78/W79,Z79*$F$9*E78/W78),2),ROUND(E78*$F$9*D79/W78,2))))</f>
        <v>1810.46</v>
      </c>
      <c r="I79" s="173" t="str">
        <f t="shared" si="26"/>
        <v/>
      </c>
      <c r="J79" s="173" t="str">
        <f t="shared" si="27"/>
        <v/>
      </c>
      <c r="K79" s="173" t="str">
        <f t="shared" si="30"/>
        <v/>
      </c>
      <c r="L79" s="173" t="str">
        <f t="shared" ca="1" si="22"/>
        <v/>
      </c>
      <c r="M79" s="173" t="str">
        <f t="shared" si="31"/>
        <v/>
      </c>
      <c r="N79" s="173" t="str">
        <f t="shared" si="32"/>
        <v/>
      </c>
      <c r="O79" s="173" t="str">
        <f t="shared" si="33"/>
        <v/>
      </c>
      <c r="P79" s="173" t="str">
        <f t="shared" si="24"/>
        <v/>
      </c>
      <c r="Q79" s="173" t="str">
        <f t="shared" si="36"/>
        <v/>
      </c>
      <c r="R79" s="173" t="str">
        <f t="shared" si="29"/>
        <v/>
      </c>
      <c r="S79" s="244" t="str">
        <f>IF(A78=$D$8,XIRR(U$27:U78,C$27:C78),"")</f>
        <v/>
      </c>
      <c r="T79" s="173" t="str">
        <f t="shared" si="4"/>
        <v/>
      </c>
      <c r="U79" s="173">
        <f t="shared" ca="1" si="15"/>
        <v>14310.46</v>
      </c>
      <c r="V79" s="141">
        <f t="shared" ca="1" si="5"/>
        <v>2028</v>
      </c>
      <c r="W79" s="141">
        <f t="shared" ca="1" si="11"/>
        <v>366</v>
      </c>
      <c r="X79" s="141">
        <f t="shared" ca="1" si="6"/>
        <v>26</v>
      </c>
      <c r="Y79" s="177">
        <f t="shared" ca="1" si="12"/>
        <v>25</v>
      </c>
      <c r="Z79" s="178">
        <f t="shared" ca="1" si="7"/>
        <v>6</v>
      </c>
      <c r="AA79" s="141">
        <v>52</v>
      </c>
    </row>
    <row r="80" spans="1:27" x14ac:dyDescent="0.35">
      <c r="A80" s="175">
        <f t="shared" si="13"/>
        <v>53</v>
      </c>
      <c r="B80" s="172">
        <f t="shared" ca="1" si="8"/>
        <v>46809</v>
      </c>
      <c r="C80" s="172">
        <f t="shared" ca="1" si="9"/>
        <v>46809</v>
      </c>
      <c r="D80" s="175">
        <f t="shared" ca="1" si="25"/>
        <v>31</v>
      </c>
      <c r="E80" s="173">
        <f t="shared" si="10"/>
        <v>87500</v>
      </c>
      <c r="F80" s="173">
        <f ca="1">IF(A79=$D$8,SUM(F$28:F79),IF(A79&gt;$D$8,"",G80+H80))</f>
        <v>14108.44</v>
      </c>
      <c r="G80" s="173">
        <f>IF(AND(A79="",A81=""),"",IF(A80="",ROUND(SUM(G$28:$G79),2),IF(A80=$D$8,$G$27-ROUND(SUM(G$28:$G79),2),ROUND($G$27/$D$8,2))))</f>
        <v>12500</v>
      </c>
      <c r="H80" s="173">
        <f ca="1">IF(A79=$D$8,ROUND(SUM($H$28:H79),2),IF(A80&gt;$F$8,"",IF(W80&lt;&gt;W79,ROUND(SUM(Y80*$F$9*E79/W80,Z80*$F$9*E79/W79),2),ROUND(E79*$F$9*D80/W79,2))))</f>
        <v>1608.44</v>
      </c>
      <c r="I80" s="173" t="str">
        <f t="shared" si="26"/>
        <v/>
      </c>
      <c r="J80" s="173" t="str">
        <f t="shared" si="27"/>
        <v/>
      </c>
      <c r="K80" s="173" t="str">
        <f t="shared" si="30"/>
        <v/>
      </c>
      <c r="L80" s="173" t="str">
        <f t="shared" ca="1" si="22"/>
        <v/>
      </c>
      <c r="M80" s="173" t="str">
        <f t="shared" si="31"/>
        <v/>
      </c>
      <c r="N80" s="173" t="str">
        <f t="shared" si="32"/>
        <v/>
      </c>
      <c r="O80" s="173" t="str">
        <f t="shared" si="33"/>
        <v/>
      </c>
      <c r="P80" s="173" t="str">
        <f t="shared" si="24"/>
        <v/>
      </c>
      <c r="Q80" s="173" t="str">
        <f t="shared" si="36"/>
        <v/>
      </c>
      <c r="R80" s="173" t="str">
        <f t="shared" si="29"/>
        <v/>
      </c>
      <c r="S80" s="244" t="str">
        <f>IF(A79=$D$8,XIRR(U$27:U79,C$27:C79),"")</f>
        <v/>
      </c>
      <c r="T80" s="173" t="str">
        <f t="shared" si="4"/>
        <v/>
      </c>
      <c r="U80" s="173">
        <f t="shared" ca="1" si="15"/>
        <v>14108.44</v>
      </c>
      <c r="V80" s="141">
        <f t="shared" ca="1" si="5"/>
        <v>2028</v>
      </c>
      <c r="W80" s="141">
        <f t="shared" ca="1" si="11"/>
        <v>366</v>
      </c>
      <c r="X80" s="141">
        <f t="shared" ca="1" si="6"/>
        <v>26</v>
      </c>
      <c r="Y80" s="177">
        <f t="shared" ca="1" si="12"/>
        <v>25</v>
      </c>
      <c r="Z80" s="178">
        <f t="shared" ca="1" si="7"/>
        <v>6</v>
      </c>
      <c r="AA80" s="141">
        <v>53</v>
      </c>
    </row>
    <row r="81" spans="1:27" x14ac:dyDescent="0.35">
      <c r="A81" s="175">
        <f t="shared" si="13"/>
        <v>54</v>
      </c>
      <c r="B81" s="172">
        <f t="shared" ca="1" si="8"/>
        <v>46838</v>
      </c>
      <c r="C81" s="172">
        <f t="shared" ca="1" si="9"/>
        <v>46838</v>
      </c>
      <c r="D81" s="175">
        <f t="shared" ca="1" si="25"/>
        <v>29</v>
      </c>
      <c r="E81" s="173">
        <f t="shared" si="10"/>
        <v>75000</v>
      </c>
      <c r="F81" s="173">
        <f ca="1">IF(A80=$D$8,SUM(F$28:F80),IF(A80&gt;$D$8,"",G81+H81))</f>
        <v>13816.59</v>
      </c>
      <c r="G81" s="173">
        <f>IF(AND(A80="",A82=""),"",IF(A81="",ROUND(SUM(G$28:$G80),2),IF(A81=$D$8,$G$27-ROUND(SUM(G$28:$G80),2),ROUND($G$27/$D$8,2))))</f>
        <v>12500</v>
      </c>
      <c r="H81" s="173">
        <f ca="1">IF(A80=$D$8,ROUND(SUM($H$28:H80),2),IF(A81&gt;$F$8,"",IF(W81&lt;&gt;W80,ROUND(SUM(Y81*$F$9*E80/W81,Z81*$F$9*E80/W80),2),ROUND(E80*$F$9*D81/W80,2))))</f>
        <v>1316.59</v>
      </c>
      <c r="I81" s="173" t="str">
        <f t="shared" si="26"/>
        <v/>
      </c>
      <c r="J81" s="173" t="str">
        <f t="shared" si="27"/>
        <v/>
      </c>
      <c r="K81" s="173" t="str">
        <f t="shared" si="30"/>
        <v/>
      </c>
      <c r="L81" s="173" t="str">
        <f t="shared" ca="1" si="22"/>
        <v/>
      </c>
      <c r="M81" s="173" t="str">
        <f t="shared" si="31"/>
        <v/>
      </c>
      <c r="N81" s="173" t="str">
        <f t="shared" si="32"/>
        <v/>
      </c>
      <c r="O81" s="173" t="str">
        <f t="shared" si="33"/>
        <v/>
      </c>
      <c r="P81" s="173" t="str">
        <f t="shared" si="24"/>
        <v/>
      </c>
      <c r="Q81" s="173" t="str">
        <f t="shared" si="36"/>
        <v/>
      </c>
      <c r="R81" s="173" t="str">
        <f t="shared" si="29"/>
        <v/>
      </c>
      <c r="S81" s="244" t="str">
        <f>IF(A80=$D$8,XIRR(U$27:U80,C$27:C80),"")</f>
        <v/>
      </c>
      <c r="T81" s="173" t="str">
        <f t="shared" si="4"/>
        <v/>
      </c>
      <c r="U81" s="173">
        <f t="shared" ca="1" si="15"/>
        <v>13816.59</v>
      </c>
      <c r="V81" s="141">
        <f t="shared" ca="1" si="5"/>
        <v>2028</v>
      </c>
      <c r="W81" s="141">
        <f t="shared" ca="1" si="11"/>
        <v>366</v>
      </c>
      <c r="X81" s="141">
        <f t="shared" ca="1" si="6"/>
        <v>26</v>
      </c>
      <c r="Y81" s="177">
        <f t="shared" ca="1" si="12"/>
        <v>25</v>
      </c>
      <c r="Z81" s="178">
        <f t="shared" ca="1" si="7"/>
        <v>4</v>
      </c>
      <c r="AA81" s="141">
        <v>54</v>
      </c>
    </row>
    <row r="82" spans="1:27" x14ac:dyDescent="0.35">
      <c r="A82" s="175">
        <f t="shared" si="13"/>
        <v>55</v>
      </c>
      <c r="B82" s="172">
        <f t="shared" ca="1" si="8"/>
        <v>46869</v>
      </c>
      <c r="C82" s="172">
        <f t="shared" ca="1" si="9"/>
        <v>46869</v>
      </c>
      <c r="D82" s="175">
        <f t="shared" ca="1" si="25"/>
        <v>31</v>
      </c>
      <c r="E82" s="173">
        <f t="shared" si="10"/>
        <v>62500</v>
      </c>
      <c r="F82" s="173">
        <f ca="1">IF(A81=$D$8,SUM(F$28:F81),IF(A81&gt;$D$8,"",G82+H82))</f>
        <v>13706.33</v>
      </c>
      <c r="G82" s="173">
        <f>IF(AND(A81="",A83=""),"",IF(A82="",ROUND(SUM(G$28:$G81),2),IF(A82=$D$8,$G$27-ROUND(SUM(G$28:$G81),2),ROUND($G$27/$D$8,2))))</f>
        <v>12500</v>
      </c>
      <c r="H82" s="173">
        <f ca="1">IF(A81=$D$8,ROUND(SUM($H$28:H81),2),IF(A82&gt;$F$8,"",IF(W82&lt;&gt;W81,ROUND(SUM(Y82*$F$9*E81/W82,Z82*$F$9*E81/W81),2),ROUND(E81*$F$9*D82/W81,2))))</f>
        <v>1206.33</v>
      </c>
      <c r="I82" s="173" t="str">
        <f t="shared" si="26"/>
        <v/>
      </c>
      <c r="J82" s="173" t="str">
        <f t="shared" si="27"/>
        <v/>
      </c>
      <c r="K82" s="173" t="str">
        <f t="shared" si="30"/>
        <v/>
      </c>
      <c r="L82" s="173" t="str">
        <f t="shared" ca="1" si="22"/>
        <v/>
      </c>
      <c r="M82" s="173" t="str">
        <f t="shared" si="31"/>
        <v/>
      </c>
      <c r="N82" s="173" t="str">
        <f t="shared" si="32"/>
        <v/>
      </c>
      <c r="O82" s="173" t="str">
        <f t="shared" si="33"/>
        <v/>
      </c>
      <c r="P82" s="173" t="str">
        <f t="shared" si="24"/>
        <v/>
      </c>
      <c r="Q82" s="173" t="str">
        <f t="shared" si="36"/>
        <v/>
      </c>
      <c r="R82" s="173" t="str">
        <f t="shared" si="29"/>
        <v/>
      </c>
      <c r="S82" s="244" t="str">
        <f>IF(A81=$D$8,XIRR(U$27:U81,C$27:C81),"")</f>
        <v/>
      </c>
      <c r="T82" s="173" t="str">
        <f t="shared" si="4"/>
        <v/>
      </c>
      <c r="U82" s="173">
        <f t="shared" ca="1" si="15"/>
        <v>13706.33</v>
      </c>
      <c r="V82" s="141">
        <f t="shared" ca="1" si="5"/>
        <v>2028</v>
      </c>
      <c r="W82" s="141">
        <f t="shared" ca="1" si="11"/>
        <v>366</v>
      </c>
      <c r="X82" s="141">
        <f t="shared" ca="1" si="6"/>
        <v>26</v>
      </c>
      <c r="Y82" s="177">
        <f t="shared" ca="1" si="12"/>
        <v>25</v>
      </c>
      <c r="Z82" s="178">
        <f t="shared" ca="1" si="7"/>
        <v>6</v>
      </c>
      <c r="AA82" s="141">
        <v>55</v>
      </c>
    </row>
    <row r="83" spans="1:27" x14ac:dyDescent="0.35">
      <c r="A83" s="175">
        <f t="shared" si="13"/>
        <v>56</v>
      </c>
      <c r="B83" s="172">
        <f t="shared" ca="1" si="8"/>
        <v>46899</v>
      </c>
      <c r="C83" s="172">
        <f t="shared" ca="1" si="9"/>
        <v>46899</v>
      </c>
      <c r="D83" s="175">
        <f t="shared" ca="1" si="25"/>
        <v>30</v>
      </c>
      <c r="E83" s="173">
        <f t="shared" si="10"/>
        <v>50000</v>
      </c>
      <c r="F83" s="173">
        <f ca="1">IF(A82=$D$8,SUM(F$28:F82),IF(A82&gt;$D$8,"",G83+H83))</f>
        <v>13472.85</v>
      </c>
      <c r="G83" s="173">
        <f>IF(AND(A82="",A84=""),"",IF(A83="",ROUND(SUM(G$28:$G82),2),IF(A83=$D$8,$G$27-ROUND(SUM(G$28:$G82),2),ROUND($G$27/$D$8,2))))</f>
        <v>12500</v>
      </c>
      <c r="H83" s="173">
        <f ca="1">IF(A82=$D$8,ROUND(SUM($H$28:H82),2),IF(A83&gt;$F$8,"",IF(W83&lt;&gt;W82,ROUND(SUM(Y83*$F$9*E82/W83,Z83*$F$9*E82/W82),2),ROUND(E82*$F$9*D83/W82,2))))</f>
        <v>972.85</v>
      </c>
      <c r="I83" s="173" t="str">
        <f t="shared" si="26"/>
        <v/>
      </c>
      <c r="J83" s="173" t="str">
        <f t="shared" si="27"/>
        <v/>
      </c>
      <c r="K83" s="173" t="str">
        <f t="shared" si="30"/>
        <v/>
      </c>
      <c r="L83" s="173" t="str">
        <f t="shared" ca="1" si="22"/>
        <v/>
      </c>
      <c r="M83" s="173" t="str">
        <f t="shared" si="31"/>
        <v/>
      </c>
      <c r="N83" s="173" t="str">
        <f t="shared" si="32"/>
        <v/>
      </c>
      <c r="O83" s="173" t="str">
        <f t="shared" si="33"/>
        <v/>
      </c>
      <c r="P83" s="173" t="str">
        <f t="shared" si="24"/>
        <v/>
      </c>
      <c r="Q83" s="173" t="str">
        <f t="shared" si="36"/>
        <v/>
      </c>
      <c r="R83" s="173" t="str">
        <f t="shared" si="29"/>
        <v/>
      </c>
      <c r="S83" s="244" t="str">
        <f>IF(A82=$D$8,XIRR(U$27:U82,C$27:C82),"")</f>
        <v/>
      </c>
      <c r="T83" s="173" t="str">
        <f t="shared" si="4"/>
        <v/>
      </c>
      <c r="U83" s="173">
        <f t="shared" ca="1" si="15"/>
        <v>13472.85</v>
      </c>
      <c r="V83" s="141">
        <f t="shared" ca="1" si="5"/>
        <v>2028</v>
      </c>
      <c r="W83" s="141">
        <f t="shared" ca="1" si="11"/>
        <v>366</v>
      </c>
      <c r="X83" s="141">
        <f t="shared" ca="1" si="6"/>
        <v>26</v>
      </c>
      <c r="Y83" s="177">
        <f t="shared" ca="1" si="12"/>
        <v>25</v>
      </c>
      <c r="Z83" s="178">
        <f t="shared" ca="1" si="7"/>
        <v>5</v>
      </c>
      <c r="AA83" s="141">
        <v>56</v>
      </c>
    </row>
    <row r="84" spans="1:27" x14ac:dyDescent="0.35">
      <c r="A84" s="175">
        <f t="shared" si="13"/>
        <v>57</v>
      </c>
      <c r="B84" s="172">
        <f t="shared" ca="1" si="8"/>
        <v>46930</v>
      </c>
      <c r="C84" s="172">
        <f t="shared" ca="1" si="9"/>
        <v>46930</v>
      </c>
      <c r="D84" s="175">
        <f t="shared" ca="1" si="25"/>
        <v>31</v>
      </c>
      <c r="E84" s="173">
        <f t="shared" si="10"/>
        <v>37500</v>
      </c>
      <c r="F84" s="173">
        <f ca="1">IF(A83=$D$8,SUM(F$28:F83),IF(A83&gt;$D$8,"",G84+H84))</f>
        <v>13304.22</v>
      </c>
      <c r="G84" s="173">
        <f>IF(AND(A83="",A85=""),"",IF(A84="",ROUND(SUM(G$28:$G83),2),IF(A84=$D$8,$G$27-ROUND(SUM(G$28:$G83),2),ROUND($G$27/$D$8,2))))</f>
        <v>12500</v>
      </c>
      <c r="H84" s="173">
        <f ca="1">IF(A83=$D$8,ROUND(SUM($H$28:H83),2),IF(A84&gt;$F$8,"",IF(W84&lt;&gt;W83,ROUND(SUM(Y84*$F$9*E83/W84,Z84*$F$9*E83/W83),2),ROUND(E83*$F$9*D84/W83,2))))</f>
        <v>804.22</v>
      </c>
      <c r="I84" s="173" t="str">
        <f t="shared" si="26"/>
        <v/>
      </c>
      <c r="J84" s="173" t="str">
        <f t="shared" si="27"/>
        <v/>
      </c>
      <c r="K84" s="173" t="str">
        <f t="shared" si="30"/>
        <v/>
      </c>
      <c r="L84" s="173" t="str">
        <f t="shared" ca="1" si="22"/>
        <v/>
      </c>
      <c r="M84" s="173" t="str">
        <f t="shared" si="31"/>
        <v/>
      </c>
      <c r="N84" s="173" t="str">
        <f t="shared" si="32"/>
        <v/>
      </c>
      <c r="O84" s="173" t="str">
        <f t="shared" si="33"/>
        <v/>
      </c>
      <c r="P84" s="173" t="str">
        <f t="shared" si="24"/>
        <v/>
      </c>
      <c r="Q84" s="173" t="str">
        <f t="shared" si="36"/>
        <v/>
      </c>
      <c r="R84" s="173" t="str">
        <f t="shared" si="29"/>
        <v/>
      </c>
      <c r="S84" s="244" t="str">
        <f>IF(A83=$D$8,XIRR(U$27:U83,C$27:C83),"")</f>
        <v/>
      </c>
      <c r="T84" s="173" t="str">
        <f t="shared" si="4"/>
        <v/>
      </c>
      <c r="U84" s="173">
        <f t="shared" ca="1" si="15"/>
        <v>13304.22</v>
      </c>
      <c r="V84" s="141">
        <f t="shared" ca="1" si="5"/>
        <v>2028</v>
      </c>
      <c r="W84" s="141">
        <f t="shared" ca="1" si="11"/>
        <v>366</v>
      </c>
      <c r="X84" s="141">
        <f t="shared" ca="1" si="6"/>
        <v>26</v>
      </c>
      <c r="Y84" s="177">
        <f t="shared" ca="1" si="12"/>
        <v>25</v>
      </c>
      <c r="Z84" s="178">
        <f t="shared" ca="1" si="7"/>
        <v>6</v>
      </c>
      <c r="AA84" s="141">
        <v>57</v>
      </c>
    </row>
    <row r="85" spans="1:27" x14ac:dyDescent="0.35">
      <c r="A85" s="175">
        <f t="shared" si="13"/>
        <v>58</v>
      </c>
      <c r="B85" s="172">
        <f t="shared" ca="1" si="8"/>
        <v>46960</v>
      </c>
      <c r="C85" s="172">
        <f t="shared" ca="1" si="9"/>
        <v>46960</v>
      </c>
      <c r="D85" s="175">
        <f t="shared" ca="1" si="25"/>
        <v>30</v>
      </c>
      <c r="E85" s="173">
        <f t="shared" si="10"/>
        <v>25000</v>
      </c>
      <c r="F85" s="173">
        <f ca="1">IF(A84=$D$8,SUM(F$28:F84),IF(A84&gt;$D$8,"",G85+H85))</f>
        <v>13083.71</v>
      </c>
      <c r="G85" s="173">
        <f>IF(AND(A84="",A86=""),"",IF(A85="",ROUND(SUM(G$28:$G84),2),IF(A85=$D$8,$G$27-ROUND(SUM(G$28:$G84),2),ROUND($G$27/$D$8,2))))</f>
        <v>12500</v>
      </c>
      <c r="H85" s="173">
        <f ca="1">IF(A84=$D$8,ROUND(SUM($H$28:H84),2),IF(A85&gt;$F$8,"",IF(W85&lt;&gt;W84,ROUND(SUM(Y85*$F$9*E84/W85,Z85*$F$9*E84/W84),2),ROUND(E84*$F$9*D85/W84,2))))</f>
        <v>583.71</v>
      </c>
      <c r="I85" s="173" t="str">
        <f t="shared" si="26"/>
        <v/>
      </c>
      <c r="J85" s="173" t="str">
        <f t="shared" si="27"/>
        <v/>
      </c>
      <c r="K85" s="173" t="str">
        <f t="shared" si="30"/>
        <v/>
      </c>
      <c r="L85" s="173" t="str">
        <f t="shared" ca="1" si="22"/>
        <v/>
      </c>
      <c r="M85" s="173" t="str">
        <f t="shared" si="31"/>
        <v/>
      </c>
      <c r="N85" s="173" t="str">
        <f t="shared" si="32"/>
        <v/>
      </c>
      <c r="O85" s="173" t="str">
        <f t="shared" si="33"/>
        <v/>
      </c>
      <c r="P85" s="173" t="str">
        <f t="shared" si="24"/>
        <v/>
      </c>
      <c r="Q85" s="173" t="str">
        <f t="shared" si="36"/>
        <v/>
      </c>
      <c r="R85" s="173" t="str">
        <f t="shared" si="29"/>
        <v/>
      </c>
      <c r="S85" s="244" t="str">
        <f>IF(A84=$D$8,XIRR(U$27:U84,C$27:C84),"")</f>
        <v/>
      </c>
      <c r="T85" s="173" t="str">
        <f t="shared" si="4"/>
        <v/>
      </c>
      <c r="U85" s="173">
        <f t="shared" ca="1" si="15"/>
        <v>13083.71</v>
      </c>
      <c r="V85" s="141">
        <f t="shared" ca="1" si="5"/>
        <v>2028</v>
      </c>
      <c r="W85" s="141">
        <f t="shared" ca="1" si="11"/>
        <v>366</v>
      </c>
      <c r="X85" s="141">
        <f t="shared" ca="1" si="6"/>
        <v>26</v>
      </c>
      <c r="Y85" s="177">
        <f t="shared" ca="1" si="12"/>
        <v>25</v>
      </c>
      <c r="Z85" s="178">
        <f t="shared" ca="1" si="7"/>
        <v>5</v>
      </c>
      <c r="AA85" s="141">
        <v>58</v>
      </c>
    </row>
    <row r="86" spans="1:27" x14ac:dyDescent="0.35">
      <c r="A86" s="175">
        <f t="shared" si="13"/>
        <v>59</v>
      </c>
      <c r="B86" s="172">
        <f t="shared" ca="1" si="8"/>
        <v>46991</v>
      </c>
      <c r="C86" s="172">
        <f t="shared" ca="1" si="9"/>
        <v>46991</v>
      </c>
      <c r="D86" s="175">
        <f t="shared" ca="1" si="25"/>
        <v>31</v>
      </c>
      <c r="E86" s="173">
        <f t="shared" si="10"/>
        <v>12500</v>
      </c>
      <c r="F86" s="173">
        <f ca="1">IF(A85=$D$8,SUM(F$28:F85),IF(A85&gt;$D$8,"",G86+H86))</f>
        <v>12902.11</v>
      </c>
      <c r="G86" s="173">
        <f>IF(AND(A85="",A87=""),"",IF(A86="",ROUND(SUM(G$28:$G85),2),IF(A86=$D$8,$G$27-ROUND(SUM(G$28:$G85),2),ROUND($G$27/$D$8,2))))</f>
        <v>12500</v>
      </c>
      <c r="H86" s="173">
        <f ca="1">IF(A85=$D$8,ROUND(SUM($H$28:H85),2),IF(A86&gt;$F$8,"",IF(W86&lt;&gt;W85,ROUND(SUM(Y86*$F$9*E85/W86,Z86*$F$9*E85/W85),2),ROUND(E85*$F$9*D86/W85,2))))</f>
        <v>402.11</v>
      </c>
      <c r="I86" s="173" t="str">
        <f t="shared" si="26"/>
        <v/>
      </c>
      <c r="J86" s="173" t="str">
        <f t="shared" si="27"/>
        <v/>
      </c>
      <c r="K86" s="173" t="str">
        <f t="shared" si="30"/>
        <v/>
      </c>
      <c r="L86" s="173" t="str">
        <f t="shared" ca="1" si="22"/>
        <v/>
      </c>
      <c r="M86" s="173" t="str">
        <f t="shared" si="31"/>
        <v/>
      </c>
      <c r="N86" s="173" t="str">
        <f t="shared" si="32"/>
        <v/>
      </c>
      <c r="O86" s="173" t="str">
        <f t="shared" si="33"/>
        <v/>
      </c>
      <c r="P86" s="173" t="str">
        <f t="shared" si="24"/>
        <v/>
      </c>
      <c r="Q86" s="173" t="str">
        <f t="shared" si="36"/>
        <v/>
      </c>
      <c r="R86" s="173" t="str">
        <f t="shared" si="29"/>
        <v/>
      </c>
      <c r="S86" s="244" t="str">
        <f>IF(A85=$D$8,XIRR(U$27:U85,C$27:C85),"")</f>
        <v/>
      </c>
      <c r="T86" s="173" t="str">
        <f t="shared" si="4"/>
        <v/>
      </c>
      <c r="U86" s="173">
        <f t="shared" ca="1" si="15"/>
        <v>12902.11</v>
      </c>
      <c r="V86" s="141">
        <f t="shared" ca="1" si="5"/>
        <v>2028</v>
      </c>
      <c r="W86" s="141">
        <f t="shared" ca="1" si="11"/>
        <v>366</v>
      </c>
      <c r="X86" s="141">
        <f t="shared" ca="1" si="6"/>
        <v>26</v>
      </c>
      <c r="Y86" s="177">
        <f t="shared" ca="1" si="12"/>
        <v>25</v>
      </c>
      <c r="Z86" s="178">
        <f t="shared" ca="1" si="7"/>
        <v>6</v>
      </c>
      <c r="AA86" s="141">
        <v>59</v>
      </c>
    </row>
    <row r="87" spans="1:27" x14ac:dyDescent="0.35">
      <c r="A87" s="175">
        <f t="shared" si="13"/>
        <v>60</v>
      </c>
      <c r="B87" s="172">
        <f t="shared" ca="1" si="8"/>
        <v>47022</v>
      </c>
      <c r="C87" s="172">
        <f t="shared" ca="1" si="9"/>
        <v>47021</v>
      </c>
      <c r="D87" s="175">
        <f t="shared" ca="1" si="25"/>
        <v>30</v>
      </c>
      <c r="E87" s="173">
        <f t="shared" si="10"/>
        <v>0</v>
      </c>
      <c r="F87" s="173">
        <f ca="1">IF(A86=$D$8,SUM(F$28:F86),IF(A86&gt;$D$8,"",G87+H87))</f>
        <v>12694.57</v>
      </c>
      <c r="G87" s="173">
        <f>IF(AND(A86="",A88=""),"",IF(A87="",ROUND(SUM(G$28:$G86),2),IF(A87=$D$8,$G$27-ROUND(SUM(G$28:$G86),2),ROUND($G$27/$D$8,2))))</f>
        <v>12500</v>
      </c>
      <c r="H87" s="173">
        <f ca="1">IF(A86=$D$8,ROUND(SUM($H$28:H86),2),IF(A87&gt;$F$8,"",IF(W87&lt;&gt;W86,ROUND(SUM(Y87*$F$9*E86/W87,Z87*$F$9*E86/W86),2),ROUND(E86*$F$9*D87/W86,2))))</f>
        <v>194.57</v>
      </c>
      <c r="I87" s="173" t="str">
        <f t="shared" si="26"/>
        <v/>
      </c>
      <c r="J87" s="173" t="str">
        <f t="shared" si="27"/>
        <v/>
      </c>
      <c r="K87" s="173" t="str">
        <f t="shared" si="30"/>
        <v/>
      </c>
      <c r="L87" s="173" t="str">
        <f t="shared" ca="1" si="22"/>
        <v/>
      </c>
      <c r="M87" s="173" t="str">
        <f t="shared" si="31"/>
        <v/>
      </c>
      <c r="N87" s="173" t="str">
        <f t="shared" si="32"/>
        <v/>
      </c>
      <c r="O87" s="173" t="str">
        <f t="shared" si="33"/>
        <v/>
      </c>
      <c r="P87" s="173" t="str">
        <f t="shared" si="24"/>
        <v/>
      </c>
      <c r="Q87" s="173" t="str">
        <f t="shared" si="36"/>
        <v/>
      </c>
      <c r="R87" s="173" t="str">
        <f t="shared" si="29"/>
        <v/>
      </c>
      <c r="S87" s="244" t="str">
        <f>IF(A86=$D$8,XIRR(U$27:U86,C$27:C86),"")</f>
        <v/>
      </c>
      <c r="T87" s="173" t="str">
        <f t="shared" si="4"/>
        <v/>
      </c>
      <c r="U87" s="173">
        <f t="shared" ca="1" si="15"/>
        <v>12694.57</v>
      </c>
      <c r="V87" s="141">
        <f t="shared" ca="1" si="5"/>
        <v>2028</v>
      </c>
      <c r="W87" s="141">
        <f t="shared" ca="1" si="11"/>
        <v>366</v>
      </c>
      <c r="X87" s="141">
        <f t="shared" ca="1" si="6"/>
        <v>25</v>
      </c>
      <c r="Y87" s="177">
        <f t="shared" ca="1" si="12"/>
        <v>24</v>
      </c>
      <c r="Z87" s="178">
        <f t="shared" ca="1" si="7"/>
        <v>6</v>
      </c>
      <c r="AA87" s="141">
        <v>60</v>
      </c>
    </row>
    <row r="88" spans="1:27" x14ac:dyDescent="0.35">
      <c r="A88" s="175" t="str">
        <f t="shared" si="13"/>
        <v/>
      </c>
      <c r="B88" s="172">
        <f t="shared" ca="1" si="8"/>
        <v>47052</v>
      </c>
      <c r="C88" s="172" t="str">
        <f t="shared" ca="1" si="9"/>
        <v xml:space="preserve"> </v>
      </c>
      <c r="D88" s="175" t="str">
        <f t="shared" si="25"/>
        <v/>
      </c>
      <c r="E88" s="173">
        <f t="shared" si="10"/>
        <v>-750000</v>
      </c>
      <c r="F88" s="173">
        <f ca="1">IF(A87=$D$8,SUM(F$28:F87),IF(A87&gt;$D$8,"",G88+H88))</f>
        <v>1111857.6299999999</v>
      </c>
      <c r="G88" s="173">
        <f>IF(AND(A87="",A89=""),"",IF(A88="",ROUND(SUM(G$28:$G87),2),IF(A88=$D$8,$G$27-ROUND(SUM(G$28:$G87),2),ROUND($G$27/$D$8,2))))</f>
        <v>750000</v>
      </c>
      <c r="H88" s="173">
        <f ca="1">IF(A87=$D$8,ROUND(SUM($H$28:H87),2),IF(A88&gt;$F$8,"",IF(W88&lt;&gt;W87,ROUND(SUM(Y88*$F$9*E87/W88,Z88*$F$9*E87/W87),2),ROUND(E87*$F$9*D88/W87,2))))</f>
        <v>361857.63</v>
      </c>
      <c r="I88" s="173">
        <f t="shared" si="26"/>
        <v>0</v>
      </c>
      <c r="J88" s="173">
        <f t="shared" si="27"/>
        <v>0</v>
      </c>
      <c r="K88" s="173">
        <f t="shared" si="30"/>
        <v>14925</v>
      </c>
      <c r="L88" s="173">
        <f>IF($F$8&gt;60,($R$14),IF(A87=$F$8,L76+L64+L52+L40+L27,""))</f>
        <v>12500</v>
      </c>
      <c r="M88" s="173">
        <f t="shared" si="31"/>
        <v>0</v>
      </c>
      <c r="N88" s="173">
        <f t="shared" si="32"/>
        <v>0</v>
      </c>
      <c r="O88" s="173">
        <f t="shared" si="33"/>
        <v>0</v>
      </c>
      <c r="P88" s="173">
        <f t="shared" si="24"/>
        <v>0</v>
      </c>
      <c r="Q88" s="173">
        <f t="shared" si="36"/>
        <v>22425</v>
      </c>
      <c r="R88" s="173">
        <f t="shared" si="29"/>
        <v>0</v>
      </c>
      <c r="S88" s="244">
        <f ca="1">IF(A87=$D$8,XIRR(U$27:U87,C$27:C87),"")</f>
        <v>0.24802380204200744</v>
      </c>
      <c r="T88" s="173">
        <f t="shared" ca="1" si="4"/>
        <v>1161707.6299999999</v>
      </c>
      <c r="U88" s="173">
        <f t="shared" ca="1" si="15"/>
        <v>2323415.5080238017</v>
      </c>
      <c r="V88" s="141" t="e">
        <f t="shared" ca="1" si="5"/>
        <v>#VALUE!</v>
      </c>
      <c r="W88" s="141" t="e">
        <f t="shared" ca="1" si="11"/>
        <v>#VALUE!</v>
      </c>
      <c r="X88" s="141" t="e">
        <f t="shared" ca="1" si="6"/>
        <v>#VALUE!</v>
      </c>
      <c r="Y88" s="177" t="e">
        <f t="shared" ref="Y88:Y111" ca="1" si="37">X88-1</f>
        <v>#VALUE!</v>
      </c>
      <c r="Z88" s="178" t="e">
        <f t="shared" ca="1" si="7"/>
        <v>#VALUE!</v>
      </c>
      <c r="AA88" s="141">
        <v>61</v>
      </c>
    </row>
    <row r="89" spans="1:27" x14ac:dyDescent="0.35">
      <c r="A89" s="175" t="str">
        <f t="shared" si="13"/>
        <v/>
      </c>
      <c r="B89" s="172">
        <f t="shared" ca="1" si="8"/>
        <v>47083</v>
      </c>
      <c r="C89" s="172" t="str">
        <f t="shared" ca="1" si="9"/>
        <v xml:space="preserve"> </v>
      </c>
      <c r="D89" s="175" t="str">
        <f t="shared" si="25"/>
        <v/>
      </c>
      <c r="E89" s="173" t="e">
        <f t="shared" ref="E89:E91" si="38">E88-H89</f>
        <v>#VALUE!</v>
      </c>
      <c r="F89" s="173" t="str">
        <f>IF(A88=$D$8,SUM(F$28:F88),IF(A88&gt;$D$8,"",G89+H89))</f>
        <v/>
      </c>
      <c r="G89" s="173" t="str">
        <f>IF(A88=$D$8,ROUND(SUM($G$28:G88),2),IF(A89&gt;$F$8,"",IF(W89&lt;&gt;W88,ROUND(SUM(Y89*$E$12*E88/W89,Z89*$E$12*E88/W88),2),ROUND(E88*$E$12*D89/W88,2))))</f>
        <v/>
      </c>
      <c r="H89" s="173" t="str">
        <f>IF(AND(A88="",A90=""),"",IF(A89="",ROUND(SUM($H$28:H88),2),IF(A89=$D$8,$H$27-ROUND(SUM($H$28:H88),2),ROUND($H$27/$D$8,2))))</f>
        <v/>
      </c>
      <c r="I89" s="173" t="str">
        <f t="shared" si="26"/>
        <v/>
      </c>
      <c r="J89" s="173" t="str">
        <f t="shared" si="27"/>
        <v/>
      </c>
      <c r="K89" s="173" t="str">
        <f t="shared" ref="K89:K96" si="39">IF(A88=$D$8,$K$27,"")</f>
        <v/>
      </c>
      <c r="L89" s="173" t="str">
        <f t="shared" ref="L89:L104" si="40">IF(A88=$F$8,$L$27,"")</f>
        <v/>
      </c>
      <c r="M89" s="173" t="str">
        <f t="shared" si="31"/>
        <v/>
      </c>
      <c r="N89" s="173" t="str">
        <f t="shared" si="32"/>
        <v/>
      </c>
      <c r="O89" s="173" t="str">
        <f t="shared" si="33"/>
        <v/>
      </c>
      <c r="P89" s="173" t="str">
        <f t="shared" si="24"/>
        <v/>
      </c>
      <c r="Q89" s="173" t="str">
        <f t="shared" ref="Q89:Q99" si="41">IF(A88=$D$8,$Q$27,"")</f>
        <v/>
      </c>
      <c r="R89" s="173" t="str">
        <f t="shared" si="29"/>
        <v/>
      </c>
      <c r="S89" s="176" t="str">
        <f>IF(A88=$D$8,XIRR(U$27:U88,C$27:C88),"")</f>
        <v/>
      </c>
      <c r="T89" s="173" t="str">
        <f t="shared" si="4"/>
        <v/>
      </c>
      <c r="U89" s="173">
        <f t="shared" si="15"/>
        <v>0</v>
      </c>
      <c r="V89" s="141" t="e">
        <f t="shared" ca="1" si="5"/>
        <v>#VALUE!</v>
      </c>
      <c r="W89" s="141" t="e">
        <f t="shared" ca="1" si="11"/>
        <v>#VALUE!</v>
      </c>
      <c r="X89" s="141" t="e">
        <f t="shared" ca="1" si="6"/>
        <v>#VALUE!</v>
      </c>
      <c r="Y89" s="177" t="e">
        <f t="shared" ca="1" si="37"/>
        <v>#VALUE!</v>
      </c>
      <c r="Z89" s="178" t="e">
        <f t="shared" ca="1" si="7"/>
        <v>#VALUE!</v>
      </c>
      <c r="AA89" s="141">
        <v>62</v>
      </c>
    </row>
    <row r="90" spans="1:27" x14ac:dyDescent="0.35">
      <c r="A90" s="175" t="str">
        <f t="shared" si="13"/>
        <v/>
      </c>
      <c r="B90" s="172">
        <f t="shared" ca="1" si="8"/>
        <v>47113</v>
      </c>
      <c r="C90" s="172" t="str">
        <f t="shared" ca="1" si="9"/>
        <v xml:space="preserve"> </v>
      </c>
      <c r="D90" s="175" t="str">
        <f t="shared" si="25"/>
        <v/>
      </c>
      <c r="E90" s="173" t="e">
        <f t="shared" si="38"/>
        <v>#VALUE!</v>
      </c>
      <c r="F90" s="173" t="str">
        <f>IF(A89=$D$8,SUM(F$28:F89),IF(A89&gt;$D$8,"",G90+H90))</f>
        <v/>
      </c>
      <c r="G90" s="173" t="str">
        <f>IF(A89=$D$8,ROUND(SUM($G$28:G89),2),IF(A90&gt;$F$8,"",IF(W90&lt;&gt;W89,ROUND(SUM(Y90*$E$12*E89/W90,Z90*$E$12*E89/W89),2),ROUND(E89*$E$12*D90/W89,2))))</f>
        <v/>
      </c>
      <c r="H90" s="173" t="str">
        <f>IF(AND(A89="",A91=""),"",IF(A90="",ROUND(SUM($H$28:H89),2),IF(A90=$D$8,$H$27-ROUND(SUM($H$28:H89),2),ROUND($H$27/$D$8,2))))</f>
        <v/>
      </c>
      <c r="I90" s="173" t="str">
        <f t="shared" si="26"/>
        <v/>
      </c>
      <c r="J90" s="173" t="str">
        <f t="shared" si="27"/>
        <v/>
      </c>
      <c r="K90" s="173" t="str">
        <f t="shared" si="39"/>
        <v/>
      </c>
      <c r="L90" s="173" t="str">
        <f t="shared" si="40"/>
        <v/>
      </c>
      <c r="M90" s="173" t="str">
        <f t="shared" si="31"/>
        <v/>
      </c>
      <c r="N90" s="173" t="str">
        <f t="shared" si="32"/>
        <v/>
      </c>
      <c r="O90" s="173" t="str">
        <f t="shared" si="33"/>
        <v/>
      </c>
      <c r="P90" s="173" t="str">
        <f t="shared" si="24"/>
        <v/>
      </c>
      <c r="Q90" s="173" t="str">
        <f t="shared" si="41"/>
        <v/>
      </c>
      <c r="R90" s="173" t="str">
        <f t="shared" si="29"/>
        <v/>
      </c>
      <c r="S90" s="176" t="str">
        <f>IF(A89=$D$8,XIRR(U$27:U89,C$27:C89),"")</f>
        <v/>
      </c>
      <c r="T90" s="173" t="str">
        <f t="shared" si="4"/>
        <v/>
      </c>
      <c r="U90" s="173">
        <f t="shared" si="15"/>
        <v>0</v>
      </c>
      <c r="V90" s="141" t="e">
        <f t="shared" ca="1" si="5"/>
        <v>#VALUE!</v>
      </c>
      <c r="W90" s="141" t="e">
        <f t="shared" ca="1" si="11"/>
        <v>#VALUE!</v>
      </c>
      <c r="X90" s="141" t="e">
        <f t="shared" ca="1" si="6"/>
        <v>#VALUE!</v>
      </c>
      <c r="Y90" s="177" t="e">
        <f t="shared" ca="1" si="37"/>
        <v>#VALUE!</v>
      </c>
      <c r="Z90" s="178" t="e">
        <f t="shared" ca="1" si="7"/>
        <v>#VALUE!</v>
      </c>
      <c r="AA90" s="141">
        <v>63</v>
      </c>
    </row>
    <row r="91" spans="1:27" x14ac:dyDescent="0.35">
      <c r="A91" s="175" t="str">
        <f t="shared" si="13"/>
        <v/>
      </c>
      <c r="B91" s="172">
        <f t="shared" ca="1" si="8"/>
        <v>47144</v>
      </c>
      <c r="C91" s="172" t="str">
        <f t="shared" ca="1" si="9"/>
        <v xml:space="preserve"> </v>
      </c>
      <c r="D91" s="175" t="str">
        <f t="shared" si="25"/>
        <v/>
      </c>
      <c r="E91" s="173" t="e">
        <f t="shared" si="38"/>
        <v>#VALUE!</v>
      </c>
      <c r="F91" s="173" t="str">
        <f>IF(A90=$D$8,SUM(F$28:F90),IF(A90&gt;$D$8,"",G91+H91))</f>
        <v/>
      </c>
      <c r="G91" s="173" t="str">
        <f>IF(A90=$D$8,ROUND(SUM($G$28:G90),2),IF(A91&gt;$F$8,"",IF(W91&lt;&gt;W90,ROUND(SUM(Y91*$E$12*E90/W91,Z91*$E$12*E90/W90),2),ROUND(E90*$E$12*D91/W90,2))))</f>
        <v/>
      </c>
      <c r="H91" s="173" t="str">
        <f>IF(AND(A90="",A92=""),"",IF(A91="",ROUND(SUM($H$28:H90),2),IF(A91=$D$8,$H$27-ROUND(SUM($H$28:H90),2),ROUND($H$27/$D$8,2))))</f>
        <v/>
      </c>
      <c r="I91" s="173" t="str">
        <f t="shared" si="26"/>
        <v/>
      </c>
      <c r="J91" s="173" t="str">
        <f t="shared" si="27"/>
        <v/>
      </c>
      <c r="K91" s="173" t="str">
        <f t="shared" si="39"/>
        <v/>
      </c>
      <c r="L91" s="173" t="str">
        <f t="shared" si="40"/>
        <v/>
      </c>
      <c r="M91" s="173" t="str">
        <f t="shared" si="31"/>
        <v/>
      </c>
      <c r="N91" s="173" t="str">
        <f t="shared" si="32"/>
        <v/>
      </c>
      <c r="O91" s="173" t="str">
        <f t="shared" si="33"/>
        <v/>
      </c>
      <c r="P91" s="173" t="str">
        <f t="shared" si="24"/>
        <v/>
      </c>
      <c r="Q91" s="173" t="str">
        <f t="shared" si="41"/>
        <v/>
      </c>
      <c r="R91" s="173" t="str">
        <f t="shared" si="29"/>
        <v/>
      </c>
      <c r="S91" s="176" t="str">
        <f>IF(A90=$D$8,XIRR(U$27:U90,C$27:C90),"")</f>
        <v/>
      </c>
      <c r="T91" s="173" t="str">
        <f t="shared" si="4"/>
        <v/>
      </c>
      <c r="U91" s="173">
        <f t="shared" si="15"/>
        <v>0</v>
      </c>
      <c r="V91" s="141" t="e">
        <f t="shared" ca="1" si="5"/>
        <v>#VALUE!</v>
      </c>
      <c r="W91" s="141" t="e">
        <f t="shared" ca="1" si="11"/>
        <v>#VALUE!</v>
      </c>
      <c r="X91" s="141" t="e">
        <f t="shared" ca="1" si="6"/>
        <v>#VALUE!</v>
      </c>
      <c r="Y91" s="177" t="e">
        <f t="shared" ca="1" si="37"/>
        <v>#VALUE!</v>
      </c>
      <c r="Z91" s="178" t="e">
        <f t="shared" ca="1" si="7"/>
        <v>#VALUE!</v>
      </c>
      <c r="AA91" s="141">
        <v>64</v>
      </c>
    </row>
    <row r="92" spans="1:27" x14ac:dyDescent="0.35">
      <c r="A92" s="175" t="str">
        <f t="shared" si="13"/>
        <v/>
      </c>
      <c r="B92" s="172">
        <f t="shared" ca="1" si="8"/>
        <v>47175</v>
      </c>
      <c r="C92" s="172" t="str">
        <f t="shared" ca="1" si="9"/>
        <v xml:space="preserve"> </v>
      </c>
      <c r="D92" s="175" t="str">
        <f t="shared" si="25"/>
        <v/>
      </c>
      <c r="E92" s="173" t="e">
        <f t="shared" ref="E92:E155" si="42">E91-H92</f>
        <v>#VALUE!</v>
      </c>
      <c r="F92" s="173" t="str">
        <f>IF(A91=$D$8,SUM(F$28:F91),IF(A91&gt;$D$8,"",G92+H92))</f>
        <v/>
      </c>
      <c r="G92" s="173" t="str">
        <f>IF(A91=$D$8,ROUND(SUM($G$28:G91),2),IF(A92&gt;$F$8,"",IF(W92&lt;&gt;W91,ROUND(SUM(Y92*$E$12*E91/W92,Z92*$E$12*E91/W91),2),ROUND(E91*$E$12*D92/W91,2))))</f>
        <v/>
      </c>
      <c r="H92" s="173" t="str">
        <f>IF(AND(A91="",A93=""),"",IF(A92="",ROUND(SUM($H$28:H91),2),IF(A92=$D$8,$H$27-ROUND(SUM($H$28:H91),2),ROUND($H$27/$D$8,2))))</f>
        <v/>
      </c>
      <c r="I92" s="173" t="str">
        <f t="shared" si="26"/>
        <v/>
      </c>
      <c r="J92" s="173" t="str">
        <f t="shared" si="27"/>
        <v/>
      </c>
      <c r="K92" s="173" t="str">
        <f t="shared" si="39"/>
        <v/>
      </c>
      <c r="L92" s="173" t="str">
        <f t="shared" si="40"/>
        <v/>
      </c>
      <c r="M92" s="173" t="str">
        <f t="shared" si="31"/>
        <v/>
      </c>
      <c r="N92" s="173" t="str">
        <f t="shared" si="32"/>
        <v/>
      </c>
      <c r="O92" s="173" t="str">
        <f t="shared" si="33"/>
        <v/>
      </c>
      <c r="P92" s="173" t="str">
        <f t="shared" si="24"/>
        <v/>
      </c>
      <c r="Q92" s="173" t="str">
        <f t="shared" si="41"/>
        <v/>
      </c>
      <c r="R92" s="173" t="str">
        <f t="shared" si="29"/>
        <v/>
      </c>
      <c r="S92" s="176" t="str">
        <f>IF(A91=$D$8,XIRR(U$27:U91,C$27:C91),"")</f>
        <v/>
      </c>
      <c r="T92" s="173" t="str">
        <f t="shared" ref="T92:T155" si="43">IF(A91=$D$8,G92+P92+H92+I92+J92+K92+L92+Q92+R92,"")</f>
        <v/>
      </c>
      <c r="U92" s="173">
        <f t="shared" si="15"/>
        <v>0</v>
      </c>
      <c r="V92" s="141" t="e">
        <f t="shared" ref="V92:V155" ca="1" si="44">IF(C92="","",YEAR(C92))</f>
        <v>#VALUE!</v>
      </c>
      <c r="W92" s="141" t="e">
        <f t="shared" ca="1" si="11"/>
        <v>#VALUE!</v>
      </c>
      <c r="X92" s="141" t="e">
        <f t="shared" ref="X92:X155" ca="1" si="45">IF(C92="","",DAY(C92))</f>
        <v>#VALUE!</v>
      </c>
      <c r="Y92" s="177" t="e">
        <f t="shared" ca="1" si="37"/>
        <v>#VALUE!</v>
      </c>
      <c r="Z92" s="178" t="e">
        <f t="shared" ref="Z92:Z155" ca="1" si="46">D92-Y92</f>
        <v>#VALUE!</v>
      </c>
      <c r="AA92" s="141">
        <v>65</v>
      </c>
    </row>
    <row r="93" spans="1:27" x14ac:dyDescent="0.35">
      <c r="A93" s="175" t="str">
        <f t="shared" si="13"/>
        <v/>
      </c>
      <c r="B93" s="172">
        <f t="shared" ref="B93:B156" ca="1" si="47">EDATE($B$27,AA93)</f>
        <v>47203</v>
      </c>
      <c r="C93" s="172" t="str">
        <f t="shared" ref="C93:C156" ca="1" si="48">IF(B93=$D$10,B93-1,(IF(B93&gt;$D$10," ",B93)))</f>
        <v xml:space="preserve"> </v>
      </c>
      <c r="D93" s="175" t="str">
        <f t="shared" si="25"/>
        <v/>
      </c>
      <c r="E93" s="173" t="e">
        <f t="shared" si="42"/>
        <v>#VALUE!</v>
      </c>
      <c r="F93" s="173" t="str">
        <f>IF(A92=$D$8,SUM(F$28:F92),IF(A92&gt;$D$8,"",G93+H93))</f>
        <v/>
      </c>
      <c r="G93" s="173" t="str">
        <f>IF(A92=$D$8,ROUND(SUM($G$28:G92),2),IF(A93&gt;$F$8,"",IF(W93&lt;&gt;W92,ROUND(SUM(Y93*$E$12*E92/W93,Z93*$E$12*E92/W92),2),ROUND(E92*$E$12*D93/W92,2))))</f>
        <v/>
      </c>
      <c r="H93" s="173" t="str">
        <f>IF(AND(A92="",A94=""),"",IF(A93="",ROUND(SUM($H$28:H92),2),IF(A93=$D$8,$H$27-ROUND(SUM($H$28:H92),2),ROUND($H$27/$D$8,2))))</f>
        <v/>
      </c>
      <c r="I93" s="173" t="str">
        <f t="shared" si="26"/>
        <v/>
      </c>
      <c r="J93" s="173" t="str">
        <f t="shared" si="27"/>
        <v/>
      </c>
      <c r="K93" s="173" t="str">
        <f t="shared" si="39"/>
        <v/>
      </c>
      <c r="L93" s="173" t="str">
        <f t="shared" si="40"/>
        <v/>
      </c>
      <c r="M93" s="173" t="str">
        <f t="shared" si="31"/>
        <v/>
      </c>
      <c r="N93" s="173" t="str">
        <f t="shared" si="32"/>
        <v/>
      </c>
      <c r="O93" s="173" t="str">
        <f t="shared" si="33"/>
        <v/>
      </c>
      <c r="P93" s="173" t="str">
        <f t="shared" si="24"/>
        <v/>
      </c>
      <c r="Q93" s="173" t="str">
        <f t="shared" si="41"/>
        <v/>
      </c>
      <c r="R93" s="173" t="str">
        <f t="shared" si="29"/>
        <v/>
      </c>
      <c r="S93" s="176" t="str">
        <f>IF(A92=$D$8,XIRR(U$27:U92,C$27:C92),"")</f>
        <v/>
      </c>
      <c r="T93" s="173" t="str">
        <f t="shared" si="43"/>
        <v/>
      </c>
      <c r="U93" s="173">
        <f t="shared" si="15"/>
        <v>0</v>
      </c>
      <c r="V93" s="141" t="e">
        <f t="shared" ca="1" si="44"/>
        <v>#VALUE!</v>
      </c>
      <c r="W93" s="141" t="e">
        <f t="shared" ref="W93:W156" ca="1" si="49">IF(OR(V93=2024,V93=2028,V93=2016,V93=2020,V93=2024,V93=2028,V93=2032,V93=2036,V93=2040),366,365)</f>
        <v>#VALUE!</v>
      </c>
      <c r="X93" s="141" t="e">
        <f t="shared" ca="1" si="45"/>
        <v>#VALUE!</v>
      </c>
      <c r="Y93" s="177" t="e">
        <f t="shared" ca="1" si="37"/>
        <v>#VALUE!</v>
      </c>
      <c r="Z93" s="178" t="e">
        <f t="shared" ca="1" si="46"/>
        <v>#VALUE!</v>
      </c>
      <c r="AA93" s="141">
        <v>66</v>
      </c>
    </row>
    <row r="94" spans="1:27" x14ac:dyDescent="0.35">
      <c r="A94" s="175" t="str">
        <f t="shared" ref="A94:A157" si="50">IF(A93&lt;$D$8,A93+1,"")</f>
        <v/>
      </c>
      <c r="B94" s="172">
        <f t="shared" ca="1" si="47"/>
        <v>47234</v>
      </c>
      <c r="C94" s="172" t="str">
        <f t="shared" ca="1" si="48"/>
        <v xml:space="preserve"> </v>
      </c>
      <c r="D94" s="175" t="str">
        <f t="shared" si="25"/>
        <v/>
      </c>
      <c r="E94" s="173" t="e">
        <f t="shared" si="42"/>
        <v>#VALUE!</v>
      </c>
      <c r="F94" s="173" t="str">
        <f>IF(A93=$D$8,SUM(F$28:F93),IF(A93&gt;$D$8,"",G94+H94))</f>
        <v/>
      </c>
      <c r="G94" s="173" t="str">
        <f>IF(A93=$D$8,ROUND(SUM($G$28:G93),2),IF(A94&gt;$F$8,"",IF(W94&lt;&gt;W93,ROUND(SUM(Y94*$E$12*E93/W94,Z94*$E$12*E93/W93),2),ROUND(E93*$E$12*D94/W93,2))))</f>
        <v/>
      </c>
      <c r="H94" s="173" t="str">
        <f>IF(AND(A93="",A95=""),"",IF(A94="",ROUND(SUM($H$28:H93),2),IF(A94=$D$8,$H$27-ROUND(SUM($H$28:H93),2),ROUND($H$27/$D$8,2))))</f>
        <v/>
      </c>
      <c r="I94" s="173" t="str">
        <f t="shared" si="26"/>
        <v/>
      </c>
      <c r="J94" s="173" t="str">
        <f t="shared" si="27"/>
        <v/>
      </c>
      <c r="K94" s="173" t="str">
        <f t="shared" si="39"/>
        <v/>
      </c>
      <c r="L94" s="173" t="str">
        <f t="shared" si="40"/>
        <v/>
      </c>
      <c r="M94" s="173" t="str">
        <f t="shared" si="31"/>
        <v/>
      </c>
      <c r="N94" s="173" t="str">
        <f t="shared" si="32"/>
        <v/>
      </c>
      <c r="O94" s="173" t="str">
        <f t="shared" si="33"/>
        <v/>
      </c>
      <c r="P94" s="173" t="str">
        <f t="shared" si="24"/>
        <v/>
      </c>
      <c r="Q94" s="173" t="str">
        <f t="shared" si="41"/>
        <v/>
      </c>
      <c r="R94" s="173" t="str">
        <f t="shared" si="29"/>
        <v/>
      </c>
      <c r="S94" s="176" t="str">
        <f>IF(A93=$D$8,XIRR(U$27:U93,C$27:C93),"")</f>
        <v/>
      </c>
      <c r="T94" s="173" t="str">
        <f t="shared" si="43"/>
        <v/>
      </c>
      <c r="U94" s="173">
        <f t="shared" ref="U94:U157" si="51">SUM(G94:T94)</f>
        <v>0</v>
      </c>
      <c r="V94" s="141" t="e">
        <f t="shared" ca="1" si="44"/>
        <v>#VALUE!</v>
      </c>
      <c r="W94" s="141" t="e">
        <f t="shared" ca="1" si="49"/>
        <v>#VALUE!</v>
      </c>
      <c r="X94" s="141" t="e">
        <f t="shared" ca="1" si="45"/>
        <v>#VALUE!</v>
      </c>
      <c r="Y94" s="177" t="e">
        <f t="shared" ca="1" si="37"/>
        <v>#VALUE!</v>
      </c>
      <c r="Z94" s="178" t="e">
        <f t="shared" ca="1" si="46"/>
        <v>#VALUE!</v>
      </c>
      <c r="AA94" s="141">
        <v>67</v>
      </c>
    </row>
    <row r="95" spans="1:27" x14ac:dyDescent="0.35">
      <c r="A95" s="175" t="str">
        <f t="shared" si="50"/>
        <v/>
      </c>
      <c r="B95" s="172">
        <f t="shared" ca="1" si="47"/>
        <v>47264</v>
      </c>
      <c r="C95" s="172" t="str">
        <f t="shared" ca="1" si="48"/>
        <v xml:space="preserve"> </v>
      </c>
      <c r="D95" s="175" t="str">
        <f t="shared" si="25"/>
        <v/>
      </c>
      <c r="E95" s="173" t="e">
        <f t="shared" si="42"/>
        <v>#VALUE!</v>
      </c>
      <c r="F95" s="173" t="str">
        <f>IF(A94=$D$8,SUM(F$28:F94),IF(A94&gt;$D$8,"",G95+H95))</f>
        <v/>
      </c>
      <c r="G95" s="173" t="str">
        <f>IF(A94=$D$8,ROUND(SUM($G$28:G94),2),IF(A95&gt;$F$8,"",IF(W95&lt;&gt;W94,ROUND(SUM(Y95*$E$12*E94/W95,Z95*$E$12*E94/W94),2),ROUND(E94*$E$12*D95/W94,2))))</f>
        <v/>
      </c>
      <c r="H95" s="173" t="str">
        <f>IF(AND(A94="",A96=""),"",IF(A95="",ROUND(SUM($H$28:H94),2),IF(A95=$D$8,$H$27-ROUND(SUM($H$28:H94),2),ROUND($H$27/$D$8,2))))</f>
        <v/>
      </c>
      <c r="I95" s="173" t="str">
        <f t="shared" si="26"/>
        <v/>
      </c>
      <c r="J95" s="173" t="str">
        <f t="shared" si="27"/>
        <v/>
      </c>
      <c r="K95" s="173" t="str">
        <f t="shared" si="39"/>
        <v/>
      </c>
      <c r="L95" s="173" t="str">
        <f t="shared" si="40"/>
        <v/>
      </c>
      <c r="M95" s="173" t="str">
        <f t="shared" si="31"/>
        <v/>
      </c>
      <c r="N95" s="173" t="str">
        <f t="shared" si="32"/>
        <v/>
      </c>
      <c r="O95" s="173" t="str">
        <f t="shared" si="33"/>
        <v/>
      </c>
      <c r="P95" s="173" t="str">
        <f t="shared" si="24"/>
        <v/>
      </c>
      <c r="Q95" s="173" t="str">
        <f t="shared" si="41"/>
        <v/>
      </c>
      <c r="R95" s="173" t="str">
        <f t="shared" si="29"/>
        <v/>
      </c>
      <c r="S95" s="176" t="str">
        <f>IF(A94=$D$8,XIRR(U$27:U94,C$27:C94),"")</f>
        <v/>
      </c>
      <c r="T95" s="173" t="str">
        <f t="shared" si="43"/>
        <v/>
      </c>
      <c r="U95" s="173">
        <f t="shared" si="51"/>
        <v>0</v>
      </c>
      <c r="V95" s="141" t="e">
        <f t="shared" ca="1" si="44"/>
        <v>#VALUE!</v>
      </c>
      <c r="W95" s="141" t="e">
        <f t="shared" ca="1" si="49"/>
        <v>#VALUE!</v>
      </c>
      <c r="X95" s="141" t="e">
        <f t="shared" ca="1" si="45"/>
        <v>#VALUE!</v>
      </c>
      <c r="Y95" s="177" t="e">
        <f t="shared" ca="1" si="37"/>
        <v>#VALUE!</v>
      </c>
      <c r="Z95" s="178" t="e">
        <f t="shared" ca="1" si="46"/>
        <v>#VALUE!</v>
      </c>
      <c r="AA95" s="141">
        <v>68</v>
      </c>
    </row>
    <row r="96" spans="1:27" x14ac:dyDescent="0.35">
      <c r="A96" s="175" t="str">
        <f t="shared" si="50"/>
        <v/>
      </c>
      <c r="B96" s="172">
        <f t="shared" ca="1" si="47"/>
        <v>47295</v>
      </c>
      <c r="C96" s="172" t="str">
        <f t="shared" ca="1" si="48"/>
        <v xml:space="preserve"> </v>
      </c>
      <c r="D96" s="175" t="str">
        <f t="shared" si="25"/>
        <v/>
      </c>
      <c r="E96" s="173" t="e">
        <f t="shared" si="42"/>
        <v>#VALUE!</v>
      </c>
      <c r="F96" s="173" t="str">
        <f>IF(A95=$D$8,SUM(F$28:F95),IF(A95&gt;$D$8,"",G96+H96))</f>
        <v/>
      </c>
      <c r="G96" s="173" t="str">
        <f>IF(A95=$D$8,ROUND(SUM($G$28:G95),2),IF(A96&gt;$F$8,"",IF(W96&lt;&gt;W95,ROUND(SUM(Y96*$E$12*E95/W96,Z96*$E$12*E95/W95),2),ROUND(E95*$E$12*D96/W95,2))))</f>
        <v/>
      </c>
      <c r="H96" s="173" t="str">
        <f>IF(AND(A95="",A97=""),"",IF(A96="",ROUND(SUM($H$28:H95),2),IF(A96=$D$8,$H$27-ROUND(SUM($H$28:H95),2),ROUND($H$27/$D$8,2))))</f>
        <v/>
      </c>
      <c r="I96" s="173" t="str">
        <f t="shared" si="26"/>
        <v/>
      </c>
      <c r="J96" s="173" t="str">
        <f t="shared" si="27"/>
        <v/>
      </c>
      <c r="K96" s="173" t="str">
        <f t="shared" si="39"/>
        <v/>
      </c>
      <c r="L96" s="173" t="str">
        <f t="shared" si="40"/>
        <v/>
      </c>
      <c r="M96" s="173" t="str">
        <f t="shared" si="31"/>
        <v/>
      </c>
      <c r="N96" s="173" t="str">
        <f t="shared" si="32"/>
        <v/>
      </c>
      <c r="O96" s="173" t="str">
        <f t="shared" si="33"/>
        <v/>
      </c>
      <c r="P96" s="173" t="str">
        <f t="shared" si="24"/>
        <v/>
      </c>
      <c r="Q96" s="173" t="str">
        <f t="shared" si="41"/>
        <v/>
      </c>
      <c r="R96" s="173" t="str">
        <f t="shared" si="29"/>
        <v/>
      </c>
      <c r="S96" s="176" t="str">
        <f>IF(A95=$D$8,XIRR(U$27:U95,C$27:C95),"")</f>
        <v/>
      </c>
      <c r="T96" s="173" t="str">
        <f t="shared" si="43"/>
        <v/>
      </c>
      <c r="U96" s="173">
        <f t="shared" si="51"/>
        <v>0</v>
      </c>
      <c r="V96" s="141" t="e">
        <f t="shared" ca="1" si="44"/>
        <v>#VALUE!</v>
      </c>
      <c r="W96" s="141" t="e">
        <f t="shared" ca="1" si="49"/>
        <v>#VALUE!</v>
      </c>
      <c r="X96" s="141" t="e">
        <f t="shared" ca="1" si="45"/>
        <v>#VALUE!</v>
      </c>
      <c r="Y96" s="177" t="e">
        <f t="shared" ca="1" si="37"/>
        <v>#VALUE!</v>
      </c>
      <c r="Z96" s="178" t="e">
        <f t="shared" ca="1" si="46"/>
        <v>#VALUE!</v>
      </c>
      <c r="AA96" s="141">
        <v>69</v>
      </c>
    </row>
    <row r="97" spans="1:30" x14ac:dyDescent="0.35">
      <c r="A97" s="175" t="str">
        <f t="shared" si="50"/>
        <v/>
      </c>
      <c r="B97" s="172">
        <f t="shared" ca="1" si="47"/>
        <v>47325</v>
      </c>
      <c r="C97" s="172" t="str">
        <f t="shared" ca="1" si="48"/>
        <v xml:space="preserve"> </v>
      </c>
      <c r="D97" s="175" t="str">
        <f t="shared" si="25"/>
        <v/>
      </c>
      <c r="E97" s="173" t="e">
        <f t="shared" si="42"/>
        <v>#VALUE!</v>
      </c>
      <c r="F97" s="173" t="str">
        <f>IF(A96=$D$8,SUM(F$28:F96),IF(A96&gt;$D$8,"",G97+H97))</f>
        <v/>
      </c>
      <c r="G97" s="173" t="str">
        <f>IF(A96=$D$8,ROUND(SUM($G$28:G96),2),IF(A97&gt;$F$8,"",IF(W97&lt;&gt;W96,ROUND(SUM(Y97*$E$12*E96/W97,Z97*$E$12*E96/W96),2),ROUND(E96*$E$12*D97/W96,2))))</f>
        <v/>
      </c>
      <c r="H97" s="173" t="str">
        <f>IF(AND(A96="",A98=""),"",IF(A97="",ROUND(SUM($H$28:H96),2),IF(A97=$D$8,$H$27-ROUND(SUM($H$28:H96),2),ROUND($H$27/$D$8,2))))</f>
        <v/>
      </c>
      <c r="I97" s="173" t="str">
        <f t="shared" si="26"/>
        <v/>
      </c>
      <c r="J97" s="173" t="str">
        <f t="shared" si="27"/>
        <v/>
      </c>
      <c r="K97" s="173" t="str">
        <f t="shared" ref="K97:K99" si="52">IF(A96=$D$8,$K$27,"")</f>
        <v/>
      </c>
      <c r="L97" s="173" t="str">
        <f t="shared" si="40"/>
        <v/>
      </c>
      <c r="M97" s="173" t="str">
        <f t="shared" si="31"/>
        <v/>
      </c>
      <c r="N97" s="173" t="str">
        <f t="shared" si="32"/>
        <v/>
      </c>
      <c r="O97" s="173" t="str">
        <f t="shared" si="33"/>
        <v/>
      </c>
      <c r="P97" s="173" t="str">
        <f t="shared" si="24"/>
        <v/>
      </c>
      <c r="Q97" s="173" t="str">
        <f t="shared" si="41"/>
        <v/>
      </c>
      <c r="R97" s="173" t="str">
        <f t="shared" si="29"/>
        <v/>
      </c>
      <c r="S97" s="176" t="str">
        <f>IF(A96=$D$8,XIRR(U$27:U96,C$27:C96),"")</f>
        <v/>
      </c>
      <c r="T97" s="173" t="str">
        <f t="shared" si="43"/>
        <v/>
      </c>
      <c r="U97" s="173">
        <f t="shared" si="51"/>
        <v>0</v>
      </c>
      <c r="V97" s="141" t="e">
        <f t="shared" ca="1" si="44"/>
        <v>#VALUE!</v>
      </c>
      <c r="W97" s="141" t="e">
        <f t="shared" ca="1" si="49"/>
        <v>#VALUE!</v>
      </c>
      <c r="X97" s="141" t="e">
        <f t="shared" ca="1" si="45"/>
        <v>#VALUE!</v>
      </c>
      <c r="Y97" s="177" t="e">
        <f t="shared" ca="1" si="37"/>
        <v>#VALUE!</v>
      </c>
      <c r="Z97" s="178" t="e">
        <f t="shared" ca="1" si="46"/>
        <v>#VALUE!</v>
      </c>
      <c r="AA97" s="141">
        <v>70</v>
      </c>
    </row>
    <row r="98" spans="1:30" x14ac:dyDescent="0.35">
      <c r="A98" s="175" t="str">
        <f t="shared" si="50"/>
        <v/>
      </c>
      <c r="B98" s="172">
        <f t="shared" ca="1" si="47"/>
        <v>47356</v>
      </c>
      <c r="C98" s="172" t="str">
        <f t="shared" ca="1" si="48"/>
        <v xml:space="preserve"> </v>
      </c>
      <c r="D98" s="175" t="str">
        <f t="shared" si="25"/>
        <v/>
      </c>
      <c r="E98" s="173" t="e">
        <f t="shared" si="42"/>
        <v>#VALUE!</v>
      </c>
      <c r="F98" s="173" t="str">
        <f>IF(A97=$D$8,SUM(F$28:F97),IF(A97&gt;$D$8,"",G98+H98))</f>
        <v/>
      </c>
      <c r="G98" s="173" t="str">
        <f>IF(A97=$D$8,ROUND(SUM($G$28:G97),2),IF(A98&gt;$F$8,"",IF(W98&lt;&gt;W97,ROUND(SUM(Y98*$E$12*E97/W98,Z98*$E$12*E97/W97),2),ROUND(E97*$E$12*D98/W97,2))))</f>
        <v/>
      </c>
      <c r="H98" s="173" t="str">
        <f>IF(AND(A97="",A99=""),"",IF(A98="",ROUND(SUM($H$28:H97),2),IF(A98=$D$8,$H$27-ROUND(SUM($H$28:H97),2),ROUND($H$27/$D$8,2))))</f>
        <v/>
      </c>
      <c r="I98" s="173" t="str">
        <f t="shared" si="26"/>
        <v/>
      </c>
      <c r="J98" s="173" t="str">
        <f t="shared" si="27"/>
        <v/>
      </c>
      <c r="K98" s="173" t="str">
        <f t="shared" si="52"/>
        <v/>
      </c>
      <c r="L98" s="173" t="str">
        <f t="shared" si="40"/>
        <v/>
      </c>
      <c r="M98" s="173" t="str">
        <f t="shared" si="31"/>
        <v/>
      </c>
      <c r="N98" s="173" t="str">
        <f t="shared" si="32"/>
        <v/>
      </c>
      <c r="O98" s="173" t="str">
        <f t="shared" si="33"/>
        <v/>
      </c>
      <c r="P98" s="173" t="str">
        <f t="shared" si="24"/>
        <v/>
      </c>
      <c r="Q98" s="173" t="str">
        <f t="shared" si="41"/>
        <v/>
      </c>
      <c r="R98" s="173" t="str">
        <f t="shared" si="29"/>
        <v/>
      </c>
      <c r="S98" s="176" t="str">
        <f>IF(A97=$D$8,XIRR(U$27:U97,C$27:C97),"")</f>
        <v/>
      </c>
      <c r="T98" s="173" t="str">
        <f t="shared" si="43"/>
        <v/>
      </c>
      <c r="U98" s="173">
        <f t="shared" si="51"/>
        <v>0</v>
      </c>
      <c r="V98" s="141" t="e">
        <f t="shared" ca="1" si="44"/>
        <v>#VALUE!</v>
      </c>
      <c r="W98" s="141" t="e">
        <f t="shared" ca="1" si="49"/>
        <v>#VALUE!</v>
      </c>
      <c r="X98" s="141" t="e">
        <f t="shared" ca="1" si="45"/>
        <v>#VALUE!</v>
      </c>
      <c r="Y98" s="177" t="e">
        <f t="shared" ca="1" si="37"/>
        <v>#VALUE!</v>
      </c>
      <c r="Z98" s="178" t="e">
        <f t="shared" ca="1" si="46"/>
        <v>#VALUE!</v>
      </c>
      <c r="AA98" s="141">
        <v>71</v>
      </c>
    </row>
    <row r="99" spans="1:30" x14ac:dyDescent="0.35">
      <c r="A99" s="175" t="str">
        <f t="shared" si="50"/>
        <v/>
      </c>
      <c r="B99" s="172">
        <f t="shared" ca="1" si="47"/>
        <v>47387</v>
      </c>
      <c r="C99" s="172" t="str">
        <f t="shared" ca="1" si="48"/>
        <v xml:space="preserve"> </v>
      </c>
      <c r="D99" s="175" t="str">
        <f t="shared" si="25"/>
        <v/>
      </c>
      <c r="E99" s="173" t="e">
        <f t="shared" si="42"/>
        <v>#VALUE!</v>
      </c>
      <c r="F99" s="173" t="str">
        <f>IF(A98=$D$8,SUM(F$28:F98),IF(A98&gt;$D$8,"",G99+H99))</f>
        <v/>
      </c>
      <c r="G99" s="173" t="str">
        <f>IF(A98=$D$8,ROUND(SUM($G$28:G98),2),IF(A99&gt;$F$8,"",IF(W99&lt;&gt;W98,ROUND(SUM(Y99*$E$12*E98/W99,Z99*$E$12*E98/W98),2),ROUND(E98*$E$12*D99/W98,2))))</f>
        <v/>
      </c>
      <c r="H99" s="173" t="str">
        <f>IF(AND(A98="",A100=""),"",IF(A99="",ROUND(SUM($H$28:H98),2),IF(A99=$D$8,$H$27-ROUND(SUM($H$28:H98),2),ROUND($H$27/$D$8,2))))</f>
        <v/>
      </c>
      <c r="I99" s="173" t="str">
        <f t="shared" si="26"/>
        <v/>
      </c>
      <c r="J99" s="173" t="str">
        <f t="shared" si="27"/>
        <v/>
      </c>
      <c r="K99" s="173" t="str">
        <f t="shared" si="52"/>
        <v/>
      </c>
      <c r="L99" s="173" t="str">
        <f t="shared" si="40"/>
        <v/>
      </c>
      <c r="M99" s="173" t="str">
        <f t="shared" si="31"/>
        <v/>
      </c>
      <c r="N99" s="173" t="str">
        <f t="shared" si="32"/>
        <v/>
      </c>
      <c r="O99" s="173" t="str">
        <f t="shared" si="33"/>
        <v/>
      </c>
      <c r="P99" s="173" t="str">
        <f t="shared" ref="P99:P162" si="53">IF(A98=$D$8,$P$27,"")</f>
        <v/>
      </c>
      <c r="Q99" s="173" t="str">
        <f t="shared" si="41"/>
        <v/>
      </c>
      <c r="R99" s="173" t="str">
        <f t="shared" si="29"/>
        <v/>
      </c>
      <c r="S99" s="176" t="str">
        <f>IF(A98=$D$8,XIRR(U$27:U98,C$27:C98),"")</f>
        <v/>
      </c>
      <c r="T99" s="173" t="str">
        <f t="shared" si="43"/>
        <v/>
      </c>
      <c r="U99" s="173">
        <f t="shared" si="51"/>
        <v>0</v>
      </c>
      <c r="V99" s="141" t="e">
        <f t="shared" ca="1" si="44"/>
        <v>#VALUE!</v>
      </c>
      <c r="W99" s="141" t="e">
        <f t="shared" ca="1" si="49"/>
        <v>#VALUE!</v>
      </c>
      <c r="X99" s="141" t="e">
        <f t="shared" ca="1" si="45"/>
        <v>#VALUE!</v>
      </c>
      <c r="Y99" s="177" t="e">
        <f t="shared" ca="1" si="37"/>
        <v>#VALUE!</v>
      </c>
      <c r="Z99" s="178" t="e">
        <f t="shared" ca="1" si="46"/>
        <v>#VALUE!</v>
      </c>
      <c r="AA99" s="141">
        <v>72</v>
      </c>
    </row>
    <row r="100" spans="1:30" x14ac:dyDescent="0.35">
      <c r="A100" s="175" t="str">
        <f t="shared" si="50"/>
        <v/>
      </c>
      <c r="B100" s="172">
        <f t="shared" ca="1" si="47"/>
        <v>47417</v>
      </c>
      <c r="C100" s="172" t="str">
        <f t="shared" ca="1" si="48"/>
        <v xml:space="preserve"> </v>
      </c>
      <c r="D100" s="175" t="str">
        <f t="shared" si="25"/>
        <v/>
      </c>
      <c r="E100" s="173" t="e">
        <f t="shared" si="42"/>
        <v>#VALUE!</v>
      </c>
      <c r="F100" s="173" t="str">
        <f>IF(A99=$D$8,SUM(F$28:F99),IF(A99&gt;$D$8,"",G100+H100))</f>
        <v/>
      </c>
      <c r="G100" s="173" t="str">
        <f>IF(A99=$D$8,ROUND(SUM($G$28:G99),2),IF(A100&gt;$F$8,"",IF(W100&lt;&gt;W99,ROUND(SUM(Y100*$E$12*E99/W100,Z100*$E$12*E99/W99),2),ROUND(E99*$E$12*D100/W99,2))))</f>
        <v/>
      </c>
      <c r="H100" s="173" t="str">
        <f>IF(AND(A99="",A101=""),"",IF(A100="",ROUND(SUM($H$28:H99),2),IF(A100=$D$8,$H$27-ROUND(SUM($H$28:H99),2),ROUND($H$27/$D$8,2))))</f>
        <v/>
      </c>
      <c r="I100" s="173" t="str">
        <f t="shared" si="26"/>
        <v/>
      </c>
      <c r="J100" s="173" t="str">
        <f t="shared" si="27"/>
        <v/>
      </c>
      <c r="K100" s="173" t="str">
        <f>IF($F$8&gt;72,($R$14),IF(A99=$F$8,K88+K76+K64+K52+K40+K27,""))</f>
        <v/>
      </c>
      <c r="L100" s="173" t="str">
        <f t="shared" si="40"/>
        <v/>
      </c>
      <c r="M100" s="173" t="str">
        <f t="shared" si="31"/>
        <v/>
      </c>
      <c r="N100" s="173" t="str">
        <f t="shared" si="32"/>
        <v/>
      </c>
      <c r="O100" s="173" t="str">
        <f t="shared" si="33"/>
        <v/>
      </c>
      <c r="P100" s="173" t="str">
        <f t="shared" si="53"/>
        <v/>
      </c>
      <c r="Q100" s="173" t="str">
        <f>IF($F$8&gt;72,($S$8+$S$10),IF($A$99=$F$8,$Q$40+$Q$27+$Q$52+$Q$64+$Q$76+$Q$88,""))</f>
        <v/>
      </c>
      <c r="R100" s="173" t="str">
        <f t="shared" si="29"/>
        <v/>
      </c>
      <c r="S100" s="176" t="str">
        <f>IF(A99=$D$8,XIRR(U$27:U99,C$27:C99),"")</f>
        <v/>
      </c>
      <c r="T100" s="173" t="str">
        <f t="shared" si="43"/>
        <v/>
      </c>
      <c r="U100" s="173">
        <f t="shared" si="51"/>
        <v>0</v>
      </c>
      <c r="V100" s="141" t="e">
        <f t="shared" ca="1" si="44"/>
        <v>#VALUE!</v>
      </c>
      <c r="W100" s="141" t="e">
        <f t="shared" ca="1" si="49"/>
        <v>#VALUE!</v>
      </c>
      <c r="X100" s="141" t="e">
        <f t="shared" ca="1" si="45"/>
        <v>#VALUE!</v>
      </c>
      <c r="Y100" s="177" t="e">
        <f t="shared" ca="1" si="37"/>
        <v>#VALUE!</v>
      </c>
      <c r="Z100" s="178" t="e">
        <f t="shared" ca="1" si="46"/>
        <v>#VALUE!</v>
      </c>
      <c r="AA100" s="141">
        <v>73</v>
      </c>
    </row>
    <row r="101" spans="1:30" x14ac:dyDescent="0.35">
      <c r="A101" s="175" t="str">
        <f t="shared" si="50"/>
        <v/>
      </c>
      <c r="B101" s="172">
        <f t="shared" ca="1" si="47"/>
        <v>47448</v>
      </c>
      <c r="C101" s="172" t="str">
        <f t="shared" ca="1" si="48"/>
        <v xml:space="preserve"> </v>
      </c>
      <c r="D101" s="175" t="str">
        <f t="shared" si="25"/>
        <v/>
      </c>
      <c r="E101" s="173" t="e">
        <f t="shared" si="42"/>
        <v>#VALUE!</v>
      </c>
      <c r="F101" s="173" t="str">
        <f>IF(A100=$D$8,SUM(F$28:F100),IF(A100&gt;$D$8,"",G101+H101))</f>
        <v/>
      </c>
      <c r="G101" s="173" t="str">
        <f>IF(A100=$D$8,ROUND(SUM($G$28:G100),2),IF(A101&gt;$F$8,"",IF(W101&lt;&gt;W100,ROUND(SUM(Y101*$E$12*E100/W101,Z101*$E$12*E100/W100),2),ROUND(E100*$E$12*D101/W100,2))))</f>
        <v/>
      </c>
      <c r="H101" s="173" t="str">
        <f>IF(AND(A100="",A102=""),"",IF(A101="",ROUND(SUM($H$28:H100),2),IF(A101=$D$8,$H$27-ROUND(SUM($H$28:H100),2),ROUND($H$27/$D$8,2))))</f>
        <v/>
      </c>
      <c r="I101" s="173" t="str">
        <f t="shared" si="26"/>
        <v/>
      </c>
      <c r="J101" s="173" t="str">
        <f t="shared" si="27"/>
        <v/>
      </c>
      <c r="K101" s="173" t="str">
        <f t="shared" ref="K101:K111" si="54">IF(A100=$D$8,$K$27,"")</f>
        <v/>
      </c>
      <c r="L101" s="173" t="str">
        <f t="shared" si="40"/>
        <v/>
      </c>
      <c r="M101" s="173" t="str">
        <f t="shared" si="31"/>
        <v/>
      </c>
      <c r="N101" s="173" t="str">
        <f t="shared" si="32"/>
        <v/>
      </c>
      <c r="O101" s="173" t="str">
        <f t="shared" si="33"/>
        <v/>
      </c>
      <c r="P101" s="173" t="str">
        <f t="shared" si="53"/>
        <v/>
      </c>
      <c r="Q101" s="173" t="str">
        <f t="shared" ref="Q101:Q111" si="55">IF(A100=$D$8,$Q$27,"")</f>
        <v/>
      </c>
      <c r="R101" s="173" t="str">
        <f t="shared" si="29"/>
        <v/>
      </c>
      <c r="S101" s="176" t="str">
        <f>IF(A100=$D$8,XIRR(U$27:U100,C$27:C100),"")</f>
        <v/>
      </c>
      <c r="T101" s="173" t="str">
        <f t="shared" si="43"/>
        <v/>
      </c>
      <c r="U101" s="173">
        <f t="shared" si="51"/>
        <v>0</v>
      </c>
      <c r="V101" s="141" t="e">
        <f t="shared" ca="1" si="44"/>
        <v>#VALUE!</v>
      </c>
      <c r="W101" s="141" t="e">
        <f t="shared" ca="1" si="49"/>
        <v>#VALUE!</v>
      </c>
      <c r="X101" s="141" t="e">
        <f t="shared" ca="1" si="45"/>
        <v>#VALUE!</v>
      </c>
      <c r="Y101" s="177" t="e">
        <f t="shared" ca="1" si="37"/>
        <v>#VALUE!</v>
      </c>
      <c r="Z101" s="178" t="e">
        <f t="shared" ca="1" si="46"/>
        <v>#VALUE!</v>
      </c>
      <c r="AA101" s="141">
        <v>74</v>
      </c>
    </row>
    <row r="102" spans="1:30" x14ac:dyDescent="0.35">
      <c r="A102" s="175" t="str">
        <f t="shared" si="50"/>
        <v/>
      </c>
      <c r="B102" s="172">
        <f t="shared" ca="1" si="47"/>
        <v>47478</v>
      </c>
      <c r="C102" s="172" t="str">
        <f t="shared" ca="1" si="48"/>
        <v xml:space="preserve"> </v>
      </c>
      <c r="D102" s="175" t="str">
        <f t="shared" si="25"/>
        <v/>
      </c>
      <c r="E102" s="173" t="e">
        <f t="shared" si="42"/>
        <v>#VALUE!</v>
      </c>
      <c r="F102" s="173" t="str">
        <f>IF(A101=$D$8,SUM(F$28:F101),IF(A101&gt;$D$8,"",G102+H102))</f>
        <v/>
      </c>
      <c r="G102" s="173" t="str">
        <f>IF(A101=$D$8,ROUND(SUM($G$28:G101),2),IF(A102&gt;$F$8,"",IF(W102&lt;&gt;W101,ROUND(SUM(Y102*$E$12*E101/W102,Z102*$E$12*E101/W101),2),ROUND(E101*$E$12*D102/W101,2))))</f>
        <v/>
      </c>
      <c r="H102" s="173" t="str">
        <f>IF(AND(A101="",A103=""),"",IF(A102="",ROUND(SUM($H$28:H101),2),IF(A102=$D$8,$H$27-ROUND(SUM($H$28:H101),2),ROUND($H$27/$D$8,2))))</f>
        <v/>
      </c>
      <c r="I102" s="173" t="str">
        <f t="shared" si="26"/>
        <v/>
      </c>
      <c r="J102" s="173" t="str">
        <f t="shared" si="27"/>
        <v/>
      </c>
      <c r="K102" s="173" t="str">
        <f t="shared" si="54"/>
        <v/>
      </c>
      <c r="L102" s="173" t="str">
        <f t="shared" si="40"/>
        <v/>
      </c>
      <c r="M102" s="173" t="str">
        <f t="shared" si="31"/>
        <v/>
      </c>
      <c r="N102" s="173" t="str">
        <f t="shared" si="32"/>
        <v/>
      </c>
      <c r="O102" s="173" t="str">
        <f t="shared" si="33"/>
        <v/>
      </c>
      <c r="P102" s="173" t="str">
        <f t="shared" si="53"/>
        <v/>
      </c>
      <c r="Q102" s="173" t="str">
        <f t="shared" si="55"/>
        <v/>
      </c>
      <c r="R102" s="173" t="str">
        <f t="shared" si="29"/>
        <v/>
      </c>
      <c r="S102" s="176" t="str">
        <f>IF(A101=$D$8,XIRR(U$27:U101,C$27:C101),"")</f>
        <v/>
      </c>
      <c r="T102" s="173" t="str">
        <f t="shared" si="43"/>
        <v/>
      </c>
      <c r="U102" s="173">
        <f t="shared" si="51"/>
        <v>0</v>
      </c>
      <c r="V102" s="141" t="e">
        <f t="shared" ca="1" si="44"/>
        <v>#VALUE!</v>
      </c>
      <c r="W102" s="141" t="e">
        <f t="shared" ca="1" si="49"/>
        <v>#VALUE!</v>
      </c>
      <c r="X102" s="141" t="e">
        <f t="shared" ca="1" si="45"/>
        <v>#VALUE!</v>
      </c>
      <c r="Y102" s="177" t="e">
        <f t="shared" ca="1" si="37"/>
        <v>#VALUE!</v>
      </c>
      <c r="Z102" s="178" t="e">
        <f t="shared" ca="1" si="46"/>
        <v>#VALUE!</v>
      </c>
      <c r="AA102" s="141">
        <v>75</v>
      </c>
    </row>
    <row r="103" spans="1:30" x14ac:dyDescent="0.35">
      <c r="A103" s="175" t="str">
        <f t="shared" si="50"/>
        <v/>
      </c>
      <c r="B103" s="172">
        <f t="shared" ca="1" si="47"/>
        <v>47509</v>
      </c>
      <c r="C103" s="172" t="str">
        <f t="shared" ca="1" si="48"/>
        <v xml:space="preserve"> </v>
      </c>
      <c r="D103" s="175" t="str">
        <f t="shared" si="25"/>
        <v/>
      </c>
      <c r="E103" s="173" t="e">
        <f t="shared" si="42"/>
        <v>#VALUE!</v>
      </c>
      <c r="F103" s="173" t="str">
        <f>IF(A102=$D$8,SUM(F$28:F102),IF(A102&gt;$D$8,"",G103+H103))</f>
        <v/>
      </c>
      <c r="G103" s="173" t="str">
        <f>IF(A102=$D$8,ROUND(SUM($G$28:G102),2),IF(A103&gt;$F$8,"",IF(W103&lt;&gt;W102,ROUND(SUM(Y103*$E$12*E102/W103,Z103*$E$12*E102/W102),2),ROUND(E102*$E$12*D103/W102,2))))</f>
        <v/>
      </c>
      <c r="H103" s="173" t="str">
        <f>IF(AND(A102="",A104=""),"",IF(A103="",ROUND(SUM($H$28:H102),2),IF(A103=$D$8,$H$27-ROUND(SUM($H$28:H102),2),ROUND($H$27/$D$8,2))))</f>
        <v/>
      </c>
      <c r="I103" s="173" t="str">
        <f t="shared" si="26"/>
        <v/>
      </c>
      <c r="J103" s="173" t="str">
        <f t="shared" si="27"/>
        <v/>
      </c>
      <c r="K103" s="173" t="str">
        <f t="shared" si="54"/>
        <v/>
      </c>
      <c r="L103" s="173" t="str">
        <f t="shared" si="40"/>
        <v/>
      </c>
      <c r="M103" s="173" t="str">
        <f t="shared" si="31"/>
        <v/>
      </c>
      <c r="N103" s="173" t="str">
        <f t="shared" si="32"/>
        <v/>
      </c>
      <c r="O103" s="173" t="str">
        <f t="shared" si="33"/>
        <v/>
      </c>
      <c r="P103" s="173" t="str">
        <f t="shared" si="53"/>
        <v/>
      </c>
      <c r="Q103" s="173" t="str">
        <f t="shared" si="55"/>
        <v/>
      </c>
      <c r="R103" s="173" t="str">
        <f t="shared" si="29"/>
        <v/>
      </c>
      <c r="S103" s="176" t="str">
        <f>IF(A102=$D$8,XIRR(U$27:U102,C$27:C102),"")</f>
        <v/>
      </c>
      <c r="T103" s="173" t="str">
        <f t="shared" si="43"/>
        <v/>
      </c>
      <c r="U103" s="173">
        <f t="shared" si="51"/>
        <v>0</v>
      </c>
      <c r="V103" s="141" t="e">
        <f t="shared" ca="1" si="44"/>
        <v>#VALUE!</v>
      </c>
      <c r="W103" s="141" t="e">
        <f t="shared" ca="1" si="49"/>
        <v>#VALUE!</v>
      </c>
      <c r="X103" s="141" t="e">
        <f t="shared" ca="1" si="45"/>
        <v>#VALUE!</v>
      </c>
      <c r="Y103" s="177" t="e">
        <f t="shared" ca="1" si="37"/>
        <v>#VALUE!</v>
      </c>
      <c r="Z103" s="178" t="e">
        <f t="shared" ca="1" si="46"/>
        <v>#VALUE!</v>
      </c>
      <c r="AA103" s="141">
        <v>76</v>
      </c>
    </row>
    <row r="104" spans="1:30" x14ac:dyDescent="0.35">
      <c r="A104" s="175" t="str">
        <f t="shared" si="50"/>
        <v/>
      </c>
      <c r="B104" s="172">
        <f t="shared" ca="1" si="47"/>
        <v>47540</v>
      </c>
      <c r="C104" s="172" t="str">
        <f t="shared" ca="1" si="48"/>
        <v xml:space="preserve"> </v>
      </c>
      <c r="D104" s="175" t="str">
        <f t="shared" si="25"/>
        <v/>
      </c>
      <c r="E104" s="173" t="e">
        <f t="shared" si="42"/>
        <v>#VALUE!</v>
      </c>
      <c r="F104" s="173" t="str">
        <f>IF(A103=$D$8,SUM(F$28:F103),IF(A103&gt;$D$8,"",G104+H104))</f>
        <v/>
      </c>
      <c r="G104" s="173" t="str">
        <f>IF(A103=$D$8,ROUND(SUM($G$28:G103),2),IF(A104&gt;$F$8,"",IF(W104&lt;&gt;W103,ROUND(SUM(Y104*$E$12*E103/W104,Z104*$E$12*E103/W103),2),ROUND(E103*$E$12*D104/W103,2))))</f>
        <v/>
      </c>
      <c r="H104" s="173" t="str">
        <f>IF(AND(A103="",A105=""),"",IF(A104="",ROUND(SUM($H$28:H103),2),IF(A104=$D$8,$H$27-ROUND(SUM($H$28:H103),2),ROUND($H$27/$D$8,2))))</f>
        <v/>
      </c>
      <c r="I104" s="173" t="str">
        <f t="shared" si="26"/>
        <v/>
      </c>
      <c r="J104" s="173" t="str">
        <f t="shared" si="27"/>
        <v/>
      </c>
      <c r="K104" s="173" t="str">
        <f t="shared" si="54"/>
        <v/>
      </c>
      <c r="L104" s="173" t="str">
        <f t="shared" si="40"/>
        <v/>
      </c>
      <c r="M104" s="173" t="str">
        <f t="shared" si="31"/>
        <v/>
      </c>
      <c r="N104" s="173" t="str">
        <f t="shared" si="32"/>
        <v/>
      </c>
      <c r="O104" s="173" t="str">
        <f t="shared" si="33"/>
        <v/>
      </c>
      <c r="P104" s="173" t="str">
        <f t="shared" si="53"/>
        <v/>
      </c>
      <c r="Q104" s="173" t="str">
        <f t="shared" si="55"/>
        <v/>
      </c>
      <c r="R104" s="173" t="str">
        <f t="shared" si="29"/>
        <v/>
      </c>
      <c r="S104" s="176" t="str">
        <f>IF(A103=$D$8,XIRR(U$27:U103,C$27:C103),"")</f>
        <v/>
      </c>
      <c r="T104" s="173" t="str">
        <f t="shared" si="43"/>
        <v/>
      </c>
      <c r="U104" s="173">
        <f t="shared" si="51"/>
        <v>0</v>
      </c>
      <c r="V104" s="141" t="e">
        <f t="shared" ca="1" si="44"/>
        <v>#VALUE!</v>
      </c>
      <c r="W104" s="141" t="e">
        <f t="shared" ca="1" si="49"/>
        <v>#VALUE!</v>
      </c>
      <c r="X104" s="141" t="e">
        <f t="shared" ca="1" si="45"/>
        <v>#VALUE!</v>
      </c>
      <c r="Y104" s="177" t="e">
        <f t="shared" ca="1" si="37"/>
        <v>#VALUE!</v>
      </c>
      <c r="Z104" s="178" t="e">
        <f t="shared" ca="1" si="46"/>
        <v>#VALUE!</v>
      </c>
      <c r="AA104" s="141">
        <v>77</v>
      </c>
    </row>
    <row r="105" spans="1:30" x14ac:dyDescent="0.35">
      <c r="A105" s="175" t="str">
        <f t="shared" si="50"/>
        <v/>
      </c>
      <c r="B105" s="172">
        <f t="shared" ca="1" si="47"/>
        <v>47568</v>
      </c>
      <c r="C105" s="172" t="str">
        <f t="shared" ca="1" si="48"/>
        <v xml:space="preserve"> </v>
      </c>
      <c r="D105" s="175" t="str">
        <f t="shared" ref="D105:D168" si="56">IF(A105&gt;$D$8,"",C105-C104)</f>
        <v/>
      </c>
      <c r="E105" s="173" t="e">
        <f t="shared" si="42"/>
        <v>#VALUE!</v>
      </c>
      <c r="F105" s="173" t="str">
        <f>IF(A104=$D$8,SUM(F$28:F104),IF(A104&gt;$D$8,"",G105+H105))</f>
        <v/>
      </c>
      <c r="G105" s="173" t="str">
        <f>IF(A104=$D$8,ROUND(SUM($G$28:G104),2),IF(A105&gt;$F$8,"",IF(W105&lt;&gt;W104,ROUND(SUM(Y105*$E$12*E104/W105,Z105*$E$12*E104/W104),2),ROUND(E104*$E$12*D105/W104,2))))</f>
        <v/>
      </c>
      <c r="H105" s="173" t="str">
        <f>IF(AND(A104="",A106=""),"",IF(A105="",ROUND(SUM($H$28:H104),2),IF(A105=$D$8,$H$27-ROUND(SUM($H$28:H104),2),ROUND($H$27/$D$8,2))))</f>
        <v/>
      </c>
      <c r="I105" s="173" t="str">
        <f t="shared" ref="I105:I168" si="57">IF(A104=$F$8,$I$27,"")</f>
        <v/>
      </c>
      <c r="J105" s="173" t="str">
        <f t="shared" ref="J105:J168" si="58">IF(A104=$F$8,$J$27,"")</f>
        <v/>
      </c>
      <c r="K105" s="173" t="str">
        <f t="shared" si="54"/>
        <v/>
      </c>
      <c r="L105" s="173" t="str">
        <f t="shared" ref="L105:L168" si="59">IF(A104=$F$8,$L$27,"")</f>
        <v/>
      </c>
      <c r="M105" s="173" t="str">
        <f t="shared" si="31"/>
        <v/>
      </c>
      <c r="N105" s="173" t="str">
        <f t="shared" si="32"/>
        <v/>
      </c>
      <c r="O105" s="173" t="str">
        <f t="shared" si="33"/>
        <v/>
      </c>
      <c r="P105" s="173" t="str">
        <f t="shared" si="53"/>
        <v/>
      </c>
      <c r="Q105" s="173" t="str">
        <f t="shared" si="55"/>
        <v/>
      </c>
      <c r="R105" s="173" t="str">
        <f t="shared" ref="R105:R168" si="60">IF(A104=$D$8,$R$27,"")</f>
        <v/>
      </c>
      <c r="S105" s="176" t="str">
        <f>IF(A104=$D$8,XIRR(U$27:U104,C$27:C104),"")</f>
        <v/>
      </c>
      <c r="T105" s="173" t="str">
        <f t="shared" si="43"/>
        <v/>
      </c>
      <c r="U105" s="173">
        <f t="shared" si="51"/>
        <v>0</v>
      </c>
      <c r="V105" s="141" t="e">
        <f t="shared" ca="1" si="44"/>
        <v>#VALUE!</v>
      </c>
      <c r="W105" s="141" t="e">
        <f t="shared" ca="1" si="49"/>
        <v>#VALUE!</v>
      </c>
      <c r="X105" s="141" t="e">
        <f t="shared" ca="1" si="45"/>
        <v>#VALUE!</v>
      </c>
      <c r="Y105" s="177" t="e">
        <f t="shared" ca="1" si="37"/>
        <v>#VALUE!</v>
      </c>
      <c r="Z105" s="178" t="e">
        <f t="shared" ca="1" si="46"/>
        <v>#VALUE!</v>
      </c>
      <c r="AA105" s="141">
        <v>78</v>
      </c>
    </row>
    <row r="106" spans="1:30" x14ac:dyDescent="0.35">
      <c r="A106" s="175" t="str">
        <f t="shared" si="50"/>
        <v/>
      </c>
      <c r="B106" s="172">
        <f t="shared" ca="1" si="47"/>
        <v>47599</v>
      </c>
      <c r="C106" s="172" t="str">
        <f t="shared" ca="1" si="48"/>
        <v xml:space="preserve"> </v>
      </c>
      <c r="D106" s="175" t="str">
        <f t="shared" si="56"/>
        <v/>
      </c>
      <c r="E106" s="173" t="e">
        <f t="shared" si="42"/>
        <v>#VALUE!</v>
      </c>
      <c r="F106" s="173" t="str">
        <f>IF(A105=$D$8,SUM(F$28:F105),IF(A105&gt;$D$8,"",G106+H106))</f>
        <v/>
      </c>
      <c r="G106" s="173" t="str">
        <f>IF(A105=$D$8,ROUND(SUM($G$28:G105),2),IF(A106&gt;$F$8,"",IF(W106&lt;&gt;W105,ROUND(SUM(Y106*$E$12*E105/W106,Z106*$E$12*E105/W105),2),ROUND(E105*$E$12*D106/W105,2))))</f>
        <v/>
      </c>
      <c r="H106" s="173" t="str">
        <f>IF(AND(A105="",A107=""),"",IF(A106="",ROUND(SUM($H$28:H105),2),IF(A106=$D$8,$H$27-ROUND(SUM($H$28:H105),2),ROUND($H$27/$D$8,2))))</f>
        <v/>
      </c>
      <c r="I106" s="173" t="str">
        <f t="shared" si="57"/>
        <v/>
      </c>
      <c r="J106" s="173" t="str">
        <f t="shared" si="58"/>
        <v/>
      </c>
      <c r="K106" s="173" t="str">
        <f t="shared" si="54"/>
        <v/>
      </c>
      <c r="L106" s="173" t="str">
        <f t="shared" si="59"/>
        <v/>
      </c>
      <c r="M106" s="173" t="str">
        <f t="shared" ref="M106:M169" si="61">IF(A105=$F$8,$M$27,"")</f>
        <v/>
      </c>
      <c r="N106" s="173" t="str">
        <f t="shared" ref="N106:N169" si="62">IF(A105=$F$8,$N$27,"")</f>
        <v/>
      </c>
      <c r="O106" s="173" t="str">
        <f t="shared" ref="O106:O169" si="63">IF(A105=$F$8,$O$27,"")</f>
        <v/>
      </c>
      <c r="P106" s="173" t="str">
        <f t="shared" si="53"/>
        <v/>
      </c>
      <c r="Q106" s="173" t="str">
        <f t="shared" si="55"/>
        <v/>
      </c>
      <c r="R106" s="173" t="str">
        <f t="shared" si="60"/>
        <v/>
      </c>
      <c r="S106" s="176" t="str">
        <f>IF(A105=$D$8,XIRR(U$27:U105,C$27:C105),"")</f>
        <v/>
      </c>
      <c r="T106" s="173" t="str">
        <f t="shared" si="43"/>
        <v/>
      </c>
      <c r="U106" s="173">
        <f t="shared" si="51"/>
        <v>0</v>
      </c>
      <c r="V106" s="141" t="e">
        <f t="shared" ca="1" si="44"/>
        <v>#VALUE!</v>
      </c>
      <c r="W106" s="141" t="e">
        <f t="shared" ca="1" si="49"/>
        <v>#VALUE!</v>
      </c>
      <c r="X106" s="141" t="e">
        <f t="shared" ca="1" si="45"/>
        <v>#VALUE!</v>
      </c>
      <c r="Y106" s="177" t="e">
        <f t="shared" ca="1" si="37"/>
        <v>#VALUE!</v>
      </c>
      <c r="Z106" s="178" t="e">
        <f t="shared" ca="1" si="46"/>
        <v>#VALUE!</v>
      </c>
      <c r="AA106" s="141">
        <v>79</v>
      </c>
    </row>
    <row r="107" spans="1:30" x14ac:dyDescent="0.35">
      <c r="A107" s="175" t="str">
        <f t="shared" si="50"/>
        <v/>
      </c>
      <c r="B107" s="172">
        <f t="shared" ca="1" si="47"/>
        <v>47629</v>
      </c>
      <c r="C107" s="172" t="str">
        <f t="shared" ca="1" si="48"/>
        <v xml:space="preserve"> </v>
      </c>
      <c r="D107" s="175" t="str">
        <f t="shared" si="56"/>
        <v/>
      </c>
      <c r="E107" s="173" t="e">
        <f t="shared" si="42"/>
        <v>#VALUE!</v>
      </c>
      <c r="F107" s="173" t="str">
        <f>IF(A106=$D$8,SUM(F$28:F106),IF(A106&gt;$D$8,"",G107+H107))</f>
        <v/>
      </c>
      <c r="G107" s="173" t="str">
        <f>IF(A106=$D$8,ROUND(SUM($G$28:G106),2),IF(A107&gt;$F$8,"",IF(W107&lt;&gt;W106,ROUND(SUM(Y107*$E$12*E106/W107,Z107*$E$12*E106/W106),2),ROUND(E106*$E$12*D107/W106,2))))</f>
        <v/>
      </c>
      <c r="H107" s="173" t="str">
        <f>IF(AND(A106="",A108=""),"",IF(A107="",ROUND(SUM($H$28:H106),2),IF(A107=$D$8,$H$27-ROUND(SUM($H$28:H106),2),ROUND($H$27/$D$8,2))))</f>
        <v/>
      </c>
      <c r="I107" s="173" t="str">
        <f t="shared" si="57"/>
        <v/>
      </c>
      <c r="J107" s="173" t="str">
        <f t="shared" si="58"/>
        <v/>
      </c>
      <c r="K107" s="173" t="str">
        <f t="shared" si="54"/>
        <v/>
      </c>
      <c r="L107" s="173" t="str">
        <f t="shared" si="59"/>
        <v/>
      </c>
      <c r="M107" s="173" t="str">
        <f t="shared" si="61"/>
        <v/>
      </c>
      <c r="N107" s="173" t="str">
        <f t="shared" si="62"/>
        <v/>
      </c>
      <c r="O107" s="173" t="str">
        <f t="shared" si="63"/>
        <v/>
      </c>
      <c r="P107" s="173" t="str">
        <f t="shared" si="53"/>
        <v/>
      </c>
      <c r="Q107" s="173" t="str">
        <f t="shared" si="55"/>
        <v/>
      </c>
      <c r="R107" s="173" t="str">
        <f t="shared" si="60"/>
        <v/>
      </c>
      <c r="S107" s="176" t="str">
        <f>IF(A106=$D$8,XIRR(U$27:U106,C$27:C106),"")</f>
        <v/>
      </c>
      <c r="T107" s="173" t="str">
        <f t="shared" si="43"/>
        <v/>
      </c>
      <c r="U107" s="173">
        <f t="shared" si="51"/>
        <v>0</v>
      </c>
      <c r="V107" s="141" t="e">
        <f t="shared" ca="1" si="44"/>
        <v>#VALUE!</v>
      </c>
      <c r="W107" s="141" t="e">
        <f t="shared" ca="1" si="49"/>
        <v>#VALUE!</v>
      </c>
      <c r="X107" s="141" t="e">
        <f t="shared" ca="1" si="45"/>
        <v>#VALUE!</v>
      </c>
      <c r="Y107" s="177" t="e">
        <f t="shared" ca="1" si="37"/>
        <v>#VALUE!</v>
      </c>
      <c r="Z107" s="178" t="e">
        <f t="shared" ca="1" si="46"/>
        <v>#VALUE!</v>
      </c>
      <c r="AA107" s="141">
        <v>80</v>
      </c>
    </row>
    <row r="108" spans="1:30" x14ac:dyDescent="0.35">
      <c r="A108" s="175" t="str">
        <f t="shared" si="50"/>
        <v/>
      </c>
      <c r="B108" s="172">
        <f t="shared" ca="1" si="47"/>
        <v>47660</v>
      </c>
      <c r="C108" s="172" t="str">
        <f t="shared" ca="1" si="48"/>
        <v xml:space="preserve"> </v>
      </c>
      <c r="D108" s="175" t="str">
        <f t="shared" si="56"/>
        <v/>
      </c>
      <c r="E108" s="173" t="e">
        <f t="shared" si="42"/>
        <v>#VALUE!</v>
      </c>
      <c r="F108" s="173" t="str">
        <f>IF(A107=$D$8,SUM(F$28:F107),IF(A107&gt;$D$8,"",G108+H108))</f>
        <v/>
      </c>
      <c r="G108" s="173" t="str">
        <f>IF(A107=$D$8,ROUND(SUM($G$28:G107),2),IF(A108&gt;$F$8,"",IF(W108&lt;&gt;W107,ROUND(SUM(Y108*$E$12*E107/W108,Z108*$E$12*E107/W107),2),ROUND(E107*$E$12*D108/W107,2))))</f>
        <v/>
      </c>
      <c r="H108" s="173" t="str">
        <f>IF(AND(A107="",A109=""),"",IF(A108="",ROUND(SUM($H$28:H107),2),IF(A108=$D$8,$H$27-ROUND(SUM($H$28:H107),2),ROUND($H$27/$D$8,2))))</f>
        <v/>
      </c>
      <c r="I108" s="173" t="str">
        <f t="shared" si="57"/>
        <v/>
      </c>
      <c r="J108" s="173" t="str">
        <f t="shared" si="58"/>
        <v/>
      </c>
      <c r="K108" s="173" t="str">
        <f t="shared" si="54"/>
        <v/>
      </c>
      <c r="L108" s="173" t="str">
        <f t="shared" si="59"/>
        <v/>
      </c>
      <c r="M108" s="173" t="str">
        <f t="shared" si="61"/>
        <v/>
      </c>
      <c r="N108" s="173" t="str">
        <f t="shared" si="62"/>
        <v/>
      </c>
      <c r="O108" s="173" t="str">
        <f t="shared" si="63"/>
        <v/>
      </c>
      <c r="P108" s="173" t="str">
        <f t="shared" si="53"/>
        <v/>
      </c>
      <c r="Q108" s="173" t="str">
        <f t="shared" si="55"/>
        <v/>
      </c>
      <c r="R108" s="173" t="str">
        <f t="shared" si="60"/>
        <v/>
      </c>
      <c r="S108" s="176" t="str">
        <f>IF(A107=$D$8,XIRR(U$27:U107,C$27:C107),"")</f>
        <v/>
      </c>
      <c r="T108" s="173" t="str">
        <f t="shared" si="43"/>
        <v/>
      </c>
      <c r="U108" s="173">
        <f t="shared" si="51"/>
        <v>0</v>
      </c>
      <c r="V108" s="141" t="e">
        <f t="shared" ca="1" si="44"/>
        <v>#VALUE!</v>
      </c>
      <c r="W108" s="141" t="e">
        <f t="shared" ca="1" si="49"/>
        <v>#VALUE!</v>
      </c>
      <c r="X108" s="141" t="e">
        <f t="shared" ca="1" si="45"/>
        <v>#VALUE!</v>
      </c>
      <c r="Y108" s="177" t="e">
        <f t="shared" ca="1" si="37"/>
        <v>#VALUE!</v>
      </c>
      <c r="Z108" s="178" t="e">
        <f t="shared" ca="1" si="46"/>
        <v>#VALUE!</v>
      </c>
      <c r="AA108" s="141">
        <v>81</v>
      </c>
    </row>
    <row r="109" spans="1:30" x14ac:dyDescent="0.35">
      <c r="A109" s="175" t="str">
        <f t="shared" si="50"/>
        <v/>
      </c>
      <c r="B109" s="172">
        <f t="shared" ca="1" si="47"/>
        <v>47690</v>
      </c>
      <c r="C109" s="172" t="str">
        <f t="shared" ca="1" si="48"/>
        <v xml:space="preserve"> </v>
      </c>
      <c r="D109" s="175" t="str">
        <f t="shared" si="56"/>
        <v/>
      </c>
      <c r="E109" s="173" t="e">
        <f t="shared" si="42"/>
        <v>#VALUE!</v>
      </c>
      <c r="F109" s="173" t="str">
        <f>IF(A108=$D$8,SUM(F$28:F108),IF(A108&gt;$D$8,"",G109+H109))</f>
        <v/>
      </c>
      <c r="G109" s="173" t="str">
        <f>IF(A108=$D$8,ROUND(SUM($G$28:G108),2),IF(A109&gt;$F$8,"",IF(W109&lt;&gt;W108,ROUND(SUM(Y109*$E$12*E108/W109,Z109*$E$12*E108/W108),2),ROUND(E108*$E$12*D109/W108,2))))</f>
        <v/>
      </c>
      <c r="H109" s="173" t="str">
        <f>IF(AND(A108="",A110=""),"",IF(A109="",ROUND(SUM($H$28:H108),2),IF(A109=$D$8,$H$27-ROUND(SUM($H$28:H108),2),ROUND($H$27/$D$8,2))))</f>
        <v/>
      </c>
      <c r="I109" s="173" t="str">
        <f t="shared" si="57"/>
        <v/>
      </c>
      <c r="J109" s="173" t="str">
        <f t="shared" si="58"/>
        <v/>
      </c>
      <c r="K109" s="173" t="str">
        <f t="shared" si="54"/>
        <v/>
      </c>
      <c r="L109" s="173" t="str">
        <f t="shared" si="59"/>
        <v/>
      </c>
      <c r="M109" s="173" t="str">
        <f t="shared" si="61"/>
        <v/>
      </c>
      <c r="N109" s="173" t="str">
        <f t="shared" si="62"/>
        <v/>
      </c>
      <c r="O109" s="173" t="str">
        <f t="shared" si="63"/>
        <v/>
      </c>
      <c r="P109" s="173" t="str">
        <f t="shared" si="53"/>
        <v/>
      </c>
      <c r="Q109" s="173" t="str">
        <f t="shared" si="55"/>
        <v/>
      </c>
      <c r="R109" s="173" t="str">
        <f t="shared" si="60"/>
        <v/>
      </c>
      <c r="S109" s="176" t="str">
        <f>IF(A108=$D$8,XIRR(U$27:U108,C$27:C108),"")</f>
        <v/>
      </c>
      <c r="T109" s="173" t="str">
        <f t="shared" si="43"/>
        <v/>
      </c>
      <c r="U109" s="173">
        <f t="shared" si="51"/>
        <v>0</v>
      </c>
      <c r="V109" s="141" t="e">
        <f t="shared" ca="1" si="44"/>
        <v>#VALUE!</v>
      </c>
      <c r="W109" s="141" t="e">
        <f t="shared" ca="1" si="49"/>
        <v>#VALUE!</v>
      </c>
      <c r="X109" s="141" t="e">
        <f t="shared" ca="1" si="45"/>
        <v>#VALUE!</v>
      </c>
      <c r="Y109" s="177" t="e">
        <f t="shared" ca="1" si="37"/>
        <v>#VALUE!</v>
      </c>
      <c r="Z109" s="178" t="e">
        <f t="shared" ca="1" si="46"/>
        <v>#VALUE!</v>
      </c>
      <c r="AA109" s="141">
        <v>82</v>
      </c>
    </row>
    <row r="110" spans="1:30" x14ac:dyDescent="0.35">
      <c r="A110" s="175" t="str">
        <f t="shared" si="50"/>
        <v/>
      </c>
      <c r="B110" s="172">
        <f t="shared" ca="1" si="47"/>
        <v>47721</v>
      </c>
      <c r="C110" s="172" t="str">
        <f t="shared" ca="1" si="48"/>
        <v xml:space="preserve"> </v>
      </c>
      <c r="D110" s="175" t="str">
        <f t="shared" si="56"/>
        <v/>
      </c>
      <c r="E110" s="173" t="e">
        <f t="shared" si="42"/>
        <v>#VALUE!</v>
      </c>
      <c r="F110" s="173" t="str">
        <f>IF(A109=$D$8,SUM(F$28:F109),IF(A109&gt;$D$8,"",G110+H110))</f>
        <v/>
      </c>
      <c r="G110" s="173" t="str">
        <f>IF(A109=$D$8,ROUND(SUM($G$28:G109),2),IF(A110&gt;$F$8,"",IF(W110&lt;&gt;W109,ROUND(SUM(Y110*$E$12*E109/W110,Z110*$E$12*E109/W109),2),ROUND(E109*$E$12*D110/W109,2))))</f>
        <v/>
      </c>
      <c r="H110" s="173" t="str">
        <f>IF(AND(A109="",A111=""),"",IF(A110="",ROUND(SUM($H$28:H109),2),IF(A110=$D$8,$H$27-ROUND(SUM($H$28:H109),2),ROUND($H$27/$D$8,2))))</f>
        <v/>
      </c>
      <c r="I110" s="173" t="str">
        <f t="shared" si="57"/>
        <v/>
      </c>
      <c r="J110" s="173" t="str">
        <f t="shared" si="58"/>
        <v/>
      </c>
      <c r="K110" s="173" t="str">
        <f t="shared" si="54"/>
        <v/>
      </c>
      <c r="L110" s="173" t="str">
        <f t="shared" si="59"/>
        <v/>
      </c>
      <c r="M110" s="173" t="str">
        <f t="shared" si="61"/>
        <v/>
      </c>
      <c r="N110" s="173" t="str">
        <f t="shared" si="62"/>
        <v/>
      </c>
      <c r="O110" s="173" t="str">
        <f t="shared" si="63"/>
        <v/>
      </c>
      <c r="P110" s="173" t="str">
        <f t="shared" si="53"/>
        <v/>
      </c>
      <c r="Q110" s="173" t="str">
        <f t="shared" si="55"/>
        <v/>
      </c>
      <c r="R110" s="173" t="str">
        <f t="shared" si="60"/>
        <v/>
      </c>
      <c r="S110" s="176" t="str">
        <f>IF(A109=$D$8,XIRR(U$27:U109,C$27:C109),"")</f>
        <v/>
      </c>
      <c r="T110" s="173" t="str">
        <f t="shared" si="43"/>
        <v/>
      </c>
      <c r="U110" s="173">
        <f t="shared" si="51"/>
        <v>0</v>
      </c>
      <c r="V110" s="141" t="e">
        <f t="shared" ca="1" si="44"/>
        <v>#VALUE!</v>
      </c>
      <c r="W110" s="141" t="e">
        <f t="shared" ca="1" si="49"/>
        <v>#VALUE!</v>
      </c>
      <c r="X110" s="141" t="e">
        <f t="shared" ca="1" si="45"/>
        <v>#VALUE!</v>
      </c>
      <c r="Y110" s="177" t="e">
        <f t="shared" ca="1" si="37"/>
        <v>#VALUE!</v>
      </c>
      <c r="Z110" s="178" t="e">
        <f t="shared" ca="1" si="46"/>
        <v>#VALUE!</v>
      </c>
      <c r="AA110" s="141">
        <v>83</v>
      </c>
      <c r="AD110" s="179"/>
    </row>
    <row r="111" spans="1:30" x14ac:dyDescent="0.35">
      <c r="A111" s="175" t="str">
        <f t="shared" si="50"/>
        <v/>
      </c>
      <c r="B111" s="172">
        <f t="shared" ca="1" si="47"/>
        <v>47752</v>
      </c>
      <c r="C111" s="172" t="str">
        <f t="shared" ca="1" si="48"/>
        <v xml:space="preserve"> </v>
      </c>
      <c r="D111" s="175" t="str">
        <f t="shared" si="56"/>
        <v/>
      </c>
      <c r="E111" s="173" t="e">
        <f t="shared" si="42"/>
        <v>#VALUE!</v>
      </c>
      <c r="F111" s="173" t="str">
        <f>IF(A110=$D$8,SUM(F$28:F110),IF(A110&gt;$D$8,"",G111+H111))</f>
        <v/>
      </c>
      <c r="G111" s="173" t="str">
        <f>IF(A110=$D$8,ROUND(SUM($G$28:G110),2),IF(A111&gt;$F$8,"",IF(W111&lt;&gt;W110,ROUND(SUM(Y111*$E$12*E110/W111,Z111*$E$12*E110/W110),2),ROUND(E110*$E$12*D111/W110,2))))</f>
        <v/>
      </c>
      <c r="H111" s="173" t="str">
        <f>IF(AND(A110="",A112=""),"",IF(A111="",ROUND(SUM($H$28:H110),2),IF(A111=$D$8,$H$27-ROUND(SUM($H$28:H110),2),ROUND($H$27/$D$8,2))))</f>
        <v/>
      </c>
      <c r="I111" s="173" t="str">
        <f t="shared" si="57"/>
        <v/>
      </c>
      <c r="J111" s="173" t="str">
        <f t="shared" si="58"/>
        <v/>
      </c>
      <c r="K111" s="173" t="str">
        <f t="shared" si="54"/>
        <v/>
      </c>
      <c r="L111" s="173" t="str">
        <f t="shared" si="59"/>
        <v/>
      </c>
      <c r="M111" s="173" t="str">
        <f t="shared" si="61"/>
        <v/>
      </c>
      <c r="N111" s="173" t="str">
        <f t="shared" si="62"/>
        <v/>
      </c>
      <c r="O111" s="173" t="str">
        <f t="shared" si="63"/>
        <v/>
      </c>
      <c r="P111" s="173" t="str">
        <f t="shared" si="53"/>
        <v/>
      </c>
      <c r="Q111" s="173" t="str">
        <f t="shared" si="55"/>
        <v/>
      </c>
      <c r="R111" s="173" t="str">
        <f t="shared" si="60"/>
        <v/>
      </c>
      <c r="S111" s="176" t="str">
        <f>IF(A110=$D$8,XIRR(U$27:U110,C$27:C110),"")</f>
        <v/>
      </c>
      <c r="T111" s="173" t="str">
        <f t="shared" si="43"/>
        <v/>
      </c>
      <c r="U111" s="173">
        <f t="shared" si="51"/>
        <v>0</v>
      </c>
      <c r="V111" s="141" t="e">
        <f t="shared" ca="1" si="44"/>
        <v>#VALUE!</v>
      </c>
      <c r="W111" s="141" t="e">
        <f t="shared" ca="1" si="49"/>
        <v>#VALUE!</v>
      </c>
      <c r="X111" s="141" t="e">
        <f t="shared" ca="1" si="45"/>
        <v>#VALUE!</v>
      </c>
      <c r="Y111" s="177" t="e">
        <f t="shared" ca="1" si="37"/>
        <v>#VALUE!</v>
      </c>
      <c r="Z111" s="178" t="e">
        <f t="shared" ca="1" si="46"/>
        <v>#VALUE!</v>
      </c>
      <c r="AA111" s="141">
        <v>84</v>
      </c>
    </row>
    <row r="112" spans="1:30" x14ac:dyDescent="0.35">
      <c r="A112" s="175" t="str">
        <f t="shared" si="50"/>
        <v/>
      </c>
      <c r="B112" s="172">
        <f t="shared" ca="1" si="47"/>
        <v>47782</v>
      </c>
      <c r="C112" s="172" t="str">
        <f t="shared" ca="1" si="48"/>
        <v xml:space="preserve"> </v>
      </c>
      <c r="D112" s="175" t="str">
        <f t="shared" si="56"/>
        <v/>
      </c>
      <c r="E112" s="173" t="e">
        <f t="shared" si="42"/>
        <v>#VALUE!</v>
      </c>
      <c r="F112" s="173" t="str">
        <f>IF(A111=$D$8,SUM(F$28:F111),IF(A111&gt;$D$8,"",G112+H112))</f>
        <v/>
      </c>
      <c r="G112" s="173" t="str">
        <f>IF(A111=$D$8,ROUND(SUM($G$28:G111),2),IF(A112&gt;$F$8,"",IF(W112&lt;&gt;W111,ROUND(SUM(Y112*$E$12*E111/W112,Z112*$E$12*E111/W111),2),ROUND(E111*$E$12*D112/W111,2))))</f>
        <v/>
      </c>
      <c r="H112" s="173" t="str">
        <f>IF(AND(A111="",A113=""),"",IF(A112="",ROUND(SUM($H$28:H111),2),IF(A112=$D$8,$H$27-ROUND(SUM($H$28:H111),2),ROUND($H$27/$D$8,2))))</f>
        <v/>
      </c>
      <c r="I112" s="173" t="str">
        <f t="shared" si="57"/>
        <v/>
      </c>
      <c r="J112" s="173" t="str">
        <f t="shared" si="58"/>
        <v/>
      </c>
      <c r="K112" s="173" t="str">
        <f>IF($F$8&gt;84,($R$14),IF(A111=$F$8,K100+K88+K76+K64+K52+K40+K27,""))</f>
        <v/>
      </c>
      <c r="L112" s="173" t="str">
        <f t="shared" si="59"/>
        <v/>
      </c>
      <c r="M112" s="173" t="str">
        <f t="shared" si="61"/>
        <v/>
      </c>
      <c r="N112" s="173" t="str">
        <f t="shared" si="62"/>
        <v/>
      </c>
      <c r="O112" s="173" t="str">
        <f t="shared" si="63"/>
        <v/>
      </c>
      <c r="P112" s="173" t="str">
        <f t="shared" si="53"/>
        <v/>
      </c>
      <c r="Q112" s="173" t="str">
        <f>IF($F$8&gt;84,($S$8+$S$10),IF($A111=$F$8,$Q$40+$Q$27+$Q$52+$Q$64+$Q$76+$Q$88+$Q$100,""))</f>
        <v/>
      </c>
      <c r="R112" s="173" t="str">
        <f t="shared" si="60"/>
        <v/>
      </c>
      <c r="S112" s="176" t="str">
        <f>IF(A111=$D$8,XIRR(U$27:U111,C$27:C111),"")</f>
        <v/>
      </c>
      <c r="T112" s="173" t="str">
        <f t="shared" si="43"/>
        <v/>
      </c>
      <c r="U112" s="173">
        <f t="shared" si="51"/>
        <v>0</v>
      </c>
      <c r="V112" s="141" t="e">
        <f t="shared" ca="1" si="44"/>
        <v>#VALUE!</v>
      </c>
      <c r="W112" s="141" t="e">
        <f t="shared" ca="1" si="49"/>
        <v>#VALUE!</v>
      </c>
      <c r="X112" s="141" t="e">
        <f t="shared" ca="1" si="45"/>
        <v>#VALUE!</v>
      </c>
      <c r="Y112" s="177" t="e">
        <f t="shared" ref="Y112:Y175" ca="1" si="64">X112-1</f>
        <v>#VALUE!</v>
      </c>
      <c r="Z112" s="178" t="e">
        <f t="shared" ca="1" si="46"/>
        <v>#VALUE!</v>
      </c>
      <c r="AA112" s="141">
        <v>85</v>
      </c>
    </row>
    <row r="113" spans="1:27" x14ac:dyDescent="0.35">
      <c r="A113" s="175" t="str">
        <f t="shared" si="50"/>
        <v/>
      </c>
      <c r="B113" s="172">
        <f t="shared" ca="1" si="47"/>
        <v>47813</v>
      </c>
      <c r="C113" s="172" t="str">
        <f t="shared" ca="1" si="48"/>
        <v xml:space="preserve"> </v>
      </c>
      <c r="D113" s="175" t="str">
        <f t="shared" si="56"/>
        <v/>
      </c>
      <c r="E113" s="173" t="e">
        <f t="shared" si="42"/>
        <v>#VALUE!</v>
      </c>
      <c r="F113" s="173" t="str">
        <f>IF(A112=$D$8,SUM(F$28:F112),IF(A112&gt;$D$8,"",G113+H113))</f>
        <v/>
      </c>
      <c r="G113" s="173" t="str">
        <f>IF(A112=$D$8,ROUND(SUM($G$28:G112),2),IF(A113&gt;$F$8,"",IF(W113&lt;&gt;W112,ROUND(SUM(Y113*$E$12*E112/W113,Z113*$E$12*E112/W112),2),ROUND(E112*$E$12*D113/W112,2))))</f>
        <v/>
      </c>
      <c r="H113" s="173" t="str">
        <f>IF(AND(A112="",A114=""),"",IF(A113="",ROUND(SUM($H$28:H112),2),IF(A113=$D$8,$H$27-ROUND(SUM($H$28:H112),2),ROUND($H$27/$D$8,2))))</f>
        <v/>
      </c>
      <c r="I113" s="173" t="str">
        <f t="shared" si="57"/>
        <v/>
      </c>
      <c r="J113" s="173" t="str">
        <f t="shared" si="58"/>
        <v/>
      </c>
      <c r="K113" s="173" t="str">
        <f t="shared" ref="K113:K176" si="65">IF(A112=$D$8,$K$27,"")</f>
        <v/>
      </c>
      <c r="L113" s="173" t="str">
        <f t="shared" si="59"/>
        <v/>
      </c>
      <c r="M113" s="173" t="str">
        <f t="shared" si="61"/>
        <v/>
      </c>
      <c r="N113" s="173" t="str">
        <f t="shared" si="62"/>
        <v/>
      </c>
      <c r="O113" s="173" t="str">
        <f t="shared" si="63"/>
        <v/>
      </c>
      <c r="P113" s="173" t="str">
        <f t="shared" si="53"/>
        <v/>
      </c>
      <c r="Q113" s="173" t="str">
        <f t="shared" ref="Q113:Q123" si="66">IF(A112=$D$8,$Q$27,"")</f>
        <v/>
      </c>
      <c r="R113" s="173" t="str">
        <f t="shared" si="60"/>
        <v/>
      </c>
      <c r="S113" s="176" t="str">
        <f>IF(A112=$D$8,XIRR(U$27:U112,C$27:C112),"")</f>
        <v/>
      </c>
      <c r="T113" s="173" t="str">
        <f t="shared" si="43"/>
        <v/>
      </c>
      <c r="U113" s="173">
        <f t="shared" si="51"/>
        <v>0</v>
      </c>
      <c r="V113" s="141" t="e">
        <f t="shared" ca="1" si="44"/>
        <v>#VALUE!</v>
      </c>
      <c r="W113" s="141" t="e">
        <f t="shared" ca="1" si="49"/>
        <v>#VALUE!</v>
      </c>
      <c r="X113" s="141" t="e">
        <f t="shared" ca="1" si="45"/>
        <v>#VALUE!</v>
      </c>
      <c r="Y113" s="177" t="e">
        <f t="shared" ca="1" si="64"/>
        <v>#VALUE!</v>
      </c>
      <c r="Z113" s="178" t="e">
        <f t="shared" ca="1" si="46"/>
        <v>#VALUE!</v>
      </c>
      <c r="AA113" s="141">
        <v>86</v>
      </c>
    </row>
    <row r="114" spans="1:27" x14ac:dyDescent="0.35">
      <c r="A114" s="175" t="str">
        <f t="shared" si="50"/>
        <v/>
      </c>
      <c r="B114" s="172">
        <f t="shared" ca="1" si="47"/>
        <v>47843</v>
      </c>
      <c r="C114" s="172" t="str">
        <f t="shared" ca="1" si="48"/>
        <v xml:space="preserve"> </v>
      </c>
      <c r="D114" s="175" t="str">
        <f t="shared" si="56"/>
        <v/>
      </c>
      <c r="E114" s="173" t="e">
        <f t="shared" si="42"/>
        <v>#VALUE!</v>
      </c>
      <c r="F114" s="173" t="str">
        <f>IF(A113=$D$8,SUM(F$28:F113),IF(A113&gt;$D$8,"",G114+H114))</f>
        <v/>
      </c>
      <c r="G114" s="173" t="str">
        <f>IF(A113=$D$8,ROUND(SUM($G$28:G113),2),IF(A114&gt;$F$8,"",IF(W114&lt;&gt;W113,ROUND(SUM(Y114*$E$12*E113/W114,Z114*$E$12*E113/W113),2),ROUND(E113*$E$12*D114/W113,2))))</f>
        <v/>
      </c>
      <c r="H114" s="173" t="str">
        <f>IF(AND(A113="",A115=""),"",IF(A114="",ROUND(SUM($H$28:H113),2),IF(A114=$D$8,$H$27-ROUND(SUM($H$28:H113),2),ROUND($H$27/$D$8,2))))</f>
        <v/>
      </c>
      <c r="I114" s="173" t="str">
        <f t="shared" si="57"/>
        <v/>
      </c>
      <c r="J114" s="173" t="str">
        <f t="shared" si="58"/>
        <v/>
      </c>
      <c r="K114" s="173" t="str">
        <f t="shared" si="65"/>
        <v/>
      </c>
      <c r="L114" s="173" t="str">
        <f t="shared" si="59"/>
        <v/>
      </c>
      <c r="M114" s="173" t="str">
        <f t="shared" si="61"/>
        <v/>
      </c>
      <c r="N114" s="173" t="str">
        <f t="shared" si="62"/>
        <v/>
      </c>
      <c r="O114" s="173" t="str">
        <f t="shared" si="63"/>
        <v/>
      </c>
      <c r="P114" s="173" t="str">
        <f t="shared" si="53"/>
        <v/>
      </c>
      <c r="Q114" s="173" t="str">
        <f t="shared" si="66"/>
        <v/>
      </c>
      <c r="R114" s="173" t="str">
        <f t="shared" si="60"/>
        <v/>
      </c>
      <c r="S114" s="176" t="str">
        <f>IF(A113=$D$8,XIRR(U$27:U113,C$27:C113),"")</f>
        <v/>
      </c>
      <c r="T114" s="173" t="str">
        <f t="shared" si="43"/>
        <v/>
      </c>
      <c r="U114" s="173">
        <f t="shared" si="51"/>
        <v>0</v>
      </c>
      <c r="V114" s="141" t="e">
        <f t="shared" ca="1" si="44"/>
        <v>#VALUE!</v>
      </c>
      <c r="W114" s="141" t="e">
        <f t="shared" ca="1" si="49"/>
        <v>#VALUE!</v>
      </c>
      <c r="X114" s="141" t="e">
        <f t="shared" ca="1" si="45"/>
        <v>#VALUE!</v>
      </c>
      <c r="Y114" s="177" t="e">
        <f t="shared" ca="1" si="64"/>
        <v>#VALUE!</v>
      </c>
      <c r="Z114" s="178" t="e">
        <f t="shared" ca="1" si="46"/>
        <v>#VALUE!</v>
      </c>
      <c r="AA114" s="141">
        <v>87</v>
      </c>
    </row>
    <row r="115" spans="1:27" x14ac:dyDescent="0.35">
      <c r="A115" s="175" t="str">
        <f t="shared" si="50"/>
        <v/>
      </c>
      <c r="B115" s="172">
        <f t="shared" ca="1" si="47"/>
        <v>47874</v>
      </c>
      <c r="C115" s="172" t="str">
        <f t="shared" ca="1" si="48"/>
        <v xml:space="preserve"> </v>
      </c>
      <c r="D115" s="175" t="str">
        <f t="shared" si="56"/>
        <v/>
      </c>
      <c r="E115" s="173" t="e">
        <f t="shared" si="42"/>
        <v>#VALUE!</v>
      </c>
      <c r="F115" s="173" t="str">
        <f>IF(A114=$D$8,SUM(F$28:F114),IF(A114&gt;$D$8,"",G115+H115))</f>
        <v/>
      </c>
      <c r="G115" s="173" t="str">
        <f>IF(A114=$D$8,ROUND(SUM($G$28:G114),2),IF(A115&gt;$F$8,"",IF(W115&lt;&gt;W114,ROUND(SUM(Y115*$E$12*E114/W115,Z115*$E$12*E114/W114),2),ROUND(E114*$E$12*D115/W114,2))))</f>
        <v/>
      </c>
      <c r="H115" s="173" t="str">
        <f>IF(AND(A114="",A116=""),"",IF(A115="",ROUND(SUM($H$28:H114),2),IF(A115=$D$8,$H$27-ROUND(SUM($H$28:H114),2),ROUND($H$27/$D$8,2))))</f>
        <v/>
      </c>
      <c r="I115" s="173" t="str">
        <f t="shared" si="57"/>
        <v/>
      </c>
      <c r="J115" s="173" t="str">
        <f t="shared" si="58"/>
        <v/>
      </c>
      <c r="K115" s="173" t="str">
        <f t="shared" si="65"/>
        <v/>
      </c>
      <c r="L115" s="173" t="str">
        <f t="shared" si="59"/>
        <v/>
      </c>
      <c r="M115" s="173" t="str">
        <f t="shared" si="61"/>
        <v/>
      </c>
      <c r="N115" s="173" t="str">
        <f t="shared" si="62"/>
        <v/>
      </c>
      <c r="O115" s="173" t="str">
        <f t="shared" si="63"/>
        <v/>
      </c>
      <c r="P115" s="173" t="str">
        <f t="shared" si="53"/>
        <v/>
      </c>
      <c r="Q115" s="173" t="str">
        <f t="shared" si="66"/>
        <v/>
      </c>
      <c r="R115" s="173" t="str">
        <f t="shared" si="60"/>
        <v/>
      </c>
      <c r="S115" s="176" t="str">
        <f>IF(A114=$D$8,XIRR(U$27:U114,C$27:C114),"")</f>
        <v/>
      </c>
      <c r="T115" s="173" t="str">
        <f t="shared" si="43"/>
        <v/>
      </c>
      <c r="U115" s="173">
        <f t="shared" si="51"/>
        <v>0</v>
      </c>
      <c r="V115" s="141" t="e">
        <f t="shared" ca="1" si="44"/>
        <v>#VALUE!</v>
      </c>
      <c r="W115" s="141" t="e">
        <f t="shared" ca="1" si="49"/>
        <v>#VALUE!</v>
      </c>
      <c r="X115" s="141" t="e">
        <f t="shared" ca="1" si="45"/>
        <v>#VALUE!</v>
      </c>
      <c r="Y115" s="177" t="e">
        <f t="shared" ca="1" si="64"/>
        <v>#VALUE!</v>
      </c>
      <c r="Z115" s="178" t="e">
        <f t="shared" ca="1" si="46"/>
        <v>#VALUE!</v>
      </c>
      <c r="AA115" s="141">
        <v>88</v>
      </c>
    </row>
    <row r="116" spans="1:27" x14ac:dyDescent="0.35">
      <c r="A116" s="175" t="str">
        <f t="shared" si="50"/>
        <v/>
      </c>
      <c r="B116" s="172">
        <f t="shared" ca="1" si="47"/>
        <v>47905</v>
      </c>
      <c r="C116" s="172" t="str">
        <f t="shared" ca="1" si="48"/>
        <v xml:space="preserve"> </v>
      </c>
      <c r="D116" s="175" t="str">
        <f t="shared" si="56"/>
        <v/>
      </c>
      <c r="E116" s="173" t="e">
        <f t="shared" si="42"/>
        <v>#VALUE!</v>
      </c>
      <c r="F116" s="173" t="str">
        <f>IF(A115=$D$8,SUM(F$28:F115),IF(A115&gt;$D$8,"",G116+H116))</f>
        <v/>
      </c>
      <c r="G116" s="173" t="str">
        <f>IF(A115=$D$8,ROUND(SUM($G$28:G115),2),IF(A116&gt;$F$8,"",IF(W116&lt;&gt;W115,ROUND(SUM(Y116*$E$12*E115/W116,Z116*$E$12*E115/W115),2),ROUND(E115*$E$12*D116/W115,2))))</f>
        <v/>
      </c>
      <c r="H116" s="173" t="str">
        <f>IF(AND(A115="",A117=""),"",IF(A116="",ROUND(SUM($H$28:H115),2),IF(A116=$D$8,$H$27-ROUND(SUM($H$28:H115),2),ROUND($H$27/$D$8,2))))</f>
        <v/>
      </c>
      <c r="I116" s="173" t="str">
        <f t="shared" si="57"/>
        <v/>
      </c>
      <c r="J116" s="173" t="str">
        <f t="shared" si="58"/>
        <v/>
      </c>
      <c r="K116" s="173" t="str">
        <f t="shared" si="65"/>
        <v/>
      </c>
      <c r="L116" s="173" t="str">
        <f t="shared" si="59"/>
        <v/>
      </c>
      <c r="M116" s="173" t="str">
        <f t="shared" si="61"/>
        <v/>
      </c>
      <c r="N116" s="173" t="str">
        <f t="shared" si="62"/>
        <v/>
      </c>
      <c r="O116" s="173" t="str">
        <f t="shared" si="63"/>
        <v/>
      </c>
      <c r="P116" s="173" t="str">
        <f t="shared" si="53"/>
        <v/>
      </c>
      <c r="Q116" s="173" t="str">
        <f t="shared" si="66"/>
        <v/>
      </c>
      <c r="R116" s="173" t="str">
        <f t="shared" si="60"/>
        <v/>
      </c>
      <c r="S116" s="176" t="str">
        <f>IF(A115=$D$8,XIRR(U$27:U115,C$27:C115),"")</f>
        <v/>
      </c>
      <c r="T116" s="173" t="str">
        <f t="shared" si="43"/>
        <v/>
      </c>
      <c r="U116" s="173">
        <f t="shared" si="51"/>
        <v>0</v>
      </c>
      <c r="V116" s="141" t="e">
        <f t="shared" ca="1" si="44"/>
        <v>#VALUE!</v>
      </c>
      <c r="W116" s="141" t="e">
        <f t="shared" ca="1" si="49"/>
        <v>#VALUE!</v>
      </c>
      <c r="X116" s="141" t="e">
        <f t="shared" ca="1" si="45"/>
        <v>#VALUE!</v>
      </c>
      <c r="Y116" s="177" t="e">
        <f t="shared" ca="1" si="64"/>
        <v>#VALUE!</v>
      </c>
      <c r="Z116" s="178" t="e">
        <f t="shared" ca="1" si="46"/>
        <v>#VALUE!</v>
      </c>
      <c r="AA116" s="141">
        <v>89</v>
      </c>
    </row>
    <row r="117" spans="1:27" x14ac:dyDescent="0.35">
      <c r="A117" s="175" t="str">
        <f t="shared" si="50"/>
        <v/>
      </c>
      <c r="B117" s="172">
        <f t="shared" ca="1" si="47"/>
        <v>47933</v>
      </c>
      <c r="C117" s="172" t="str">
        <f t="shared" ca="1" si="48"/>
        <v xml:space="preserve"> </v>
      </c>
      <c r="D117" s="175" t="str">
        <f t="shared" si="56"/>
        <v/>
      </c>
      <c r="E117" s="173" t="e">
        <f t="shared" si="42"/>
        <v>#VALUE!</v>
      </c>
      <c r="F117" s="173" t="str">
        <f>IF(A116=$D$8,SUM(F$28:F116),IF(A116&gt;$D$8,"",G117+H117))</f>
        <v/>
      </c>
      <c r="G117" s="173" t="str">
        <f>IF(A116=$D$8,ROUND(SUM($G$28:G116),2),IF(A117&gt;$F$8,"",IF(W117&lt;&gt;W116,ROUND(SUM(Y117*$E$12*E116/W117,Z117*$E$12*E116/W116),2),ROUND(E116*$E$12*D117/W116,2))))</f>
        <v/>
      </c>
      <c r="H117" s="173" t="str">
        <f>IF(AND(A116="",A118=""),"",IF(A117="",ROUND(SUM($H$28:H116),2),IF(A117=$D$8,$H$27-ROUND(SUM($H$28:H116),2),ROUND($H$27/$D$8,2))))</f>
        <v/>
      </c>
      <c r="I117" s="173" t="str">
        <f t="shared" si="57"/>
        <v/>
      </c>
      <c r="J117" s="173" t="str">
        <f t="shared" si="58"/>
        <v/>
      </c>
      <c r="K117" s="173" t="str">
        <f t="shared" si="65"/>
        <v/>
      </c>
      <c r="L117" s="173" t="str">
        <f t="shared" si="59"/>
        <v/>
      </c>
      <c r="M117" s="173" t="str">
        <f t="shared" si="61"/>
        <v/>
      </c>
      <c r="N117" s="173" t="str">
        <f t="shared" si="62"/>
        <v/>
      </c>
      <c r="O117" s="173" t="str">
        <f t="shared" si="63"/>
        <v/>
      </c>
      <c r="P117" s="173" t="str">
        <f t="shared" si="53"/>
        <v/>
      </c>
      <c r="Q117" s="173" t="str">
        <f t="shared" si="66"/>
        <v/>
      </c>
      <c r="R117" s="173" t="str">
        <f t="shared" si="60"/>
        <v/>
      </c>
      <c r="S117" s="176" t="str">
        <f>IF(A116=$D$8,XIRR(U$27:U116,C$27:C116),"")</f>
        <v/>
      </c>
      <c r="T117" s="173" t="str">
        <f t="shared" si="43"/>
        <v/>
      </c>
      <c r="U117" s="173">
        <f t="shared" si="51"/>
        <v>0</v>
      </c>
      <c r="V117" s="141" t="e">
        <f t="shared" ca="1" si="44"/>
        <v>#VALUE!</v>
      </c>
      <c r="W117" s="141" t="e">
        <f t="shared" ca="1" si="49"/>
        <v>#VALUE!</v>
      </c>
      <c r="X117" s="141" t="e">
        <f t="shared" ca="1" si="45"/>
        <v>#VALUE!</v>
      </c>
      <c r="Y117" s="177" t="e">
        <f t="shared" ca="1" si="64"/>
        <v>#VALUE!</v>
      </c>
      <c r="Z117" s="178" t="e">
        <f t="shared" ca="1" si="46"/>
        <v>#VALUE!</v>
      </c>
      <c r="AA117" s="141">
        <v>90</v>
      </c>
    </row>
    <row r="118" spans="1:27" x14ac:dyDescent="0.35">
      <c r="A118" s="175" t="str">
        <f t="shared" si="50"/>
        <v/>
      </c>
      <c r="B118" s="172">
        <f t="shared" ca="1" si="47"/>
        <v>47964</v>
      </c>
      <c r="C118" s="172" t="str">
        <f t="shared" ca="1" si="48"/>
        <v xml:space="preserve"> </v>
      </c>
      <c r="D118" s="175" t="str">
        <f t="shared" si="56"/>
        <v/>
      </c>
      <c r="E118" s="173" t="e">
        <f t="shared" si="42"/>
        <v>#VALUE!</v>
      </c>
      <c r="F118" s="173" t="str">
        <f>IF(A117=$D$8,SUM(F$28:F117),IF(A117&gt;$D$8,"",G118+H118))</f>
        <v/>
      </c>
      <c r="G118" s="173" t="str">
        <f>IF(A117=$D$8,ROUND(SUM($G$28:G117),2),IF(A118&gt;$F$8,"",IF(W118&lt;&gt;W117,ROUND(SUM(Y118*$E$12*E117/W118,Z118*$E$12*E117/W117),2),ROUND(E117*$E$12*D118/W117,2))))</f>
        <v/>
      </c>
      <c r="H118" s="173" t="str">
        <f>IF(AND(A117="",A119=""),"",IF(A118="",ROUND(SUM($H$28:H117),2),IF(A118=$D$8,$H$27-ROUND(SUM($H$28:H117),2),ROUND($H$27/$D$8,2))))</f>
        <v/>
      </c>
      <c r="I118" s="173" t="str">
        <f t="shared" si="57"/>
        <v/>
      </c>
      <c r="J118" s="173" t="str">
        <f t="shared" si="58"/>
        <v/>
      </c>
      <c r="K118" s="173" t="str">
        <f t="shared" si="65"/>
        <v/>
      </c>
      <c r="L118" s="173" t="str">
        <f t="shared" si="59"/>
        <v/>
      </c>
      <c r="M118" s="173" t="str">
        <f t="shared" si="61"/>
        <v/>
      </c>
      <c r="N118" s="173" t="str">
        <f t="shared" si="62"/>
        <v/>
      </c>
      <c r="O118" s="173" t="str">
        <f t="shared" si="63"/>
        <v/>
      </c>
      <c r="P118" s="173" t="str">
        <f t="shared" si="53"/>
        <v/>
      </c>
      <c r="Q118" s="173" t="str">
        <f t="shared" si="66"/>
        <v/>
      </c>
      <c r="R118" s="173" t="str">
        <f t="shared" si="60"/>
        <v/>
      </c>
      <c r="S118" s="176" t="str">
        <f>IF(A117=$D$8,XIRR(U$27:U117,C$27:C117),"")</f>
        <v/>
      </c>
      <c r="T118" s="173" t="str">
        <f t="shared" si="43"/>
        <v/>
      </c>
      <c r="U118" s="173">
        <f t="shared" si="51"/>
        <v>0</v>
      </c>
      <c r="V118" s="141" t="e">
        <f t="shared" ca="1" si="44"/>
        <v>#VALUE!</v>
      </c>
      <c r="W118" s="141" t="e">
        <f t="shared" ca="1" si="49"/>
        <v>#VALUE!</v>
      </c>
      <c r="X118" s="141" t="e">
        <f t="shared" ca="1" si="45"/>
        <v>#VALUE!</v>
      </c>
      <c r="Y118" s="177" t="e">
        <f t="shared" ca="1" si="64"/>
        <v>#VALUE!</v>
      </c>
      <c r="Z118" s="178" t="e">
        <f t="shared" ca="1" si="46"/>
        <v>#VALUE!</v>
      </c>
      <c r="AA118" s="141">
        <v>91</v>
      </c>
    </row>
    <row r="119" spans="1:27" x14ac:dyDescent="0.35">
      <c r="A119" s="175" t="str">
        <f t="shared" si="50"/>
        <v/>
      </c>
      <c r="B119" s="172">
        <f t="shared" ca="1" si="47"/>
        <v>47994</v>
      </c>
      <c r="C119" s="172" t="str">
        <f t="shared" ca="1" si="48"/>
        <v xml:space="preserve"> </v>
      </c>
      <c r="D119" s="175" t="str">
        <f t="shared" si="56"/>
        <v/>
      </c>
      <c r="E119" s="173" t="e">
        <f t="shared" si="42"/>
        <v>#VALUE!</v>
      </c>
      <c r="F119" s="173" t="str">
        <f>IF(A118=$D$8,SUM(F$28:F118),IF(A118&gt;$D$8,"",G119+H119))</f>
        <v/>
      </c>
      <c r="G119" s="173" t="str">
        <f>IF(A118=$D$8,ROUND(SUM($G$28:G118),2),IF(A119&gt;$F$8,"",IF(W119&lt;&gt;W118,ROUND(SUM(Y119*$E$12*E118/W119,Z119*$E$12*E118/W118),2),ROUND(E118*$E$12*D119/W118,2))))</f>
        <v/>
      </c>
      <c r="H119" s="173" t="str">
        <f>IF(AND(A118="",A120=""),"",IF(A119="",ROUND(SUM($H$28:H118),2),IF(A119=$D$8,$H$27-ROUND(SUM($H$28:H118),2),ROUND($H$27/$D$8,2))))</f>
        <v/>
      </c>
      <c r="I119" s="173" t="str">
        <f t="shared" si="57"/>
        <v/>
      </c>
      <c r="J119" s="173" t="str">
        <f t="shared" si="58"/>
        <v/>
      </c>
      <c r="K119" s="173" t="str">
        <f t="shared" si="65"/>
        <v/>
      </c>
      <c r="L119" s="173" t="str">
        <f t="shared" si="59"/>
        <v/>
      </c>
      <c r="M119" s="173" t="str">
        <f t="shared" si="61"/>
        <v/>
      </c>
      <c r="N119" s="173" t="str">
        <f t="shared" si="62"/>
        <v/>
      </c>
      <c r="O119" s="173" t="str">
        <f t="shared" si="63"/>
        <v/>
      </c>
      <c r="P119" s="173" t="str">
        <f t="shared" si="53"/>
        <v/>
      </c>
      <c r="Q119" s="173" t="str">
        <f t="shared" si="66"/>
        <v/>
      </c>
      <c r="R119" s="173" t="str">
        <f t="shared" si="60"/>
        <v/>
      </c>
      <c r="S119" s="176" t="str">
        <f>IF(A118=$D$8,XIRR(U$27:U118,C$27:C118),"")</f>
        <v/>
      </c>
      <c r="T119" s="173" t="str">
        <f t="shared" si="43"/>
        <v/>
      </c>
      <c r="U119" s="173">
        <f t="shared" si="51"/>
        <v>0</v>
      </c>
      <c r="V119" s="141" t="e">
        <f t="shared" ca="1" si="44"/>
        <v>#VALUE!</v>
      </c>
      <c r="W119" s="141" t="e">
        <f t="shared" ca="1" si="49"/>
        <v>#VALUE!</v>
      </c>
      <c r="X119" s="141" t="e">
        <f t="shared" ca="1" si="45"/>
        <v>#VALUE!</v>
      </c>
      <c r="Y119" s="177" t="e">
        <f t="shared" ca="1" si="64"/>
        <v>#VALUE!</v>
      </c>
      <c r="Z119" s="178" t="e">
        <f t="shared" ca="1" si="46"/>
        <v>#VALUE!</v>
      </c>
      <c r="AA119" s="141">
        <v>92</v>
      </c>
    </row>
    <row r="120" spans="1:27" x14ac:dyDescent="0.35">
      <c r="A120" s="175" t="str">
        <f t="shared" si="50"/>
        <v/>
      </c>
      <c r="B120" s="172">
        <f t="shared" ca="1" si="47"/>
        <v>48025</v>
      </c>
      <c r="C120" s="172" t="str">
        <f t="shared" ca="1" si="48"/>
        <v xml:space="preserve"> </v>
      </c>
      <c r="D120" s="175" t="str">
        <f t="shared" si="56"/>
        <v/>
      </c>
      <c r="E120" s="173" t="e">
        <f t="shared" si="42"/>
        <v>#VALUE!</v>
      </c>
      <c r="F120" s="173" t="str">
        <f>IF(A119=$D$8,SUM(F$28:F119),IF(A119&gt;$D$8,"",G120+H120))</f>
        <v/>
      </c>
      <c r="G120" s="173" t="str">
        <f>IF(A119=$D$8,ROUND(SUM($G$28:G119),2),IF(A120&gt;$F$8,"",IF(W120&lt;&gt;W119,ROUND(SUM(Y120*$E$12*E119/W120,Z120*$E$12*E119/W119),2),ROUND(E119*$E$12*D120/W119,2))))</f>
        <v/>
      </c>
      <c r="H120" s="173" t="str">
        <f>IF(AND(A119="",A121=""),"",IF(A120="",ROUND(SUM($H$28:H119),2),IF(A120=$D$8,$H$27-ROUND(SUM($H$28:H119),2),ROUND($H$27/$D$8,2))))</f>
        <v/>
      </c>
      <c r="I120" s="173" t="str">
        <f t="shared" si="57"/>
        <v/>
      </c>
      <c r="J120" s="173" t="str">
        <f t="shared" si="58"/>
        <v/>
      </c>
      <c r="K120" s="173" t="str">
        <f t="shared" si="65"/>
        <v/>
      </c>
      <c r="L120" s="173" t="str">
        <f t="shared" si="59"/>
        <v/>
      </c>
      <c r="M120" s="173" t="str">
        <f t="shared" si="61"/>
        <v/>
      </c>
      <c r="N120" s="173" t="str">
        <f t="shared" si="62"/>
        <v/>
      </c>
      <c r="O120" s="173" t="str">
        <f t="shared" si="63"/>
        <v/>
      </c>
      <c r="P120" s="173" t="str">
        <f t="shared" si="53"/>
        <v/>
      </c>
      <c r="Q120" s="173" t="str">
        <f t="shared" si="66"/>
        <v/>
      </c>
      <c r="R120" s="173" t="str">
        <f t="shared" si="60"/>
        <v/>
      </c>
      <c r="S120" s="176" t="str">
        <f>IF(A119=$D$8,XIRR(U$27:U119,C$27:C119),"")</f>
        <v/>
      </c>
      <c r="T120" s="173" t="str">
        <f t="shared" si="43"/>
        <v/>
      </c>
      <c r="U120" s="173">
        <f t="shared" si="51"/>
        <v>0</v>
      </c>
      <c r="V120" s="141" t="e">
        <f t="shared" ca="1" si="44"/>
        <v>#VALUE!</v>
      </c>
      <c r="W120" s="141" t="e">
        <f t="shared" ca="1" si="49"/>
        <v>#VALUE!</v>
      </c>
      <c r="X120" s="141" t="e">
        <f t="shared" ca="1" si="45"/>
        <v>#VALUE!</v>
      </c>
      <c r="Y120" s="177" t="e">
        <f t="shared" ca="1" si="64"/>
        <v>#VALUE!</v>
      </c>
      <c r="Z120" s="178" t="e">
        <f t="shared" ca="1" si="46"/>
        <v>#VALUE!</v>
      </c>
      <c r="AA120" s="141">
        <v>93</v>
      </c>
    </row>
    <row r="121" spans="1:27" x14ac:dyDescent="0.35">
      <c r="A121" s="175" t="str">
        <f t="shared" si="50"/>
        <v/>
      </c>
      <c r="B121" s="172">
        <f t="shared" ca="1" si="47"/>
        <v>48055</v>
      </c>
      <c r="C121" s="172" t="str">
        <f t="shared" ca="1" si="48"/>
        <v xml:space="preserve"> </v>
      </c>
      <c r="D121" s="175" t="str">
        <f t="shared" si="56"/>
        <v/>
      </c>
      <c r="E121" s="173" t="e">
        <f t="shared" si="42"/>
        <v>#VALUE!</v>
      </c>
      <c r="F121" s="173" t="str">
        <f>IF(A120=$D$8,SUM(F$28:F120),IF(A120&gt;$D$8,"",G121+H121))</f>
        <v/>
      </c>
      <c r="G121" s="173" t="str">
        <f>IF(A120=$D$8,ROUND(SUM($G$28:G120),2),IF(A121&gt;$F$8,"",IF(W121&lt;&gt;W120,ROUND(SUM(Y121*$E$12*E120/W121,Z121*$E$12*E120/W120),2),ROUND(E120*$E$12*D121/W120,2))))</f>
        <v/>
      </c>
      <c r="H121" s="173" t="str">
        <f>IF(AND(A120="",A122=""),"",IF(A121="",ROUND(SUM($H$28:H120),2),IF(A121=$D$8,$H$27-ROUND(SUM($H$28:H120),2),ROUND($H$27/$D$8,2))))</f>
        <v/>
      </c>
      <c r="I121" s="173" t="str">
        <f t="shared" si="57"/>
        <v/>
      </c>
      <c r="J121" s="173" t="str">
        <f t="shared" si="58"/>
        <v/>
      </c>
      <c r="K121" s="173" t="str">
        <f t="shared" si="65"/>
        <v/>
      </c>
      <c r="L121" s="173" t="str">
        <f t="shared" si="59"/>
        <v/>
      </c>
      <c r="M121" s="173" t="str">
        <f t="shared" si="61"/>
        <v/>
      </c>
      <c r="N121" s="173" t="str">
        <f t="shared" si="62"/>
        <v/>
      </c>
      <c r="O121" s="173" t="str">
        <f t="shared" si="63"/>
        <v/>
      </c>
      <c r="P121" s="173" t="str">
        <f t="shared" si="53"/>
        <v/>
      </c>
      <c r="Q121" s="173" t="str">
        <f t="shared" si="66"/>
        <v/>
      </c>
      <c r="R121" s="173" t="str">
        <f t="shared" si="60"/>
        <v/>
      </c>
      <c r="S121" s="176" t="str">
        <f>IF(A120=$D$8,XIRR(U$27:U120,C$27:C120),"")</f>
        <v/>
      </c>
      <c r="T121" s="173" t="str">
        <f t="shared" si="43"/>
        <v/>
      </c>
      <c r="U121" s="173">
        <f t="shared" si="51"/>
        <v>0</v>
      </c>
      <c r="V121" s="141" t="e">
        <f t="shared" ca="1" si="44"/>
        <v>#VALUE!</v>
      </c>
      <c r="W121" s="141" t="e">
        <f t="shared" ca="1" si="49"/>
        <v>#VALUE!</v>
      </c>
      <c r="X121" s="141" t="e">
        <f t="shared" ca="1" si="45"/>
        <v>#VALUE!</v>
      </c>
      <c r="Y121" s="177" t="e">
        <f t="shared" ca="1" si="64"/>
        <v>#VALUE!</v>
      </c>
      <c r="Z121" s="178" t="e">
        <f t="shared" ca="1" si="46"/>
        <v>#VALUE!</v>
      </c>
      <c r="AA121" s="141">
        <v>94</v>
      </c>
    </row>
    <row r="122" spans="1:27" x14ac:dyDescent="0.35">
      <c r="A122" s="175" t="str">
        <f t="shared" si="50"/>
        <v/>
      </c>
      <c r="B122" s="172">
        <f t="shared" ca="1" si="47"/>
        <v>48086</v>
      </c>
      <c r="C122" s="172" t="str">
        <f t="shared" ca="1" si="48"/>
        <v xml:space="preserve"> </v>
      </c>
      <c r="D122" s="175" t="str">
        <f t="shared" si="56"/>
        <v/>
      </c>
      <c r="E122" s="173" t="e">
        <f t="shared" si="42"/>
        <v>#VALUE!</v>
      </c>
      <c r="F122" s="173" t="str">
        <f>IF(A121=$D$8,SUM(F$28:F121),IF(A121&gt;$D$8,"",G122+H122))</f>
        <v/>
      </c>
      <c r="G122" s="173" t="str">
        <f>IF(A121=$D$8,ROUND(SUM($G$28:G121),2),IF(A122&gt;$F$8,"",IF(W122&lt;&gt;W121,ROUND(SUM(Y122*$E$12*E121/W122,Z122*$E$12*E121/W121),2),ROUND(E121*$E$12*D122/W121,2))))</f>
        <v/>
      </c>
      <c r="H122" s="173" t="str">
        <f>IF(AND(A121="",A123=""),"",IF(A122="",ROUND(SUM($H$28:H121),2),IF(A122=$D$8,$H$27-ROUND(SUM($H$28:H121),2),ROUND($H$27/$D$8,2))))</f>
        <v/>
      </c>
      <c r="I122" s="173" t="str">
        <f t="shared" si="57"/>
        <v/>
      </c>
      <c r="J122" s="173" t="str">
        <f t="shared" si="58"/>
        <v/>
      </c>
      <c r="K122" s="173" t="str">
        <f t="shared" si="65"/>
        <v/>
      </c>
      <c r="L122" s="173" t="str">
        <f t="shared" si="59"/>
        <v/>
      </c>
      <c r="M122" s="173" t="str">
        <f t="shared" si="61"/>
        <v/>
      </c>
      <c r="N122" s="173" t="str">
        <f t="shared" si="62"/>
        <v/>
      </c>
      <c r="O122" s="173" t="str">
        <f t="shared" si="63"/>
        <v/>
      </c>
      <c r="P122" s="173" t="str">
        <f t="shared" si="53"/>
        <v/>
      </c>
      <c r="Q122" s="173" t="str">
        <f t="shared" si="66"/>
        <v/>
      </c>
      <c r="R122" s="173" t="str">
        <f t="shared" si="60"/>
        <v/>
      </c>
      <c r="S122" s="176" t="str">
        <f>IF(A121=$D$8,XIRR(U$27:U121,C$27:C121),"")</f>
        <v/>
      </c>
      <c r="T122" s="173" t="str">
        <f t="shared" si="43"/>
        <v/>
      </c>
      <c r="U122" s="173">
        <f t="shared" si="51"/>
        <v>0</v>
      </c>
      <c r="V122" s="141" t="e">
        <f t="shared" ca="1" si="44"/>
        <v>#VALUE!</v>
      </c>
      <c r="W122" s="141" t="e">
        <f t="shared" ca="1" si="49"/>
        <v>#VALUE!</v>
      </c>
      <c r="X122" s="141" t="e">
        <f t="shared" ca="1" si="45"/>
        <v>#VALUE!</v>
      </c>
      <c r="Y122" s="177" t="e">
        <f t="shared" ca="1" si="64"/>
        <v>#VALUE!</v>
      </c>
      <c r="Z122" s="178" t="e">
        <f t="shared" ca="1" si="46"/>
        <v>#VALUE!</v>
      </c>
      <c r="AA122" s="141">
        <v>95</v>
      </c>
    </row>
    <row r="123" spans="1:27" x14ac:dyDescent="0.35">
      <c r="A123" s="175" t="str">
        <f t="shared" si="50"/>
        <v/>
      </c>
      <c r="B123" s="172">
        <f t="shared" ca="1" si="47"/>
        <v>48117</v>
      </c>
      <c r="C123" s="172" t="str">
        <f t="shared" ca="1" si="48"/>
        <v xml:space="preserve"> </v>
      </c>
      <c r="D123" s="175" t="str">
        <f t="shared" si="56"/>
        <v/>
      </c>
      <c r="E123" s="173" t="e">
        <f t="shared" si="42"/>
        <v>#VALUE!</v>
      </c>
      <c r="F123" s="173" t="str">
        <f>IF(A122=$D$8,SUM(F$28:F122),IF(A122&gt;$D$8,"",G123+H123))</f>
        <v/>
      </c>
      <c r="G123" s="173" t="str">
        <f>IF(A122=$D$8,ROUND(SUM($G$28:G122),2),IF(A123&gt;$F$8,"",IF(W123&lt;&gt;W122,ROUND(SUM(Y123*$E$12*E122/W123,Z123*$E$12*E122/W122),2),ROUND(E122*$E$12*D123/W122,2))))</f>
        <v/>
      </c>
      <c r="H123" s="173" t="str">
        <f>IF(AND(A122="",A124=""),"",IF(A123="",ROUND(SUM($H$28:H122),2),IF(A123=$D$8,$H$27-ROUND(SUM($H$28:H122),2),ROUND($H$27/$D$8,2))))</f>
        <v/>
      </c>
      <c r="I123" s="173" t="str">
        <f t="shared" si="57"/>
        <v/>
      </c>
      <c r="J123" s="173" t="str">
        <f t="shared" si="58"/>
        <v/>
      </c>
      <c r="K123" s="173" t="str">
        <f t="shared" si="65"/>
        <v/>
      </c>
      <c r="L123" s="173" t="str">
        <f t="shared" si="59"/>
        <v/>
      </c>
      <c r="M123" s="173" t="str">
        <f t="shared" si="61"/>
        <v/>
      </c>
      <c r="N123" s="173" t="str">
        <f t="shared" si="62"/>
        <v/>
      </c>
      <c r="O123" s="173" t="str">
        <f t="shared" si="63"/>
        <v/>
      </c>
      <c r="P123" s="173" t="str">
        <f t="shared" si="53"/>
        <v/>
      </c>
      <c r="Q123" s="173" t="str">
        <f t="shared" si="66"/>
        <v/>
      </c>
      <c r="R123" s="173" t="str">
        <f t="shared" si="60"/>
        <v/>
      </c>
      <c r="S123" s="176" t="str">
        <f>IF(A122=$D$8,XIRR(U$27:U122,C$27:C122),"")</f>
        <v/>
      </c>
      <c r="T123" s="173" t="str">
        <f t="shared" si="43"/>
        <v/>
      </c>
      <c r="U123" s="173">
        <f t="shared" si="51"/>
        <v>0</v>
      </c>
      <c r="V123" s="141" t="e">
        <f t="shared" ca="1" si="44"/>
        <v>#VALUE!</v>
      </c>
      <c r="W123" s="141" t="e">
        <f t="shared" ca="1" si="49"/>
        <v>#VALUE!</v>
      </c>
      <c r="X123" s="141" t="e">
        <f t="shared" ca="1" si="45"/>
        <v>#VALUE!</v>
      </c>
      <c r="Y123" s="177" t="e">
        <f t="shared" ca="1" si="64"/>
        <v>#VALUE!</v>
      </c>
      <c r="Z123" s="178" t="e">
        <f t="shared" ca="1" si="46"/>
        <v>#VALUE!</v>
      </c>
      <c r="AA123" s="141">
        <v>96</v>
      </c>
    </row>
    <row r="124" spans="1:27" x14ac:dyDescent="0.35">
      <c r="A124" s="175" t="str">
        <f t="shared" si="50"/>
        <v/>
      </c>
      <c r="B124" s="172">
        <f t="shared" ca="1" si="47"/>
        <v>48147</v>
      </c>
      <c r="C124" s="172" t="str">
        <f t="shared" ca="1" si="48"/>
        <v xml:space="preserve"> </v>
      </c>
      <c r="D124" s="175" t="str">
        <f t="shared" si="56"/>
        <v/>
      </c>
      <c r="E124" s="173" t="e">
        <f t="shared" si="42"/>
        <v>#VALUE!</v>
      </c>
      <c r="F124" s="173" t="str">
        <f>IF(A123=$D$8,SUM(F$28:F123),IF(A123&gt;$D$8,"",G124+H124))</f>
        <v/>
      </c>
      <c r="G124" s="173" t="str">
        <f>IF(A123=$D$8,ROUND(SUM($G$28:G123),2),IF(A124&gt;$F$8,"",IF(W124&lt;&gt;W123,ROUND(SUM(Y124*$E$12*E123/W124,Z124*$E$12*E123/W123),2),ROUND(E123*$E$12*D124/W123,2))))</f>
        <v/>
      </c>
      <c r="H124" s="173" t="str">
        <f>IF(AND(A123="",A125=""),"",IF(A124="",ROUND(SUM($H$28:H123),2),IF(A124=$D$8,$H$27-ROUND(SUM($H$28:H123),2),ROUND($H$27/$D$8,2))))</f>
        <v/>
      </c>
      <c r="I124" s="173" t="str">
        <f t="shared" si="57"/>
        <v/>
      </c>
      <c r="J124" s="173" t="str">
        <f t="shared" si="58"/>
        <v/>
      </c>
      <c r="K124" s="173" t="str">
        <f>IF($F$8&gt;96,($R$14),IF(A123=$F$8,K112+K100+K88+K76+K64+K52+K40+K27,""))</f>
        <v/>
      </c>
      <c r="L124" s="173" t="str">
        <f t="shared" si="59"/>
        <v/>
      </c>
      <c r="M124" s="173" t="str">
        <f t="shared" si="61"/>
        <v/>
      </c>
      <c r="N124" s="173" t="str">
        <f t="shared" si="62"/>
        <v/>
      </c>
      <c r="O124" s="173" t="str">
        <f t="shared" si="63"/>
        <v/>
      </c>
      <c r="P124" s="173" t="str">
        <f t="shared" si="53"/>
        <v/>
      </c>
      <c r="Q124" s="173" t="str">
        <f>IF($F$8&gt;96,($S$8+$S$10),IF($A123=$F$8,$Q$40+$Q$27+$Q$52+$Q$64+$Q$76+$Q$88+$Q$100+$Q$112,""))</f>
        <v/>
      </c>
      <c r="R124" s="173" t="str">
        <f t="shared" si="60"/>
        <v/>
      </c>
      <c r="S124" s="176" t="str">
        <f>IF(A123=$D$8,XIRR(U$27:U123,C$27:C123),"")</f>
        <v/>
      </c>
      <c r="T124" s="173" t="str">
        <f t="shared" si="43"/>
        <v/>
      </c>
      <c r="U124" s="173">
        <f t="shared" si="51"/>
        <v>0</v>
      </c>
      <c r="V124" s="141" t="e">
        <f t="shared" ca="1" si="44"/>
        <v>#VALUE!</v>
      </c>
      <c r="W124" s="141" t="e">
        <f t="shared" ca="1" si="49"/>
        <v>#VALUE!</v>
      </c>
      <c r="X124" s="141" t="e">
        <f t="shared" ca="1" si="45"/>
        <v>#VALUE!</v>
      </c>
      <c r="Y124" s="177" t="e">
        <f t="shared" ca="1" si="64"/>
        <v>#VALUE!</v>
      </c>
      <c r="Z124" s="178" t="e">
        <f t="shared" ca="1" si="46"/>
        <v>#VALUE!</v>
      </c>
      <c r="AA124" s="141">
        <v>97</v>
      </c>
    </row>
    <row r="125" spans="1:27" x14ac:dyDescent="0.35">
      <c r="A125" s="175" t="str">
        <f t="shared" si="50"/>
        <v/>
      </c>
      <c r="B125" s="172">
        <f t="shared" ca="1" si="47"/>
        <v>48178</v>
      </c>
      <c r="C125" s="172" t="str">
        <f t="shared" ca="1" si="48"/>
        <v xml:space="preserve"> </v>
      </c>
      <c r="D125" s="175" t="str">
        <f t="shared" si="56"/>
        <v/>
      </c>
      <c r="E125" s="173" t="e">
        <f t="shared" si="42"/>
        <v>#VALUE!</v>
      </c>
      <c r="F125" s="173" t="str">
        <f>IF(A124=$D$8,SUM(F$28:F124),IF(A124&gt;$D$8,"",G125+H125))</f>
        <v/>
      </c>
      <c r="G125" s="173" t="str">
        <f>IF(A124=$D$8,ROUND(SUM($G$28:G124),2),IF(A125&gt;$F$8,"",IF(W125&lt;&gt;W124,ROUND(SUM(Y125*$E$12*E124/W125,Z125*$E$12*E124/W124),2),ROUND(E124*$E$12*D125/W124,2))))</f>
        <v/>
      </c>
      <c r="H125" s="173" t="str">
        <f>IF(AND(A124="",A126=""),"",IF(A125="",ROUND(SUM($H$28:H124),2),IF(A125=$D$8,$H$27-ROUND(SUM($H$28:H124),2),ROUND($H$27/$D$8,2))))</f>
        <v/>
      </c>
      <c r="I125" s="173" t="str">
        <f t="shared" si="57"/>
        <v/>
      </c>
      <c r="J125" s="173" t="str">
        <f t="shared" si="58"/>
        <v/>
      </c>
      <c r="K125" s="173" t="str">
        <f t="shared" si="65"/>
        <v/>
      </c>
      <c r="L125" s="173" t="str">
        <f t="shared" si="59"/>
        <v/>
      </c>
      <c r="M125" s="173" t="str">
        <f t="shared" si="61"/>
        <v/>
      </c>
      <c r="N125" s="173" t="str">
        <f t="shared" si="62"/>
        <v/>
      </c>
      <c r="O125" s="173" t="str">
        <f t="shared" si="63"/>
        <v/>
      </c>
      <c r="P125" s="173" t="str">
        <f t="shared" si="53"/>
        <v/>
      </c>
      <c r="Q125" s="173" t="str">
        <f t="shared" ref="Q125:Q135" si="67">IF(A124=$D$8,$Q$27,"")</f>
        <v/>
      </c>
      <c r="R125" s="173" t="str">
        <f t="shared" si="60"/>
        <v/>
      </c>
      <c r="S125" s="176" t="str">
        <f>IF(A124=$D$8,XIRR(U$27:U124,C$27:C124),"")</f>
        <v/>
      </c>
      <c r="T125" s="173" t="str">
        <f t="shared" si="43"/>
        <v/>
      </c>
      <c r="U125" s="173">
        <f t="shared" si="51"/>
        <v>0</v>
      </c>
      <c r="V125" s="141" t="e">
        <f t="shared" ca="1" si="44"/>
        <v>#VALUE!</v>
      </c>
      <c r="W125" s="141" t="e">
        <f t="shared" ca="1" si="49"/>
        <v>#VALUE!</v>
      </c>
      <c r="X125" s="141" t="e">
        <f t="shared" ca="1" si="45"/>
        <v>#VALUE!</v>
      </c>
      <c r="Y125" s="177" t="e">
        <f t="shared" ca="1" si="64"/>
        <v>#VALUE!</v>
      </c>
      <c r="Z125" s="178" t="e">
        <f t="shared" ca="1" si="46"/>
        <v>#VALUE!</v>
      </c>
      <c r="AA125" s="141">
        <v>98</v>
      </c>
    </row>
    <row r="126" spans="1:27" x14ac:dyDescent="0.35">
      <c r="A126" s="175" t="str">
        <f t="shared" si="50"/>
        <v/>
      </c>
      <c r="B126" s="172">
        <f t="shared" ca="1" si="47"/>
        <v>48208</v>
      </c>
      <c r="C126" s="172" t="str">
        <f t="shared" ca="1" si="48"/>
        <v xml:space="preserve"> </v>
      </c>
      <c r="D126" s="175" t="str">
        <f t="shared" si="56"/>
        <v/>
      </c>
      <c r="E126" s="173" t="e">
        <f t="shared" si="42"/>
        <v>#VALUE!</v>
      </c>
      <c r="F126" s="173" t="str">
        <f>IF(A125=$D$8,SUM(F$28:F125),IF(A125&gt;$D$8,"",G126+H126))</f>
        <v/>
      </c>
      <c r="G126" s="173" t="str">
        <f>IF(A125=$D$8,ROUND(SUM($G$28:G125),2),IF(A126&gt;$F$8,"",IF(W126&lt;&gt;W125,ROUND(SUM(Y126*$E$12*E125/W126,Z126*$E$12*E125/W125),2),ROUND(E125*$E$12*D126/W125,2))))</f>
        <v/>
      </c>
      <c r="H126" s="173" t="str">
        <f>IF(AND(A125="",A127=""),"",IF(A126="",ROUND(SUM($H$28:H125),2),IF(A126=$D$8,$H$27-ROUND(SUM($H$28:H125),2),ROUND($H$27/$D$8,2))))</f>
        <v/>
      </c>
      <c r="I126" s="173" t="str">
        <f t="shared" si="57"/>
        <v/>
      </c>
      <c r="J126" s="173" t="str">
        <f t="shared" si="58"/>
        <v/>
      </c>
      <c r="K126" s="173" t="str">
        <f t="shared" si="65"/>
        <v/>
      </c>
      <c r="L126" s="173" t="str">
        <f t="shared" si="59"/>
        <v/>
      </c>
      <c r="M126" s="173" t="str">
        <f t="shared" si="61"/>
        <v/>
      </c>
      <c r="N126" s="173" t="str">
        <f t="shared" si="62"/>
        <v/>
      </c>
      <c r="O126" s="173" t="str">
        <f t="shared" si="63"/>
        <v/>
      </c>
      <c r="P126" s="173" t="str">
        <f t="shared" si="53"/>
        <v/>
      </c>
      <c r="Q126" s="173" t="str">
        <f t="shared" si="67"/>
        <v/>
      </c>
      <c r="R126" s="173" t="str">
        <f t="shared" si="60"/>
        <v/>
      </c>
      <c r="S126" s="176" t="str">
        <f>IF(A125=$D$8,XIRR(U$27:U125,C$27:C125),"")</f>
        <v/>
      </c>
      <c r="T126" s="173" t="str">
        <f t="shared" si="43"/>
        <v/>
      </c>
      <c r="U126" s="173">
        <f t="shared" si="51"/>
        <v>0</v>
      </c>
      <c r="V126" s="141" t="e">
        <f t="shared" ca="1" si="44"/>
        <v>#VALUE!</v>
      </c>
      <c r="W126" s="141" t="e">
        <f t="shared" ca="1" si="49"/>
        <v>#VALUE!</v>
      </c>
      <c r="X126" s="141" t="e">
        <f t="shared" ca="1" si="45"/>
        <v>#VALUE!</v>
      </c>
      <c r="Y126" s="177" t="e">
        <f t="shared" ca="1" si="64"/>
        <v>#VALUE!</v>
      </c>
      <c r="Z126" s="178" t="e">
        <f t="shared" ca="1" si="46"/>
        <v>#VALUE!</v>
      </c>
      <c r="AA126" s="141">
        <v>99</v>
      </c>
    </row>
    <row r="127" spans="1:27" x14ac:dyDescent="0.35">
      <c r="A127" s="175" t="str">
        <f t="shared" si="50"/>
        <v/>
      </c>
      <c r="B127" s="172">
        <f t="shared" ca="1" si="47"/>
        <v>48239</v>
      </c>
      <c r="C127" s="172" t="str">
        <f t="shared" ca="1" si="48"/>
        <v xml:space="preserve"> </v>
      </c>
      <c r="D127" s="175" t="str">
        <f t="shared" si="56"/>
        <v/>
      </c>
      <c r="E127" s="173" t="e">
        <f t="shared" si="42"/>
        <v>#VALUE!</v>
      </c>
      <c r="F127" s="173" t="str">
        <f>IF(A126=$D$8,SUM(F$28:F126),IF(A126&gt;$D$8,"",G127+H127))</f>
        <v/>
      </c>
      <c r="G127" s="173" t="str">
        <f>IF(A126=$D$8,ROUND(SUM($G$28:G126),2),IF(A127&gt;$F$8,"",IF(W127&lt;&gt;W126,ROUND(SUM(Y127*$E$12*E126/W127,Z127*$E$12*E126/W126),2),ROUND(E126*$E$12*D127/W126,2))))</f>
        <v/>
      </c>
      <c r="H127" s="173" t="str">
        <f>IF(AND(A126="",A128=""),"",IF(A127="",ROUND(SUM($H$28:H126),2),IF(A127=$D$8,$H$27-ROUND(SUM($H$28:H126),2),ROUND($H$27/$D$8,2))))</f>
        <v/>
      </c>
      <c r="I127" s="173" t="str">
        <f t="shared" si="57"/>
        <v/>
      </c>
      <c r="J127" s="173" t="str">
        <f t="shared" si="58"/>
        <v/>
      </c>
      <c r="K127" s="173" t="str">
        <f t="shared" si="65"/>
        <v/>
      </c>
      <c r="L127" s="173" t="str">
        <f t="shared" si="59"/>
        <v/>
      </c>
      <c r="M127" s="173" t="str">
        <f t="shared" si="61"/>
        <v/>
      </c>
      <c r="N127" s="173" t="str">
        <f t="shared" si="62"/>
        <v/>
      </c>
      <c r="O127" s="173" t="str">
        <f t="shared" si="63"/>
        <v/>
      </c>
      <c r="P127" s="173" t="str">
        <f t="shared" si="53"/>
        <v/>
      </c>
      <c r="Q127" s="173" t="str">
        <f t="shared" si="67"/>
        <v/>
      </c>
      <c r="R127" s="173" t="str">
        <f t="shared" si="60"/>
        <v/>
      </c>
      <c r="S127" s="176" t="str">
        <f>IF(A126=$D$8,XIRR(U$27:U126,C$27:C126),"")</f>
        <v/>
      </c>
      <c r="T127" s="173" t="str">
        <f t="shared" si="43"/>
        <v/>
      </c>
      <c r="U127" s="173">
        <f t="shared" si="51"/>
        <v>0</v>
      </c>
      <c r="V127" s="141" t="e">
        <f t="shared" ca="1" si="44"/>
        <v>#VALUE!</v>
      </c>
      <c r="W127" s="141" t="e">
        <f t="shared" ca="1" si="49"/>
        <v>#VALUE!</v>
      </c>
      <c r="X127" s="141" t="e">
        <f t="shared" ca="1" si="45"/>
        <v>#VALUE!</v>
      </c>
      <c r="Y127" s="177" t="e">
        <f t="shared" ca="1" si="64"/>
        <v>#VALUE!</v>
      </c>
      <c r="Z127" s="178" t="e">
        <f t="shared" ca="1" si="46"/>
        <v>#VALUE!</v>
      </c>
      <c r="AA127" s="141">
        <v>100</v>
      </c>
    </row>
    <row r="128" spans="1:27" x14ac:dyDescent="0.35">
      <c r="A128" s="175" t="str">
        <f t="shared" si="50"/>
        <v/>
      </c>
      <c r="B128" s="172">
        <f t="shared" ca="1" si="47"/>
        <v>48270</v>
      </c>
      <c r="C128" s="172" t="str">
        <f t="shared" ca="1" si="48"/>
        <v xml:space="preserve"> </v>
      </c>
      <c r="D128" s="175" t="str">
        <f t="shared" si="56"/>
        <v/>
      </c>
      <c r="E128" s="173" t="e">
        <f t="shared" si="42"/>
        <v>#VALUE!</v>
      </c>
      <c r="F128" s="173" t="str">
        <f>IF(A127=$D$8,SUM(F$28:F127),IF(A127&gt;$D$8,"",G128+H128))</f>
        <v/>
      </c>
      <c r="G128" s="173" t="str">
        <f>IF(A127=$D$8,ROUND(SUM($G$28:G127),2),IF(A128&gt;$F$8,"",IF(W128&lt;&gt;W127,ROUND(SUM(Y128*$E$12*E127/W128,Z128*$E$12*E127/W127),2),ROUND(E127*$E$12*D128/W127,2))))</f>
        <v/>
      </c>
      <c r="H128" s="173" t="str">
        <f>IF(AND(A127="",A129=""),"",IF(A128="",ROUND(SUM($H$28:H127),2),IF(A128=$D$8,$H$27-ROUND(SUM($H$28:H127),2),ROUND($H$27/$D$8,2))))</f>
        <v/>
      </c>
      <c r="I128" s="173" t="str">
        <f t="shared" si="57"/>
        <v/>
      </c>
      <c r="J128" s="173" t="str">
        <f t="shared" si="58"/>
        <v/>
      </c>
      <c r="K128" s="173" t="str">
        <f t="shared" si="65"/>
        <v/>
      </c>
      <c r="L128" s="173" t="str">
        <f t="shared" si="59"/>
        <v/>
      </c>
      <c r="M128" s="173" t="str">
        <f t="shared" si="61"/>
        <v/>
      </c>
      <c r="N128" s="173" t="str">
        <f t="shared" si="62"/>
        <v/>
      </c>
      <c r="O128" s="173" t="str">
        <f t="shared" si="63"/>
        <v/>
      </c>
      <c r="P128" s="173" t="str">
        <f t="shared" si="53"/>
        <v/>
      </c>
      <c r="Q128" s="173" t="str">
        <f t="shared" si="67"/>
        <v/>
      </c>
      <c r="R128" s="173" t="str">
        <f t="shared" si="60"/>
        <v/>
      </c>
      <c r="S128" s="176" t="str">
        <f>IF(A127=$D$8,XIRR(U$27:U127,C$27:C127),"")</f>
        <v/>
      </c>
      <c r="T128" s="173" t="str">
        <f t="shared" si="43"/>
        <v/>
      </c>
      <c r="U128" s="173">
        <f t="shared" si="51"/>
        <v>0</v>
      </c>
      <c r="V128" s="141" t="e">
        <f t="shared" ca="1" si="44"/>
        <v>#VALUE!</v>
      </c>
      <c r="W128" s="141" t="e">
        <f t="shared" ca="1" si="49"/>
        <v>#VALUE!</v>
      </c>
      <c r="X128" s="141" t="e">
        <f t="shared" ca="1" si="45"/>
        <v>#VALUE!</v>
      </c>
      <c r="Y128" s="177" t="e">
        <f t="shared" ca="1" si="64"/>
        <v>#VALUE!</v>
      </c>
      <c r="Z128" s="178" t="e">
        <f t="shared" ca="1" si="46"/>
        <v>#VALUE!</v>
      </c>
      <c r="AA128" s="141">
        <v>101</v>
      </c>
    </row>
    <row r="129" spans="1:27" x14ac:dyDescent="0.35">
      <c r="A129" s="175" t="str">
        <f t="shared" si="50"/>
        <v/>
      </c>
      <c r="B129" s="172">
        <f t="shared" ca="1" si="47"/>
        <v>48299</v>
      </c>
      <c r="C129" s="172" t="str">
        <f t="shared" ca="1" si="48"/>
        <v xml:space="preserve"> </v>
      </c>
      <c r="D129" s="175" t="str">
        <f t="shared" si="56"/>
        <v/>
      </c>
      <c r="E129" s="173" t="e">
        <f t="shared" si="42"/>
        <v>#VALUE!</v>
      </c>
      <c r="F129" s="173" t="str">
        <f>IF(A128=$D$8,SUM(F$28:F128),IF(A128&gt;$D$8,"",G129+H129))</f>
        <v/>
      </c>
      <c r="G129" s="173" t="str">
        <f>IF(A128=$D$8,ROUND(SUM($G$28:G128),2),IF(A129&gt;$F$8,"",IF(W129&lt;&gt;W128,ROUND(SUM(Y129*$E$12*E128/W129,Z129*$E$12*E128/W128),2),ROUND(E128*$E$12*D129/W128,2))))</f>
        <v/>
      </c>
      <c r="H129" s="173" t="str">
        <f>IF(AND(A128="",A130=""),"",IF(A129="",ROUND(SUM($H$28:H128),2),IF(A129=$D$8,$H$27-ROUND(SUM($H$28:H128),2),ROUND($H$27/$D$8,2))))</f>
        <v/>
      </c>
      <c r="I129" s="173" t="str">
        <f t="shared" si="57"/>
        <v/>
      </c>
      <c r="J129" s="173" t="str">
        <f t="shared" si="58"/>
        <v/>
      </c>
      <c r="K129" s="173" t="str">
        <f t="shared" si="65"/>
        <v/>
      </c>
      <c r="L129" s="173" t="str">
        <f t="shared" si="59"/>
        <v/>
      </c>
      <c r="M129" s="173" t="str">
        <f t="shared" si="61"/>
        <v/>
      </c>
      <c r="N129" s="173" t="str">
        <f t="shared" si="62"/>
        <v/>
      </c>
      <c r="O129" s="173" t="str">
        <f t="shared" si="63"/>
        <v/>
      </c>
      <c r="P129" s="173" t="str">
        <f t="shared" si="53"/>
        <v/>
      </c>
      <c r="Q129" s="173" t="str">
        <f t="shared" si="67"/>
        <v/>
      </c>
      <c r="R129" s="173" t="str">
        <f t="shared" si="60"/>
        <v/>
      </c>
      <c r="S129" s="176" t="str">
        <f>IF(A128=$D$8,XIRR(U$27:U128,C$27:C128),"")</f>
        <v/>
      </c>
      <c r="T129" s="173" t="str">
        <f t="shared" si="43"/>
        <v/>
      </c>
      <c r="U129" s="173">
        <f t="shared" si="51"/>
        <v>0</v>
      </c>
      <c r="V129" s="141" t="e">
        <f t="shared" ca="1" si="44"/>
        <v>#VALUE!</v>
      </c>
      <c r="W129" s="141" t="e">
        <f t="shared" ca="1" si="49"/>
        <v>#VALUE!</v>
      </c>
      <c r="X129" s="141" t="e">
        <f t="shared" ca="1" si="45"/>
        <v>#VALUE!</v>
      </c>
      <c r="Y129" s="177" t="e">
        <f t="shared" ca="1" si="64"/>
        <v>#VALUE!</v>
      </c>
      <c r="Z129" s="178" t="e">
        <f t="shared" ca="1" si="46"/>
        <v>#VALUE!</v>
      </c>
      <c r="AA129" s="141">
        <v>102</v>
      </c>
    </row>
    <row r="130" spans="1:27" x14ac:dyDescent="0.35">
      <c r="A130" s="175" t="str">
        <f t="shared" si="50"/>
        <v/>
      </c>
      <c r="B130" s="172">
        <f t="shared" ca="1" si="47"/>
        <v>48330</v>
      </c>
      <c r="C130" s="172" t="str">
        <f t="shared" ca="1" si="48"/>
        <v xml:space="preserve"> </v>
      </c>
      <c r="D130" s="175" t="str">
        <f t="shared" si="56"/>
        <v/>
      </c>
      <c r="E130" s="173" t="e">
        <f t="shared" si="42"/>
        <v>#VALUE!</v>
      </c>
      <c r="F130" s="173" t="str">
        <f>IF(A129=$D$8,SUM(F$28:F129),IF(A129&gt;$D$8,"",G130+H130))</f>
        <v/>
      </c>
      <c r="G130" s="173" t="str">
        <f>IF(A129=$D$8,ROUND(SUM($G$28:G129),2),IF(A130&gt;$F$8,"",IF(W130&lt;&gt;W129,ROUND(SUM(Y130*$E$12*E129/W130,Z130*$E$12*E129/W129),2),ROUND(E129*$E$12*D130/W129,2))))</f>
        <v/>
      </c>
      <c r="H130" s="173" t="str">
        <f>IF(AND(A129="",A131=""),"",IF(A130="",ROUND(SUM($H$28:H129),2),IF(A130=$D$8,$H$27-ROUND(SUM($H$28:H129),2),ROUND($H$27/$D$8,2))))</f>
        <v/>
      </c>
      <c r="I130" s="173" t="str">
        <f t="shared" si="57"/>
        <v/>
      </c>
      <c r="J130" s="173" t="str">
        <f t="shared" si="58"/>
        <v/>
      </c>
      <c r="K130" s="173" t="str">
        <f t="shared" si="65"/>
        <v/>
      </c>
      <c r="L130" s="173" t="str">
        <f t="shared" si="59"/>
        <v/>
      </c>
      <c r="M130" s="173" t="str">
        <f t="shared" si="61"/>
        <v/>
      </c>
      <c r="N130" s="173" t="str">
        <f t="shared" si="62"/>
        <v/>
      </c>
      <c r="O130" s="173" t="str">
        <f t="shared" si="63"/>
        <v/>
      </c>
      <c r="P130" s="173" t="str">
        <f t="shared" si="53"/>
        <v/>
      </c>
      <c r="Q130" s="173" t="str">
        <f t="shared" si="67"/>
        <v/>
      </c>
      <c r="R130" s="173" t="str">
        <f t="shared" si="60"/>
        <v/>
      </c>
      <c r="S130" s="176" t="str">
        <f>IF(A129=$D$8,XIRR(U$27:U129,C$27:C129),"")</f>
        <v/>
      </c>
      <c r="T130" s="173" t="str">
        <f t="shared" si="43"/>
        <v/>
      </c>
      <c r="U130" s="173">
        <f t="shared" si="51"/>
        <v>0</v>
      </c>
      <c r="V130" s="141" t="e">
        <f t="shared" ca="1" si="44"/>
        <v>#VALUE!</v>
      </c>
      <c r="W130" s="141" t="e">
        <f t="shared" ca="1" si="49"/>
        <v>#VALUE!</v>
      </c>
      <c r="X130" s="141" t="e">
        <f t="shared" ca="1" si="45"/>
        <v>#VALUE!</v>
      </c>
      <c r="Y130" s="177" t="e">
        <f t="shared" ca="1" si="64"/>
        <v>#VALUE!</v>
      </c>
      <c r="Z130" s="178" t="e">
        <f t="shared" ca="1" si="46"/>
        <v>#VALUE!</v>
      </c>
      <c r="AA130" s="141">
        <v>103</v>
      </c>
    </row>
    <row r="131" spans="1:27" x14ac:dyDescent="0.35">
      <c r="A131" s="175" t="str">
        <f t="shared" si="50"/>
        <v/>
      </c>
      <c r="B131" s="172">
        <f t="shared" ca="1" si="47"/>
        <v>48360</v>
      </c>
      <c r="C131" s="172" t="str">
        <f t="shared" ca="1" si="48"/>
        <v xml:space="preserve"> </v>
      </c>
      <c r="D131" s="175" t="str">
        <f t="shared" si="56"/>
        <v/>
      </c>
      <c r="E131" s="173" t="e">
        <f t="shared" si="42"/>
        <v>#VALUE!</v>
      </c>
      <c r="F131" s="173" t="str">
        <f>IF(A130=$D$8,SUM(F$28:F130),IF(A130&gt;$D$8,"",G131+H131))</f>
        <v/>
      </c>
      <c r="G131" s="173" t="str">
        <f>IF(A130=$D$8,ROUND(SUM($G$28:G130),2),IF(A131&gt;$F$8,"",IF(W131&lt;&gt;W130,ROUND(SUM(Y131*$E$12*E130/W131,Z131*$E$12*E130/W130),2),ROUND(E130*$E$12*D131/W130,2))))</f>
        <v/>
      </c>
      <c r="H131" s="173" t="str">
        <f>IF(AND(A130="",A132=""),"",IF(A131="",ROUND(SUM($H$28:H130),2),IF(A131=$D$8,$H$27-ROUND(SUM($H$28:H130),2),ROUND($H$27/$D$8,2))))</f>
        <v/>
      </c>
      <c r="I131" s="173" t="str">
        <f t="shared" si="57"/>
        <v/>
      </c>
      <c r="J131" s="173" t="str">
        <f t="shared" si="58"/>
        <v/>
      </c>
      <c r="K131" s="173" t="str">
        <f t="shared" si="65"/>
        <v/>
      </c>
      <c r="L131" s="173" t="str">
        <f t="shared" si="59"/>
        <v/>
      </c>
      <c r="M131" s="173" t="str">
        <f t="shared" si="61"/>
        <v/>
      </c>
      <c r="N131" s="173" t="str">
        <f t="shared" si="62"/>
        <v/>
      </c>
      <c r="O131" s="173" t="str">
        <f t="shared" si="63"/>
        <v/>
      </c>
      <c r="P131" s="173" t="str">
        <f t="shared" si="53"/>
        <v/>
      </c>
      <c r="Q131" s="173" t="str">
        <f t="shared" si="67"/>
        <v/>
      </c>
      <c r="R131" s="173" t="str">
        <f t="shared" si="60"/>
        <v/>
      </c>
      <c r="S131" s="176" t="str">
        <f>IF(A130=$D$8,XIRR(U$27:U130,C$27:C130),"")</f>
        <v/>
      </c>
      <c r="T131" s="173" t="str">
        <f t="shared" si="43"/>
        <v/>
      </c>
      <c r="U131" s="173">
        <f t="shared" si="51"/>
        <v>0</v>
      </c>
      <c r="V131" s="141" t="e">
        <f t="shared" ca="1" si="44"/>
        <v>#VALUE!</v>
      </c>
      <c r="W131" s="141" t="e">
        <f t="shared" ca="1" si="49"/>
        <v>#VALUE!</v>
      </c>
      <c r="X131" s="141" t="e">
        <f t="shared" ca="1" si="45"/>
        <v>#VALUE!</v>
      </c>
      <c r="Y131" s="177" t="e">
        <f t="shared" ca="1" si="64"/>
        <v>#VALUE!</v>
      </c>
      <c r="Z131" s="178" t="e">
        <f t="shared" ca="1" si="46"/>
        <v>#VALUE!</v>
      </c>
      <c r="AA131" s="141">
        <v>104</v>
      </c>
    </row>
    <row r="132" spans="1:27" x14ac:dyDescent="0.35">
      <c r="A132" s="175" t="str">
        <f t="shared" si="50"/>
        <v/>
      </c>
      <c r="B132" s="172">
        <f t="shared" ca="1" si="47"/>
        <v>48391</v>
      </c>
      <c r="C132" s="172" t="str">
        <f t="shared" ca="1" si="48"/>
        <v xml:space="preserve"> </v>
      </c>
      <c r="D132" s="175" t="str">
        <f t="shared" si="56"/>
        <v/>
      </c>
      <c r="E132" s="173" t="e">
        <f t="shared" si="42"/>
        <v>#VALUE!</v>
      </c>
      <c r="F132" s="173" t="str">
        <f>IF(A131=$D$8,SUM(F$28:F131),IF(A131&gt;$D$8,"",G132+H132))</f>
        <v/>
      </c>
      <c r="G132" s="173" t="str">
        <f>IF(A131=$D$8,ROUND(SUM($G$28:G131),2),IF(A132&gt;$F$8,"",IF(W132&lt;&gt;W131,ROUND(SUM(Y132*$E$12*E131/W132,Z132*$E$12*E131/W131),2),ROUND(E131*$E$12*D132/W131,2))))</f>
        <v/>
      </c>
      <c r="H132" s="173" t="str">
        <f>IF(AND(A131="",A133=""),"",IF(A132="",ROUND(SUM($H$28:H131),2),IF(A132=$D$8,$H$27-ROUND(SUM($H$28:H131),2),ROUND($H$27/$D$8,2))))</f>
        <v/>
      </c>
      <c r="I132" s="173" t="str">
        <f t="shared" si="57"/>
        <v/>
      </c>
      <c r="J132" s="173" t="str">
        <f t="shared" si="58"/>
        <v/>
      </c>
      <c r="K132" s="173" t="str">
        <f t="shared" si="65"/>
        <v/>
      </c>
      <c r="L132" s="173" t="str">
        <f t="shared" si="59"/>
        <v/>
      </c>
      <c r="M132" s="173" t="str">
        <f t="shared" si="61"/>
        <v/>
      </c>
      <c r="N132" s="173" t="str">
        <f t="shared" si="62"/>
        <v/>
      </c>
      <c r="O132" s="173" t="str">
        <f t="shared" si="63"/>
        <v/>
      </c>
      <c r="P132" s="173" t="str">
        <f t="shared" si="53"/>
        <v/>
      </c>
      <c r="Q132" s="173" t="str">
        <f t="shared" si="67"/>
        <v/>
      </c>
      <c r="R132" s="173" t="str">
        <f t="shared" si="60"/>
        <v/>
      </c>
      <c r="S132" s="176" t="str">
        <f>IF(A131=$D$8,XIRR(U$27:U131,C$27:C131),"")</f>
        <v/>
      </c>
      <c r="T132" s="173" t="str">
        <f t="shared" si="43"/>
        <v/>
      </c>
      <c r="U132" s="173">
        <f t="shared" si="51"/>
        <v>0</v>
      </c>
      <c r="V132" s="141" t="e">
        <f t="shared" ca="1" si="44"/>
        <v>#VALUE!</v>
      </c>
      <c r="W132" s="141" t="e">
        <f t="shared" ca="1" si="49"/>
        <v>#VALUE!</v>
      </c>
      <c r="X132" s="141" t="e">
        <f t="shared" ca="1" si="45"/>
        <v>#VALUE!</v>
      </c>
      <c r="Y132" s="177" t="e">
        <f t="shared" ca="1" si="64"/>
        <v>#VALUE!</v>
      </c>
      <c r="Z132" s="178" t="e">
        <f t="shared" ca="1" si="46"/>
        <v>#VALUE!</v>
      </c>
      <c r="AA132" s="141">
        <v>105</v>
      </c>
    </row>
    <row r="133" spans="1:27" x14ac:dyDescent="0.35">
      <c r="A133" s="175" t="str">
        <f t="shared" si="50"/>
        <v/>
      </c>
      <c r="B133" s="172">
        <f t="shared" ca="1" si="47"/>
        <v>48421</v>
      </c>
      <c r="C133" s="172" t="str">
        <f t="shared" ca="1" si="48"/>
        <v xml:space="preserve"> </v>
      </c>
      <c r="D133" s="175" t="str">
        <f t="shared" si="56"/>
        <v/>
      </c>
      <c r="E133" s="173" t="e">
        <f t="shared" si="42"/>
        <v>#VALUE!</v>
      </c>
      <c r="F133" s="173" t="str">
        <f>IF(A132=$D$8,SUM(F$28:F132),IF(A132&gt;$D$8,"",G133+H133))</f>
        <v/>
      </c>
      <c r="G133" s="173" t="str">
        <f>IF(A132=$D$8,ROUND(SUM($G$28:G132),2),IF(A133&gt;$F$8,"",IF(W133&lt;&gt;W132,ROUND(SUM(Y133*$E$12*E132/W133,Z133*$E$12*E132/W132),2),ROUND(E132*$E$12*D133/W132,2))))</f>
        <v/>
      </c>
      <c r="H133" s="173" t="str">
        <f>IF(AND(A132="",A134=""),"",IF(A133="",ROUND(SUM($H$28:H132),2),IF(A133=$D$8,$H$27-ROUND(SUM($H$28:H132),2),ROUND($H$27/$D$8,2))))</f>
        <v/>
      </c>
      <c r="I133" s="173" t="str">
        <f t="shared" si="57"/>
        <v/>
      </c>
      <c r="J133" s="173" t="str">
        <f t="shared" si="58"/>
        <v/>
      </c>
      <c r="K133" s="173" t="str">
        <f t="shared" si="65"/>
        <v/>
      </c>
      <c r="L133" s="173" t="str">
        <f t="shared" si="59"/>
        <v/>
      </c>
      <c r="M133" s="173" t="str">
        <f t="shared" si="61"/>
        <v/>
      </c>
      <c r="N133" s="173" t="str">
        <f t="shared" si="62"/>
        <v/>
      </c>
      <c r="O133" s="173" t="str">
        <f t="shared" si="63"/>
        <v/>
      </c>
      <c r="P133" s="173" t="str">
        <f t="shared" si="53"/>
        <v/>
      </c>
      <c r="Q133" s="173" t="str">
        <f t="shared" si="67"/>
        <v/>
      </c>
      <c r="R133" s="173" t="str">
        <f t="shared" si="60"/>
        <v/>
      </c>
      <c r="S133" s="176" t="str">
        <f>IF(A132=$D$8,XIRR(U$27:U132,C$27:C132),"")</f>
        <v/>
      </c>
      <c r="T133" s="173" t="str">
        <f t="shared" si="43"/>
        <v/>
      </c>
      <c r="U133" s="173">
        <f t="shared" si="51"/>
        <v>0</v>
      </c>
      <c r="V133" s="141" t="e">
        <f t="shared" ca="1" si="44"/>
        <v>#VALUE!</v>
      </c>
      <c r="W133" s="141" t="e">
        <f t="shared" ca="1" si="49"/>
        <v>#VALUE!</v>
      </c>
      <c r="X133" s="141" t="e">
        <f t="shared" ca="1" si="45"/>
        <v>#VALUE!</v>
      </c>
      <c r="Y133" s="177" t="e">
        <f t="shared" ca="1" si="64"/>
        <v>#VALUE!</v>
      </c>
      <c r="Z133" s="178" t="e">
        <f t="shared" ca="1" si="46"/>
        <v>#VALUE!</v>
      </c>
      <c r="AA133" s="141">
        <v>106</v>
      </c>
    </row>
    <row r="134" spans="1:27" x14ac:dyDescent="0.35">
      <c r="A134" s="175" t="str">
        <f t="shared" si="50"/>
        <v/>
      </c>
      <c r="B134" s="172">
        <f t="shared" ca="1" si="47"/>
        <v>48452</v>
      </c>
      <c r="C134" s="172" t="str">
        <f t="shared" ca="1" si="48"/>
        <v xml:space="preserve"> </v>
      </c>
      <c r="D134" s="175" t="str">
        <f t="shared" si="56"/>
        <v/>
      </c>
      <c r="E134" s="173" t="e">
        <f t="shared" si="42"/>
        <v>#VALUE!</v>
      </c>
      <c r="F134" s="173" t="str">
        <f>IF(A133=$D$8,SUM(F$28:F133),IF(A133&gt;$D$8,"",G134+H134))</f>
        <v/>
      </c>
      <c r="G134" s="173" t="str">
        <f>IF(A133=$D$8,ROUND(SUM($G$28:G133),2),IF(A134&gt;$F$8,"",IF(W134&lt;&gt;W133,ROUND(SUM(Y134*$E$12*E133/W134,Z134*$E$12*E133/W133),2),ROUND(E133*$E$12*D134/W133,2))))</f>
        <v/>
      </c>
      <c r="H134" s="173" t="str">
        <f>IF(AND(A133="",A135=""),"",IF(A134="",ROUND(SUM($H$28:H133),2),IF(A134=$D$8,$H$27-ROUND(SUM($H$28:H133),2),ROUND($H$27/$D$8,2))))</f>
        <v/>
      </c>
      <c r="I134" s="173" t="str">
        <f t="shared" si="57"/>
        <v/>
      </c>
      <c r="J134" s="173" t="str">
        <f t="shared" si="58"/>
        <v/>
      </c>
      <c r="K134" s="173" t="str">
        <f t="shared" si="65"/>
        <v/>
      </c>
      <c r="L134" s="173" t="str">
        <f t="shared" si="59"/>
        <v/>
      </c>
      <c r="M134" s="173" t="str">
        <f t="shared" si="61"/>
        <v/>
      </c>
      <c r="N134" s="173" t="str">
        <f t="shared" si="62"/>
        <v/>
      </c>
      <c r="O134" s="173" t="str">
        <f t="shared" si="63"/>
        <v/>
      </c>
      <c r="P134" s="173" t="str">
        <f t="shared" si="53"/>
        <v/>
      </c>
      <c r="Q134" s="173" t="str">
        <f t="shared" si="67"/>
        <v/>
      </c>
      <c r="R134" s="173" t="str">
        <f t="shared" si="60"/>
        <v/>
      </c>
      <c r="S134" s="176" t="str">
        <f>IF(A133=$D$8,XIRR(U$27:U133,C$27:C133),"")</f>
        <v/>
      </c>
      <c r="T134" s="173" t="str">
        <f t="shared" si="43"/>
        <v/>
      </c>
      <c r="U134" s="173">
        <f t="shared" si="51"/>
        <v>0</v>
      </c>
      <c r="V134" s="141" t="e">
        <f t="shared" ca="1" si="44"/>
        <v>#VALUE!</v>
      </c>
      <c r="W134" s="141" t="e">
        <f t="shared" ca="1" si="49"/>
        <v>#VALUE!</v>
      </c>
      <c r="X134" s="141" t="e">
        <f t="shared" ca="1" si="45"/>
        <v>#VALUE!</v>
      </c>
      <c r="Y134" s="177" t="e">
        <f t="shared" ca="1" si="64"/>
        <v>#VALUE!</v>
      </c>
      <c r="Z134" s="178" t="e">
        <f t="shared" ca="1" si="46"/>
        <v>#VALUE!</v>
      </c>
      <c r="AA134" s="141">
        <v>107</v>
      </c>
    </row>
    <row r="135" spans="1:27" x14ac:dyDescent="0.35">
      <c r="A135" s="175" t="str">
        <f t="shared" si="50"/>
        <v/>
      </c>
      <c r="B135" s="172">
        <f t="shared" ca="1" si="47"/>
        <v>48483</v>
      </c>
      <c r="C135" s="172" t="str">
        <f t="shared" ca="1" si="48"/>
        <v xml:space="preserve"> </v>
      </c>
      <c r="D135" s="175" t="str">
        <f t="shared" si="56"/>
        <v/>
      </c>
      <c r="E135" s="173" t="e">
        <f t="shared" si="42"/>
        <v>#VALUE!</v>
      </c>
      <c r="F135" s="173" t="str">
        <f>IF(A134=$D$8,SUM(F$28:F134),IF(A134&gt;$D$8,"",G135+H135))</f>
        <v/>
      </c>
      <c r="G135" s="173" t="str">
        <f>IF(A134=$D$8,ROUND(SUM($G$28:G134),2),IF(A135&gt;$F$8,"",IF(W135&lt;&gt;W134,ROUND(SUM(Y135*$E$12*E134/W135,Z135*$E$12*E134/W134),2),ROUND(E134*$E$12*D135/W134,2))))</f>
        <v/>
      </c>
      <c r="H135" s="173" t="str">
        <f>IF(AND(A134="",A136=""),"",IF(A135="",ROUND(SUM($H$28:H134),2),IF(A135=$D$8,$H$27-ROUND(SUM($H$28:H134),2),ROUND($H$27/$D$8,2))))</f>
        <v/>
      </c>
      <c r="I135" s="173" t="str">
        <f t="shared" si="57"/>
        <v/>
      </c>
      <c r="J135" s="173" t="str">
        <f t="shared" si="58"/>
        <v/>
      </c>
      <c r="K135" s="173" t="str">
        <f t="shared" si="65"/>
        <v/>
      </c>
      <c r="L135" s="173" t="str">
        <f t="shared" si="59"/>
        <v/>
      </c>
      <c r="M135" s="173" t="str">
        <f t="shared" si="61"/>
        <v/>
      </c>
      <c r="N135" s="173" t="str">
        <f t="shared" si="62"/>
        <v/>
      </c>
      <c r="O135" s="173" t="str">
        <f t="shared" si="63"/>
        <v/>
      </c>
      <c r="P135" s="173" t="str">
        <f t="shared" si="53"/>
        <v/>
      </c>
      <c r="Q135" s="173" t="str">
        <f t="shared" si="67"/>
        <v/>
      </c>
      <c r="R135" s="173" t="str">
        <f t="shared" si="60"/>
        <v/>
      </c>
      <c r="S135" s="176" t="str">
        <f>IF(A134=$D$8,XIRR(U$27:U134,C$27:C134),"")</f>
        <v/>
      </c>
      <c r="T135" s="173" t="str">
        <f t="shared" si="43"/>
        <v/>
      </c>
      <c r="U135" s="173">
        <f t="shared" si="51"/>
        <v>0</v>
      </c>
      <c r="V135" s="141" t="e">
        <f t="shared" ca="1" si="44"/>
        <v>#VALUE!</v>
      </c>
      <c r="W135" s="141" t="e">
        <f t="shared" ca="1" si="49"/>
        <v>#VALUE!</v>
      </c>
      <c r="X135" s="141" t="e">
        <f t="shared" ca="1" si="45"/>
        <v>#VALUE!</v>
      </c>
      <c r="Y135" s="177" t="e">
        <f t="shared" ca="1" si="64"/>
        <v>#VALUE!</v>
      </c>
      <c r="Z135" s="178" t="e">
        <f t="shared" ca="1" si="46"/>
        <v>#VALUE!</v>
      </c>
      <c r="AA135" s="141">
        <v>108</v>
      </c>
    </row>
    <row r="136" spans="1:27" x14ac:dyDescent="0.35">
      <c r="A136" s="175" t="str">
        <f t="shared" si="50"/>
        <v/>
      </c>
      <c r="B136" s="172">
        <f t="shared" ca="1" si="47"/>
        <v>48513</v>
      </c>
      <c r="C136" s="172" t="str">
        <f t="shared" ca="1" si="48"/>
        <v xml:space="preserve"> </v>
      </c>
      <c r="D136" s="175" t="str">
        <f t="shared" si="56"/>
        <v/>
      </c>
      <c r="E136" s="173" t="e">
        <f t="shared" si="42"/>
        <v>#VALUE!</v>
      </c>
      <c r="F136" s="173" t="str">
        <f>IF(A135=$D$8,SUM(F$28:F135),IF(A135&gt;$D$8,"",G136+H136))</f>
        <v/>
      </c>
      <c r="G136" s="173" t="str">
        <f>IF(A135=$D$8,ROUND(SUM($G$28:G135),2),IF(A136&gt;$F$8,"",IF(W136&lt;&gt;W135,ROUND(SUM(Y136*$E$12*E135/W136,Z136*$E$12*E135/W135),2),ROUND(E135*$E$12*D136/W135,2))))</f>
        <v/>
      </c>
      <c r="H136" s="173" t="str">
        <f>IF(AND(A135="",A137=""),"",IF(A136="",ROUND(SUM($H$28:H135),2),IF(A136=$D$8,$H$27-ROUND(SUM($H$28:H135),2),ROUND($H$27/$D$8,2))))</f>
        <v/>
      </c>
      <c r="I136" s="173" t="str">
        <f t="shared" si="57"/>
        <v/>
      </c>
      <c r="J136" s="173" t="str">
        <f t="shared" si="58"/>
        <v/>
      </c>
      <c r="K136" s="173" t="str">
        <f>IF($F$8&gt;108,($R$14),IF(A135=$F$8,K124+K112+K100+K88+K76+K64+K52+K40+K27,""))</f>
        <v/>
      </c>
      <c r="L136" s="173" t="str">
        <f t="shared" si="59"/>
        <v/>
      </c>
      <c r="M136" s="173" t="str">
        <f t="shared" si="61"/>
        <v/>
      </c>
      <c r="N136" s="173" t="str">
        <f t="shared" si="62"/>
        <v/>
      </c>
      <c r="O136" s="173" t="str">
        <f t="shared" si="63"/>
        <v/>
      </c>
      <c r="P136" s="173" t="str">
        <f t="shared" si="53"/>
        <v/>
      </c>
      <c r="Q136" s="173" t="str">
        <f>IF($F$8&gt;108,($S$8+$S$10),IF($A135=$F$8,$Q$40+$Q$27+$Q$52+$Q$64+$Q$76+$Q$88+$Q$100+$Q$112+$Q$124,""))</f>
        <v/>
      </c>
      <c r="R136" s="173" t="str">
        <f t="shared" si="60"/>
        <v/>
      </c>
      <c r="S136" s="176" t="str">
        <f>IF(A135=$D$8,XIRR(U$27:U135,C$27:C135),"")</f>
        <v/>
      </c>
      <c r="T136" s="173" t="str">
        <f t="shared" si="43"/>
        <v/>
      </c>
      <c r="U136" s="173">
        <f t="shared" si="51"/>
        <v>0</v>
      </c>
      <c r="V136" s="141" t="e">
        <f t="shared" ca="1" si="44"/>
        <v>#VALUE!</v>
      </c>
      <c r="W136" s="141" t="e">
        <f t="shared" ca="1" si="49"/>
        <v>#VALUE!</v>
      </c>
      <c r="X136" s="141" t="e">
        <f t="shared" ca="1" si="45"/>
        <v>#VALUE!</v>
      </c>
      <c r="Y136" s="177" t="e">
        <f t="shared" ca="1" si="64"/>
        <v>#VALUE!</v>
      </c>
      <c r="Z136" s="178" t="e">
        <f t="shared" ca="1" si="46"/>
        <v>#VALUE!</v>
      </c>
      <c r="AA136" s="141">
        <v>109</v>
      </c>
    </row>
    <row r="137" spans="1:27" x14ac:dyDescent="0.35">
      <c r="A137" s="175" t="str">
        <f t="shared" si="50"/>
        <v/>
      </c>
      <c r="B137" s="172">
        <f t="shared" ca="1" si="47"/>
        <v>48544</v>
      </c>
      <c r="C137" s="172" t="str">
        <f t="shared" ca="1" si="48"/>
        <v xml:space="preserve"> </v>
      </c>
      <c r="D137" s="175" t="str">
        <f t="shared" si="56"/>
        <v/>
      </c>
      <c r="E137" s="173" t="e">
        <f t="shared" si="42"/>
        <v>#VALUE!</v>
      </c>
      <c r="F137" s="173" t="str">
        <f>IF(A136=$D$8,SUM(F$28:F136),IF(A136&gt;$D$8,"",G137+H137))</f>
        <v/>
      </c>
      <c r="G137" s="173" t="str">
        <f>IF(A136=$D$8,ROUND(SUM($G$28:G136),2),IF(A137&gt;$F$8,"",IF(W137&lt;&gt;W136,ROUND(SUM(Y137*$E$12*E136/W137,Z137*$E$12*E136/W136),2),ROUND(E136*$E$12*D137/W136,2))))</f>
        <v/>
      </c>
      <c r="H137" s="173" t="str">
        <f>IF(AND(A136="",A138=""),"",IF(A137="",ROUND(SUM($H$28:H136),2),IF(A137=$D$8,$H$27-ROUND(SUM($H$28:H136),2),ROUND($H$27/$D$8,2))))</f>
        <v/>
      </c>
      <c r="I137" s="173" t="str">
        <f t="shared" si="57"/>
        <v/>
      </c>
      <c r="J137" s="173" t="str">
        <f t="shared" si="58"/>
        <v/>
      </c>
      <c r="K137" s="173" t="str">
        <f t="shared" si="65"/>
        <v/>
      </c>
      <c r="L137" s="173" t="str">
        <f t="shared" si="59"/>
        <v/>
      </c>
      <c r="M137" s="173" t="str">
        <f t="shared" si="61"/>
        <v/>
      </c>
      <c r="N137" s="173" t="str">
        <f t="shared" si="62"/>
        <v/>
      </c>
      <c r="O137" s="173" t="str">
        <f t="shared" si="63"/>
        <v/>
      </c>
      <c r="P137" s="173" t="str">
        <f t="shared" si="53"/>
        <v/>
      </c>
      <c r="Q137" s="173" t="str">
        <f t="shared" ref="Q137:Q147" si="68">IF(A136=$D$8,$Q$27,"")</f>
        <v/>
      </c>
      <c r="R137" s="173" t="str">
        <f t="shared" si="60"/>
        <v/>
      </c>
      <c r="S137" s="176" t="str">
        <f>IF(A136=$D$8,XIRR(U$27:U136,C$27:C136),"")</f>
        <v/>
      </c>
      <c r="T137" s="173" t="str">
        <f t="shared" si="43"/>
        <v/>
      </c>
      <c r="U137" s="173">
        <f t="shared" si="51"/>
        <v>0</v>
      </c>
      <c r="V137" s="141" t="e">
        <f t="shared" ca="1" si="44"/>
        <v>#VALUE!</v>
      </c>
      <c r="W137" s="141" t="e">
        <f t="shared" ca="1" si="49"/>
        <v>#VALUE!</v>
      </c>
      <c r="X137" s="141" t="e">
        <f t="shared" ca="1" si="45"/>
        <v>#VALUE!</v>
      </c>
      <c r="Y137" s="177" t="e">
        <f t="shared" ca="1" si="64"/>
        <v>#VALUE!</v>
      </c>
      <c r="Z137" s="178" t="e">
        <f t="shared" ca="1" si="46"/>
        <v>#VALUE!</v>
      </c>
      <c r="AA137" s="141">
        <v>110</v>
      </c>
    </row>
    <row r="138" spans="1:27" x14ac:dyDescent="0.35">
      <c r="A138" s="175" t="str">
        <f t="shared" si="50"/>
        <v/>
      </c>
      <c r="B138" s="172">
        <f t="shared" ca="1" si="47"/>
        <v>48574</v>
      </c>
      <c r="C138" s="172" t="str">
        <f t="shared" ca="1" si="48"/>
        <v xml:space="preserve"> </v>
      </c>
      <c r="D138" s="175" t="str">
        <f t="shared" si="56"/>
        <v/>
      </c>
      <c r="E138" s="173" t="e">
        <f t="shared" si="42"/>
        <v>#VALUE!</v>
      </c>
      <c r="F138" s="173" t="str">
        <f>IF(A137=$D$8,SUM(F$28:F137),IF(A137&gt;$D$8,"",G138+H138))</f>
        <v/>
      </c>
      <c r="G138" s="173" t="str">
        <f>IF(A137=$D$8,ROUND(SUM($G$28:G137),2),IF(A138&gt;$F$8,"",IF(W138&lt;&gt;W137,ROUND(SUM(Y138*$E$12*E137/W138,Z138*$E$12*E137/W137),2),ROUND(E137*$E$12*D138/W137,2))))</f>
        <v/>
      </c>
      <c r="H138" s="173" t="str">
        <f>IF(AND(A137="",A139=""),"",IF(A138="",ROUND(SUM($H$28:H137),2),IF(A138=$D$8,$H$27-ROUND(SUM($H$28:H137),2),ROUND($H$27/$D$8,2))))</f>
        <v/>
      </c>
      <c r="I138" s="173" t="str">
        <f t="shared" si="57"/>
        <v/>
      </c>
      <c r="J138" s="173" t="str">
        <f t="shared" si="58"/>
        <v/>
      </c>
      <c r="K138" s="173" t="str">
        <f t="shared" si="65"/>
        <v/>
      </c>
      <c r="L138" s="173" t="str">
        <f t="shared" si="59"/>
        <v/>
      </c>
      <c r="M138" s="173" t="str">
        <f t="shared" si="61"/>
        <v/>
      </c>
      <c r="N138" s="173" t="str">
        <f t="shared" si="62"/>
        <v/>
      </c>
      <c r="O138" s="173" t="str">
        <f t="shared" si="63"/>
        <v/>
      </c>
      <c r="P138" s="173" t="str">
        <f t="shared" si="53"/>
        <v/>
      </c>
      <c r="Q138" s="173" t="str">
        <f t="shared" si="68"/>
        <v/>
      </c>
      <c r="R138" s="173" t="str">
        <f t="shared" si="60"/>
        <v/>
      </c>
      <c r="S138" s="176" t="str">
        <f>IF(A137=$D$8,XIRR(U$27:U137,C$27:C137),"")</f>
        <v/>
      </c>
      <c r="T138" s="173" t="str">
        <f t="shared" si="43"/>
        <v/>
      </c>
      <c r="U138" s="173">
        <f t="shared" si="51"/>
        <v>0</v>
      </c>
      <c r="V138" s="141" t="e">
        <f t="shared" ca="1" si="44"/>
        <v>#VALUE!</v>
      </c>
      <c r="W138" s="141" t="e">
        <f t="shared" ca="1" si="49"/>
        <v>#VALUE!</v>
      </c>
      <c r="X138" s="141" t="e">
        <f t="shared" ca="1" si="45"/>
        <v>#VALUE!</v>
      </c>
      <c r="Y138" s="177" t="e">
        <f t="shared" ca="1" si="64"/>
        <v>#VALUE!</v>
      </c>
      <c r="Z138" s="178" t="e">
        <f t="shared" ca="1" si="46"/>
        <v>#VALUE!</v>
      </c>
      <c r="AA138" s="141">
        <v>111</v>
      </c>
    </row>
    <row r="139" spans="1:27" x14ac:dyDescent="0.35">
      <c r="A139" s="175" t="str">
        <f t="shared" si="50"/>
        <v/>
      </c>
      <c r="B139" s="172">
        <f t="shared" ca="1" si="47"/>
        <v>48605</v>
      </c>
      <c r="C139" s="172" t="str">
        <f t="shared" ca="1" si="48"/>
        <v xml:space="preserve"> </v>
      </c>
      <c r="D139" s="175" t="str">
        <f t="shared" si="56"/>
        <v/>
      </c>
      <c r="E139" s="173" t="e">
        <f t="shared" si="42"/>
        <v>#VALUE!</v>
      </c>
      <c r="F139" s="173" t="str">
        <f>IF(A138=$D$8,SUM(F$28:F138),IF(A138&gt;$D$8,"",G139+H139))</f>
        <v/>
      </c>
      <c r="G139" s="173" t="str">
        <f>IF(A138=$D$8,ROUND(SUM($G$28:G138),2),IF(A139&gt;$F$8,"",IF(W139&lt;&gt;W138,ROUND(SUM(Y139*$E$12*E138/W139,Z139*$E$12*E138/W138),2),ROUND(E138*$E$12*D139/W138,2))))</f>
        <v/>
      </c>
      <c r="H139" s="173" t="str">
        <f>IF(AND(A138="",A140=""),"",IF(A139="",ROUND(SUM($H$28:H138),2),IF(A139=$D$8,$H$27-ROUND(SUM($H$28:H138),2),ROUND($H$27/$D$8,2))))</f>
        <v/>
      </c>
      <c r="I139" s="173" t="str">
        <f t="shared" si="57"/>
        <v/>
      </c>
      <c r="J139" s="173" t="str">
        <f t="shared" si="58"/>
        <v/>
      </c>
      <c r="K139" s="173" t="str">
        <f t="shared" si="65"/>
        <v/>
      </c>
      <c r="L139" s="173" t="str">
        <f t="shared" si="59"/>
        <v/>
      </c>
      <c r="M139" s="173" t="str">
        <f t="shared" si="61"/>
        <v/>
      </c>
      <c r="N139" s="173" t="str">
        <f t="shared" si="62"/>
        <v/>
      </c>
      <c r="O139" s="173" t="str">
        <f t="shared" si="63"/>
        <v/>
      </c>
      <c r="P139" s="173" t="str">
        <f t="shared" si="53"/>
        <v/>
      </c>
      <c r="Q139" s="173" t="str">
        <f t="shared" si="68"/>
        <v/>
      </c>
      <c r="R139" s="173" t="str">
        <f t="shared" si="60"/>
        <v/>
      </c>
      <c r="S139" s="176" t="str">
        <f>IF(A138=$D$8,XIRR(U$27:U138,C$27:C138),"")</f>
        <v/>
      </c>
      <c r="T139" s="173" t="str">
        <f t="shared" si="43"/>
        <v/>
      </c>
      <c r="U139" s="173">
        <f t="shared" si="51"/>
        <v>0</v>
      </c>
      <c r="V139" s="141" t="e">
        <f t="shared" ca="1" si="44"/>
        <v>#VALUE!</v>
      </c>
      <c r="W139" s="141" t="e">
        <f t="shared" ca="1" si="49"/>
        <v>#VALUE!</v>
      </c>
      <c r="X139" s="141" t="e">
        <f t="shared" ca="1" si="45"/>
        <v>#VALUE!</v>
      </c>
      <c r="Y139" s="177" t="e">
        <f t="shared" ca="1" si="64"/>
        <v>#VALUE!</v>
      </c>
      <c r="Z139" s="178" t="e">
        <f t="shared" ca="1" si="46"/>
        <v>#VALUE!</v>
      </c>
      <c r="AA139" s="141">
        <v>112</v>
      </c>
    </row>
    <row r="140" spans="1:27" x14ac:dyDescent="0.35">
      <c r="A140" s="175" t="str">
        <f t="shared" si="50"/>
        <v/>
      </c>
      <c r="B140" s="172">
        <f t="shared" ca="1" si="47"/>
        <v>48636</v>
      </c>
      <c r="C140" s="172" t="str">
        <f t="shared" ca="1" si="48"/>
        <v xml:space="preserve"> </v>
      </c>
      <c r="D140" s="175" t="str">
        <f t="shared" si="56"/>
        <v/>
      </c>
      <c r="E140" s="173" t="e">
        <f t="shared" si="42"/>
        <v>#VALUE!</v>
      </c>
      <c r="F140" s="173" t="str">
        <f>IF(A139=$D$8,SUM(F$28:F139),IF(A139&gt;$D$8,"",G140+H140))</f>
        <v/>
      </c>
      <c r="G140" s="173" t="str">
        <f>IF(A139=$D$8,ROUND(SUM($G$28:G139),2),IF(A140&gt;$F$8,"",IF(W140&lt;&gt;W139,ROUND(SUM(Y140*$E$12*E139/W140,Z140*$E$12*E139/W139),2),ROUND(E139*$E$12*D140/W139,2))))</f>
        <v/>
      </c>
      <c r="H140" s="173" t="str">
        <f>IF(AND(A139="",A141=""),"",IF(A140="",ROUND(SUM($H$28:H139),2),IF(A140=$D$8,$H$27-ROUND(SUM($H$28:H139),2),ROUND($H$27/$D$8,2))))</f>
        <v/>
      </c>
      <c r="I140" s="173" t="str">
        <f t="shared" si="57"/>
        <v/>
      </c>
      <c r="J140" s="173" t="str">
        <f t="shared" si="58"/>
        <v/>
      </c>
      <c r="K140" s="173" t="str">
        <f t="shared" si="65"/>
        <v/>
      </c>
      <c r="L140" s="173" t="str">
        <f t="shared" si="59"/>
        <v/>
      </c>
      <c r="M140" s="173" t="str">
        <f t="shared" si="61"/>
        <v/>
      </c>
      <c r="N140" s="173" t="str">
        <f t="shared" si="62"/>
        <v/>
      </c>
      <c r="O140" s="173" t="str">
        <f t="shared" si="63"/>
        <v/>
      </c>
      <c r="P140" s="173" t="str">
        <f t="shared" si="53"/>
        <v/>
      </c>
      <c r="Q140" s="173" t="str">
        <f t="shared" si="68"/>
        <v/>
      </c>
      <c r="R140" s="173" t="str">
        <f t="shared" si="60"/>
        <v/>
      </c>
      <c r="S140" s="176" t="str">
        <f>IF(A139=$D$8,XIRR(U$27:U139,C$27:C139),"")</f>
        <v/>
      </c>
      <c r="T140" s="173" t="str">
        <f t="shared" si="43"/>
        <v/>
      </c>
      <c r="U140" s="173">
        <f t="shared" si="51"/>
        <v>0</v>
      </c>
      <c r="V140" s="141" t="e">
        <f t="shared" ca="1" si="44"/>
        <v>#VALUE!</v>
      </c>
      <c r="W140" s="141" t="e">
        <f t="shared" ca="1" si="49"/>
        <v>#VALUE!</v>
      </c>
      <c r="X140" s="141" t="e">
        <f t="shared" ca="1" si="45"/>
        <v>#VALUE!</v>
      </c>
      <c r="Y140" s="177" t="e">
        <f t="shared" ca="1" si="64"/>
        <v>#VALUE!</v>
      </c>
      <c r="Z140" s="178" t="e">
        <f t="shared" ca="1" si="46"/>
        <v>#VALUE!</v>
      </c>
      <c r="AA140" s="141">
        <v>113</v>
      </c>
    </row>
    <row r="141" spans="1:27" x14ac:dyDescent="0.35">
      <c r="A141" s="175" t="str">
        <f t="shared" si="50"/>
        <v/>
      </c>
      <c r="B141" s="172">
        <f t="shared" ca="1" si="47"/>
        <v>48664</v>
      </c>
      <c r="C141" s="172" t="str">
        <f t="shared" ca="1" si="48"/>
        <v xml:space="preserve"> </v>
      </c>
      <c r="D141" s="175" t="str">
        <f t="shared" si="56"/>
        <v/>
      </c>
      <c r="E141" s="173" t="e">
        <f t="shared" si="42"/>
        <v>#VALUE!</v>
      </c>
      <c r="F141" s="173" t="str">
        <f>IF(A140=$D$8,SUM(F$28:F140),IF(A140&gt;$D$8,"",G141+H141))</f>
        <v/>
      </c>
      <c r="G141" s="173" t="str">
        <f>IF(A140=$D$8,ROUND(SUM($G$28:G140),2),IF(A141&gt;$F$8,"",IF(W141&lt;&gt;W140,ROUND(SUM(Y141*$E$12*E140/W141,Z141*$E$12*E140/W140),2),ROUND(E140*$E$12*D141/W140,2))))</f>
        <v/>
      </c>
      <c r="H141" s="173" t="str">
        <f>IF(AND(A140="",A142=""),"",IF(A141="",ROUND(SUM($H$28:H140),2),IF(A141=$D$8,$H$27-ROUND(SUM($H$28:H140),2),ROUND($H$27/$D$8,2))))</f>
        <v/>
      </c>
      <c r="I141" s="173" t="str">
        <f t="shared" si="57"/>
        <v/>
      </c>
      <c r="J141" s="173" t="str">
        <f t="shared" si="58"/>
        <v/>
      </c>
      <c r="K141" s="173" t="str">
        <f t="shared" si="65"/>
        <v/>
      </c>
      <c r="L141" s="173" t="str">
        <f t="shared" si="59"/>
        <v/>
      </c>
      <c r="M141" s="173" t="str">
        <f t="shared" si="61"/>
        <v/>
      </c>
      <c r="N141" s="173" t="str">
        <f t="shared" si="62"/>
        <v/>
      </c>
      <c r="O141" s="173" t="str">
        <f t="shared" si="63"/>
        <v/>
      </c>
      <c r="P141" s="173" t="str">
        <f t="shared" si="53"/>
        <v/>
      </c>
      <c r="Q141" s="173" t="str">
        <f t="shared" si="68"/>
        <v/>
      </c>
      <c r="R141" s="173" t="str">
        <f t="shared" si="60"/>
        <v/>
      </c>
      <c r="S141" s="176" t="str">
        <f>IF(A140=$D$8,XIRR(U$27:U140,C$27:C140),"")</f>
        <v/>
      </c>
      <c r="T141" s="173" t="str">
        <f t="shared" si="43"/>
        <v/>
      </c>
      <c r="U141" s="173">
        <f t="shared" si="51"/>
        <v>0</v>
      </c>
      <c r="V141" s="141" t="e">
        <f t="shared" ca="1" si="44"/>
        <v>#VALUE!</v>
      </c>
      <c r="W141" s="141" t="e">
        <f t="shared" ca="1" si="49"/>
        <v>#VALUE!</v>
      </c>
      <c r="X141" s="141" t="e">
        <f t="shared" ca="1" si="45"/>
        <v>#VALUE!</v>
      </c>
      <c r="Y141" s="177" t="e">
        <f t="shared" ca="1" si="64"/>
        <v>#VALUE!</v>
      </c>
      <c r="Z141" s="178" t="e">
        <f t="shared" ca="1" si="46"/>
        <v>#VALUE!</v>
      </c>
      <c r="AA141" s="141">
        <v>114</v>
      </c>
    </row>
    <row r="142" spans="1:27" x14ac:dyDescent="0.35">
      <c r="A142" s="175" t="str">
        <f t="shared" si="50"/>
        <v/>
      </c>
      <c r="B142" s="172">
        <f t="shared" ca="1" si="47"/>
        <v>48695</v>
      </c>
      <c r="C142" s="172" t="str">
        <f t="shared" ca="1" si="48"/>
        <v xml:space="preserve"> </v>
      </c>
      <c r="D142" s="175" t="str">
        <f t="shared" si="56"/>
        <v/>
      </c>
      <c r="E142" s="173" t="e">
        <f t="shared" si="42"/>
        <v>#VALUE!</v>
      </c>
      <c r="F142" s="173" t="str">
        <f>IF(A141=$D$8,SUM(F$28:F141),IF(A141&gt;$D$8,"",G142+H142))</f>
        <v/>
      </c>
      <c r="G142" s="173" t="str">
        <f>IF(A141=$D$8,ROUND(SUM($G$28:G141),2),IF(A142&gt;$F$8,"",IF(W142&lt;&gt;W141,ROUND(SUM(Y142*$E$12*E141/W142,Z142*$E$12*E141/W141),2),ROUND(E141*$E$12*D142/W141,2))))</f>
        <v/>
      </c>
      <c r="H142" s="173" t="str">
        <f>IF(AND(A141="",A143=""),"",IF(A142="",ROUND(SUM($H$28:H141),2),IF(A142=$D$8,$H$27-ROUND(SUM($H$28:H141),2),ROUND($H$27/$D$8,2))))</f>
        <v/>
      </c>
      <c r="I142" s="173" t="str">
        <f t="shared" si="57"/>
        <v/>
      </c>
      <c r="J142" s="173" t="str">
        <f t="shared" si="58"/>
        <v/>
      </c>
      <c r="K142" s="173" t="str">
        <f t="shared" si="65"/>
        <v/>
      </c>
      <c r="L142" s="173" t="str">
        <f t="shared" si="59"/>
        <v/>
      </c>
      <c r="M142" s="173" t="str">
        <f t="shared" si="61"/>
        <v/>
      </c>
      <c r="N142" s="173" t="str">
        <f t="shared" si="62"/>
        <v/>
      </c>
      <c r="O142" s="173" t="str">
        <f t="shared" si="63"/>
        <v/>
      </c>
      <c r="P142" s="173" t="str">
        <f t="shared" si="53"/>
        <v/>
      </c>
      <c r="Q142" s="173" t="str">
        <f t="shared" si="68"/>
        <v/>
      </c>
      <c r="R142" s="173" t="str">
        <f t="shared" si="60"/>
        <v/>
      </c>
      <c r="S142" s="176" t="str">
        <f>IF(A141=$D$8,XIRR(U$27:U141,C$27:C141),"")</f>
        <v/>
      </c>
      <c r="T142" s="173" t="str">
        <f t="shared" si="43"/>
        <v/>
      </c>
      <c r="U142" s="173">
        <f t="shared" si="51"/>
        <v>0</v>
      </c>
      <c r="V142" s="141" t="e">
        <f t="shared" ca="1" si="44"/>
        <v>#VALUE!</v>
      </c>
      <c r="W142" s="141" t="e">
        <f t="shared" ca="1" si="49"/>
        <v>#VALUE!</v>
      </c>
      <c r="X142" s="141" t="e">
        <f t="shared" ca="1" si="45"/>
        <v>#VALUE!</v>
      </c>
      <c r="Y142" s="177" t="e">
        <f t="shared" ca="1" si="64"/>
        <v>#VALUE!</v>
      </c>
      <c r="Z142" s="178" t="e">
        <f t="shared" ca="1" si="46"/>
        <v>#VALUE!</v>
      </c>
      <c r="AA142" s="141">
        <v>115</v>
      </c>
    </row>
    <row r="143" spans="1:27" x14ac:dyDescent="0.35">
      <c r="A143" s="175" t="str">
        <f t="shared" si="50"/>
        <v/>
      </c>
      <c r="B143" s="172">
        <f t="shared" ca="1" si="47"/>
        <v>48725</v>
      </c>
      <c r="C143" s="172" t="str">
        <f t="shared" ca="1" si="48"/>
        <v xml:space="preserve"> </v>
      </c>
      <c r="D143" s="175" t="str">
        <f t="shared" si="56"/>
        <v/>
      </c>
      <c r="E143" s="173" t="e">
        <f t="shared" si="42"/>
        <v>#VALUE!</v>
      </c>
      <c r="F143" s="173" t="str">
        <f>IF(A142=$D$8,SUM(F$28:F142),IF(A142&gt;$D$8,"",G143+H143))</f>
        <v/>
      </c>
      <c r="G143" s="173" t="str">
        <f>IF(A142=$D$8,ROUND(SUM($G$28:G142),2),IF(A143&gt;$F$8,"",IF(W143&lt;&gt;W142,ROUND(SUM(Y143*$E$12*E142/W143,Z143*$E$12*E142/W142),2),ROUND(E142*$E$12*D143/W142,2))))</f>
        <v/>
      </c>
      <c r="H143" s="173" t="str">
        <f>IF(AND(A142="",A144=""),"",IF(A143="",ROUND(SUM($H$28:H142),2),IF(A143=$D$8,$H$27-ROUND(SUM($H$28:H142),2),ROUND($H$27/$D$8,2))))</f>
        <v/>
      </c>
      <c r="I143" s="173" t="str">
        <f t="shared" si="57"/>
        <v/>
      </c>
      <c r="J143" s="173" t="str">
        <f t="shared" si="58"/>
        <v/>
      </c>
      <c r="K143" s="173" t="str">
        <f t="shared" si="65"/>
        <v/>
      </c>
      <c r="L143" s="173" t="str">
        <f t="shared" si="59"/>
        <v/>
      </c>
      <c r="M143" s="173" t="str">
        <f t="shared" si="61"/>
        <v/>
      </c>
      <c r="N143" s="173" t="str">
        <f t="shared" si="62"/>
        <v/>
      </c>
      <c r="O143" s="173" t="str">
        <f t="shared" si="63"/>
        <v/>
      </c>
      <c r="P143" s="173" t="str">
        <f t="shared" si="53"/>
        <v/>
      </c>
      <c r="Q143" s="173" t="str">
        <f t="shared" si="68"/>
        <v/>
      </c>
      <c r="R143" s="173" t="str">
        <f t="shared" si="60"/>
        <v/>
      </c>
      <c r="S143" s="176" t="str">
        <f>IF(A142=$D$8,XIRR(U$27:U142,C$27:C142),"")</f>
        <v/>
      </c>
      <c r="T143" s="173" t="str">
        <f t="shared" si="43"/>
        <v/>
      </c>
      <c r="U143" s="173">
        <f t="shared" si="51"/>
        <v>0</v>
      </c>
      <c r="V143" s="141" t="e">
        <f t="shared" ca="1" si="44"/>
        <v>#VALUE!</v>
      </c>
      <c r="W143" s="141" t="e">
        <f t="shared" ca="1" si="49"/>
        <v>#VALUE!</v>
      </c>
      <c r="X143" s="141" t="e">
        <f t="shared" ca="1" si="45"/>
        <v>#VALUE!</v>
      </c>
      <c r="Y143" s="177" t="e">
        <f t="shared" ca="1" si="64"/>
        <v>#VALUE!</v>
      </c>
      <c r="Z143" s="178" t="e">
        <f t="shared" ca="1" si="46"/>
        <v>#VALUE!</v>
      </c>
      <c r="AA143" s="141">
        <v>116</v>
      </c>
    </row>
    <row r="144" spans="1:27" x14ac:dyDescent="0.35">
      <c r="A144" s="175" t="str">
        <f t="shared" si="50"/>
        <v/>
      </c>
      <c r="B144" s="172">
        <f t="shared" ca="1" si="47"/>
        <v>48756</v>
      </c>
      <c r="C144" s="172" t="str">
        <f t="shared" ca="1" si="48"/>
        <v xml:space="preserve"> </v>
      </c>
      <c r="D144" s="175" t="str">
        <f t="shared" si="56"/>
        <v/>
      </c>
      <c r="E144" s="173" t="e">
        <f t="shared" si="42"/>
        <v>#VALUE!</v>
      </c>
      <c r="F144" s="173" t="str">
        <f>IF(A143=$D$8,SUM(F$28:F143),IF(A143&gt;$D$8,"",G144+H144))</f>
        <v/>
      </c>
      <c r="G144" s="173" t="str">
        <f>IF(A143=$D$8,ROUND(SUM($G$28:G143),2),IF(A144&gt;$F$8,"",IF(W144&lt;&gt;W143,ROUND(SUM(Y144*$E$12*E143/W144,Z144*$E$12*E143/W143),2),ROUND(E143*$E$12*D144/W143,2))))</f>
        <v/>
      </c>
      <c r="H144" s="173" t="str">
        <f>IF(AND(A143="",A145=""),"",IF(A144="",ROUND(SUM($H$28:H143),2),IF(A144=$D$8,$H$27-ROUND(SUM($H$28:H143),2),ROUND($H$27/$D$8,2))))</f>
        <v/>
      </c>
      <c r="I144" s="173" t="str">
        <f t="shared" si="57"/>
        <v/>
      </c>
      <c r="J144" s="173" t="str">
        <f t="shared" si="58"/>
        <v/>
      </c>
      <c r="K144" s="173" t="str">
        <f t="shared" si="65"/>
        <v/>
      </c>
      <c r="L144" s="173" t="str">
        <f t="shared" si="59"/>
        <v/>
      </c>
      <c r="M144" s="173" t="str">
        <f t="shared" si="61"/>
        <v/>
      </c>
      <c r="N144" s="173" t="str">
        <f t="shared" si="62"/>
        <v/>
      </c>
      <c r="O144" s="173" t="str">
        <f t="shared" si="63"/>
        <v/>
      </c>
      <c r="P144" s="173" t="str">
        <f t="shared" si="53"/>
        <v/>
      </c>
      <c r="Q144" s="173" t="str">
        <f t="shared" si="68"/>
        <v/>
      </c>
      <c r="R144" s="173" t="str">
        <f t="shared" si="60"/>
        <v/>
      </c>
      <c r="S144" s="176" t="str">
        <f>IF(A143=$D$8,XIRR(U$27:U143,C$27:C143),"")</f>
        <v/>
      </c>
      <c r="T144" s="173" t="str">
        <f t="shared" si="43"/>
        <v/>
      </c>
      <c r="U144" s="173">
        <f t="shared" si="51"/>
        <v>0</v>
      </c>
      <c r="V144" s="141" t="e">
        <f t="shared" ca="1" si="44"/>
        <v>#VALUE!</v>
      </c>
      <c r="W144" s="141" t="e">
        <f t="shared" ca="1" si="49"/>
        <v>#VALUE!</v>
      </c>
      <c r="X144" s="141" t="e">
        <f t="shared" ca="1" si="45"/>
        <v>#VALUE!</v>
      </c>
      <c r="Y144" s="177" t="e">
        <f t="shared" ca="1" si="64"/>
        <v>#VALUE!</v>
      </c>
      <c r="Z144" s="178" t="e">
        <f t="shared" ca="1" si="46"/>
        <v>#VALUE!</v>
      </c>
      <c r="AA144" s="141">
        <v>117</v>
      </c>
    </row>
    <row r="145" spans="1:27" x14ac:dyDescent="0.35">
      <c r="A145" s="175" t="str">
        <f t="shared" si="50"/>
        <v/>
      </c>
      <c r="B145" s="172">
        <f t="shared" ca="1" si="47"/>
        <v>48786</v>
      </c>
      <c r="C145" s="172" t="str">
        <f t="shared" ca="1" si="48"/>
        <v xml:space="preserve"> </v>
      </c>
      <c r="D145" s="175" t="str">
        <f t="shared" si="56"/>
        <v/>
      </c>
      <c r="E145" s="173" t="e">
        <f t="shared" si="42"/>
        <v>#VALUE!</v>
      </c>
      <c r="F145" s="173" t="str">
        <f>IF(A144=$D$8,SUM(F$28:F144),IF(A144&gt;$D$8,"",G145+H145))</f>
        <v/>
      </c>
      <c r="G145" s="173" t="str">
        <f>IF(A144=$D$8,ROUND(SUM($G$28:G144),2),IF(A145&gt;$F$8,"",IF(W145&lt;&gt;W144,ROUND(SUM(Y145*$E$12*E144/W145,Z145*$E$12*E144/W144),2),ROUND(E144*$E$12*D145/W144,2))))</f>
        <v/>
      </c>
      <c r="H145" s="173" t="str">
        <f>IF(AND(A144="",A146=""),"",IF(A145="",ROUND(SUM($H$28:H144),2),IF(A145=$D$8,$H$27-ROUND(SUM($H$28:H144),2),ROUND($H$27/$D$8,2))))</f>
        <v/>
      </c>
      <c r="I145" s="173" t="str">
        <f t="shared" si="57"/>
        <v/>
      </c>
      <c r="J145" s="173" t="str">
        <f t="shared" si="58"/>
        <v/>
      </c>
      <c r="K145" s="173" t="str">
        <f t="shared" si="65"/>
        <v/>
      </c>
      <c r="L145" s="173" t="str">
        <f t="shared" si="59"/>
        <v/>
      </c>
      <c r="M145" s="173" t="str">
        <f t="shared" si="61"/>
        <v/>
      </c>
      <c r="N145" s="173" t="str">
        <f t="shared" si="62"/>
        <v/>
      </c>
      <c r="O145" s="173" t="str">
        <f t="shared" si="63"/>
        <v/>
      </c>
      <c r="P145" s="173" t="str">
        <f t="shared" si="53"/>
        <v/>
      </c>
      <c r="Q145" s="173" t="str">
        <f t="shared" si="68"/>
        <v/>
      </c>
      <c r="R145" s="173" t="str">
        <f t="shared" si="60"/>
        <v/>
      </c>
      <c r="S145" s="176" t="str">
        <f>IF(A144=$D$8,XIRR(U$27:U144,C$27:C144),"")</f>
        <v/>
      </c>
      <c r="T145" s="173" t="str">
        <f t="shared" si="43"/>
        <v/>
      </c>
      <c r="U145" s="173">
        <f t="shared" si="51"/>
        <v>0</v>
      </c>
      <c r="V145" s="141" t="e">
        <f t="shared" ca="1" si="44"/>
        <v>#VALUE!</v>
      </c>
      <c r="W145" s="141" t="e">
        <f t="shared" ca="1" si="49"/>
        <v>#VALUE!</v>
      </c>
      <c r="X145" s="141" t="e">
        <f t="shared" ca="1" si="45"/>
        <v>#VALUE!</v>
      </c>
      <c r="Y145" s="177" t="e">
        <f t="shared" ca="1" si="64"/>
        <v>#VALUE!</v>
      </c>
      <c r="Z145" s="178" t="e">
        <f t="shared" ca="1" si="46"/>
        <v>#VALUE!</v>
      </c>
      <c r="AA145" s="141">
        <v>118</v>
      </c>
    </row>
    <row r="146" spans="1:27" x14ac:dyDescent="0.35">
      <c r="A146" s="175" t="str">
        <f t="shared" si="50"/>
        <v/>
      </c>
      <c r="B146" s="172">
        <f t="shared" ca="1" si="47"/>
        <v>48817</v>
      </c>
      <c r="C146" s="172" t="str">
        <f t="shared" ca="1" si="48"/>
        <v xml:space="preserve"> </v>
      </c>
      <c r="D146" s="175" t="str">
        <f t="shared" si="56"/>
        <v/>
      </c>
      <c r="E146" s="173" t="e">
        <f t="shared" si="42"/>
        <v>#VALUE!</v>
      </c>
      <c r="F146" s="173" t="str">
        <f>IF(A145=$D$8,SUM(F$28:F145),IF(A145&gt;$D$8,"",G146+H146))</f>
        <v/>
      </c>
      <c r="G146" s="173" t="str">
        <f>IF(A145=$D$8,ROUND(SUM($G$28:G145),2),IF(A146&gt;$F$8,"",IF(W146&lt;&gt;W145,ROUND(SUM(Y146*$E$12*E145/W146,Z146*$E$12*E145/W145),2),ROUND(E145*$E$12*D146/W145,2))))</f>
        <v/>
      </c>
      <c r="H146" s="173" t="str">
        <f>IF(AND(A145="",A147=""),"",IF(A146="",ROUND(SUM($H$28:H145),2),IF(A146=$D$8,$H$27-ROUND(SUM($H$28:H145),2),ROUND($H$27/$D$8,2))))</f>
        <v/>
      </c>
      <c r="I146" s="173" t="str">
        <f t="shared" si="57"/>
        <v/>
      </c>
      <c r="J146" s="173" t="str">
        <f t="shared" si="58"/>
        <v/>
      </c>
      <c r="K146" s="173" t="str">
        <f t="shared" si="65"/>
        <v/>
      </c>
      <c r="L146" s="173" t="str">
        <f t="shared" si="59"/>
        <v/>
      </c>
      <c r="M146" s="173" t="str">
        <f t="shared" si="61"/>
        <v/>
      </c>
      <c r="N146" s="173" t="str">
        <f t="shared" si="62"/>
        <v/>
      </c>
      <c r="O146" s="173" t="str">
        <f t="shared" si="63"/>
        <v/>
      </c>
      <c r="P146" s="173" t="str">
        <f t="shared" si="53"/>
        <v/>
      </c>
      <c r="Q146" s="173" t="str">
        <f t="shared" si="68"/>
        <v/>
      </c>
      <c r="R146" s="173" t="str">
        <f t="shared" si="60"/>
        <v/>
      </c>
      <c r="S146" s="176" t="str">
        <f>IF(A145=$D$8,XIRR(U$27:U145,C$27:C145),"")</f>
        <v/>
      </c>
      <c r="T146" s="173" t="str">
        <f t="shared" si="43"/>
        <v/>
      </c>
      <c r="U146" s="173">
        <f t="shared" si="51"/>
        <v>0</v>
      </c>
      <c r="V146" s="141" t="e">
        <f t="shared" ca="1" si="44"/>
        <v>#VALUE!</v>
      </c>
      <c r="W146" s="141" t="e">
        <f t="shared" ca="1" si="49"/>
        <v>#VALUE!</v>
      </c>
      <c r="X146" s="141" t="e">
        <f t="shared" ca="1" si="45"/>
        <v>#VALUE!</v>
      </c>
      <c r="Y146" s="177" t="e">
        <f t="shared" ca="1" si="64"/>
        <v>#VALUE!</v>
      </c>
      <c r="Z146" s="178" t="e">
        <f t="shared" ca="1" si="46"/>
        <v>#VALUE!</v>
      </c>
      <c r="AA146" s="141">
        <v>119</v>
      </c>
    </row>
    <row r="147" spans="1:27" x14ac:dyDescent="0.35">
      <c r="A147" s="175" t="str">
        <f t="shared" si="50"/>
        <v/>
      </c>
      <c r="B147" s="172">
        <f t="shared" ca="1" si="47"/>
        <v>48848</v>
      </c>
      <c r="C147" s="172" t="str">
        <f t="shared" ca="1" si="48"/>
        <v xml:space="preserve"> </v>
      </c>
      <c r="D147" s="175" t="str">
        <f t="shared" si="56"/>
        <v/>
      </c>
      <c r="E147" s="173" t="e">
        <f t="shared" si="42"/>
        <v>#VALUE!</v>
      </c>
      <c r="F147" s="173" t="str">
        <f>IF(A146=$D$8,SUM(F$28:F146),IF(A146&gt;$D$8,"",G147+H147))</f>
        <v/>
      </c>
      <c r="G147" s="173" t="str">
        <f>IF(A146=$D$8,ROUND(SUM($G$28:G146),2),IF(A147&gt;$F$8,"",IF(W147&lt;&gt;W146,ROUND(SUM(Y147*$E$12*E146/W147,Z147*$E$12*E146/W146),2),ROUND(E146*$E$12*D147/W146,2))))</f>
        <v/>
      </c>
      <c r="H147" s="173" t="str">
        <f>IF(AND(A146="",A148=""),"",IF(A147="",ROUND(SUM($H$28:H146),2),IF(A147=$D$8,$H$27-ROUND(SUM($H$28:H146),2),ROUND($H$27/$D$8,2))))</f>
        <v/>
      </c>
      <c r="I147" s="173" t="str">
        <f t="shared" si="57"/>
        <v/>
      </c>
      <c r="J147" s="173" t="str">
        <f t="shared" si="58"/>
        <v/>
      </c>
      <c r="K147" s="173" t="str">
        <f t="shared" si="65"/>
        <v/>
      </c>
      <c r="L147" s="173" t="str">
        <f t="shared" si="59"/>
        <v/>
      </c>
      <c r="M147" s="173" t="str">
        <f t="shared" si="61"/>
        <v/>
      </c>
      <c r="N147" s="173" t="str">
        <f t="shared" si="62"/>
        <v/>
      </c>
      <c r="O147" s="173" t="str">
        <f t="shared" si="63"/>
        <v/>
      </c>
      <c r="P147" s="173" t="str">
        <f t="shared" si="53"/>
        <v/>
      </c>
      <c r="Q147" s="173" t="str">
        <f t="shared" si="68"/>
        <v/>
      </c>
      <c r="R147" s="173" t="str">
        <f t="shared" si="60"/>
        <v/>
      </c>
      <c r="S147" s="176" t="str">
        <f>IF(A146=$D$8,XIRR(U$27:U146,C$27:C146),"")</f>
        <v/>
      </c>
      <c r="T147" s="173" t="str">
        <f t="shared" si="43"/>
        <v/>
      </c>
      <c r="U147" s="173">
        <f t="shared" si="51"/>
        <v>0</v>
      </c>
      <c r="V147" s="141" t="e">
        <f t="shared" ca="1" si="44"/>
        <v>#VALUE!</v>
      </c>
      <c r="W147" s="141" t="e">
        <f t="shared" ca="1" si="49"/>
        <v>#VALUE!</v>
      </c>
      <c r="X147" s="141" t="e">
        <f t="shared" ca="1" si="45"/>
        <v>#VALUE!</v>
      </c>
      <c r="Y147" s="177" t="e">
        <f t="shared" ca="1" si="64"/>
        <v>#VALUE!</v>
      </c>
      <c r="Z147" s="178" t="e">
        <f t="shared" ca="1" si="46"/>
        <v>#VALUE!</v>
      </c>
      <c r="AA147" s="141">
        <v>120</v>
      </c>
    </row>
    <row r="148" spans="1:27" x14ac:dyDescent="0.35">
      <c r="A148" s="175" t="str">
        <f t="shared" si="50"/>
        <v/>
      </c>
      <c r="B148" s="172">
        <f t="shared" ca="1" si="47"/>
        <v>48878</v>
      </c>
      <c r="C148" s="172" t="str">
        <f t="shared" ca="1" si="48"/>
        <v xml:space="preserve"> </v>
      </c>
      <c r="D148" s="175" t="str">
        <f t="shared" si="56"/>
        <v/>
      </c>
      <c r="E148" s="173" t="e">
        <f t="shared" si="42"/>
        <v>#VALUE!</v>
      </c>
      <c r="F148" s="173" t="str">
        <f>IF(A147=$D$8,SUM(F$28:F147),IF(A147&gt;$D$8,"",G148+H148))</f>
        <v/>
      </c>
      <c r="G148" s="173" t="str">
        <f>IF(A147=$D$8,ROUND(SUM($G$28:G147),2),IF(A148&gt;$F$8,"",IF(W148&lt;&gt;W147,ROUND(SUM(Y148*$E$12*E147/W148,Z148*$E$12*E147/W147),2),ROUND(E147*$E$12*D148/W147,2))))</f>
        <v/>
      </c>
      <c r="H148" s="173" t="str">
        <f>IF(AND(A147="",A149=""),"",IF(A148="",ROUND(SUM($H$28:H147),2),IF(A148=$D$8,$H$27-ROUND(SUM($H$28:H147),2),ROUND($H$27/$D$8,2))))</f>
        <v/>
      </c>
      <c r="I148" s="173" t="str">
        <f t="shared" si="57"/>
        <v/>
      </c>
      <c r="J148" s="173" t="str">
        <f t="shared" si="58"/>
        <v/>
      </c>
      <c r="K148" s="173" t="str">
        <f>IF($F$8&gt;120,($R$14),IF(A147=$F$8,K136+K124+K112+K100+K88+K76+K64+K52+K40+K27,""))</f>
        <v/>
      </c>
      <c r="L148" s="173" t="str">
        <f t="shared" si="59"/>
        <v/>
      </c>
      <c r="M148" s="173" t="str">
        <f t="shared" si="61"/>
        <v/>
      </c>
      <c r="N148" s="173" t="str">
        <f t="shared" si="62"/>
        <v/>
      </c>
      <c r="O148" s="173" t="str">
        <f t="shared" si="63"/>
        <v/>
      </c>
      <c r="P148" s="173" t="str">
        <f t="shared" si="53"/>
        <v/>
      </c>
      <c r="Q148" s="173" t="str">
        <f>IF($F$8&gt;120,($S$8+$S$10),IF($A147=$F$8,$Q$40+$Q$27+$Q$52+$Q$64+$Q$76+$Q$88+$Q$100+$Q$112+$Q$124+$Q$136,""))</f>
        <v/>
      </c>
      <c r="R148" s="173" t="str">
        <f t="shared" si="60"/>
        <v/>
      </c>
      <c r="S148" s="176" t="str">
        <f>IF(A147=$D$8,XIRR(U$27:U147,C$27:C147),"")</f>
        <v/>
      </c>
      <c r="T148" s="173" t="str">
        <f t="shared" si="43"/>
        <v/>
      </c>
      <c r="U148" s="173">
        <f t="shared" si="51"/>
        <v>0</v>
      </c>
      <c r="V148" s="141" t="e">
        <f t="shared" ca="1" si="44"/>
        <v>#VALUE!</v>
      </c>
      <c r="W148" s="141" t="e">
        <f t="shared" ca="1" si="49"/>
        <v>#VALUE!</v>
      </c>
      <c r="X148" s="141" t="e">
        <f t="shared" ca="1" si="45"/>
        <v>#VALUE!</v>
      </c>
      <c r="Y148" s="177" t="e">
        <f t="shared" ca="1" si="64"/>
        <v>#VALUE!</v>
      </c>
      <c r="Z148" s="178" t="e">
        <f t="shared" ca="1" si="46"/>
        <v>#VALUE!</v>
      </c>
      <c r="AA148" s="141">
        <v>121</v>
      </c>
    </row>
    <row r="149" spans="1:27" x14ac:dyDescent="0.35">
      <c r="A149" s="175" t="str">
        <f t="shared" si="50"/>
        <v/>
      </c>
      <c r="B149" s="172">
        <f t="shared" ca="1" si="47"/>
        <v>48909</v>
      </c>
      <c r="C149" s="172" t="str">
        <f t="shared" ca="1" si="48"/>
        <v xml:space="preserve"> </v>
      </c>
      <c r="D149" s="175" t="str">
        <f t="shared" si="56"/>
        <v/>
      </c>
      <c r="E149" s="173" t="e">
        <f t="shared" si="42"/>
        <v>#VALUE!</v>
      </c>
      <c r="F149" s="173" t="str">
        <f>IF(A148=$D$8,SUM(F$28:F148),IF(A148&gt;$D$8,"",G149+H149))</f>
        <v/>
      </c>
      <c r="G149" s="173" t="str">
        <f>IF(A148=$D$8,ROUND(SUM($G$28:G148),2),IF(A149&gt;$F$8,"",IF(W149&lt;&gt;W148,ROUND(SUM(Y149*$E$12*E148/W149,Z149*$E$12*E148/W148),2),ROUND(E148*$E$12*D149/W148,2))))</f>
        <v/>
      </c>
      <c r="H149" s="173" t="str">
        <f>IF(AND(A148="",A150=""),"",IF(A149="",ROUND(SUM($H$28:H148),2),IF(A149=$D$8,$H$27-ROUND(SUM($H$28:H148),2),ROUND($H$27/$D$8,2))))</f>
        <v/>
      </c>
      <c r="I149" s="173" t="str">
        <f t="shared" si="57"/>
        <v/>
      </c>
      <c r="J149" s="173" t="str">
        <f t="shared" si="58"/>
        <v/>
      </c>
      <c r="K149" s="173" t="str">
        <f t="shared" si="65"/>
        <v/>
      </c>
      <c r="L149" s="173" t="str">
        <f t="shared" si="59"/>
        <v/>
      </c>
      <c r="M149" s="173" t="str">
        <f t="shared" si="61"/>
        <v/>
      </c>
      <c r="N149" s="173" t="str">
        <f t="shared" si="62"/>
        <v/>
      </c>
      <c r="O149" s="173" t="str">
        <f t="shared" si="63"/>
        <v/>
      </c>
      <c r="P149" s="173" t="str">
        <f t="shared" si="53"/>
        <v/>
      </c>
      <c r="Q149" s="173" t="str">
        <f t="shared" ref="Q149:Q159" si="69">IF(A148=$D$8,$Q$27,"")</f>
        <v/>
      </c>
      <c r="R149" s="173" t="str">
        <f t="shared" si="60"/>
        <v/>
      </c>
      <c r="S149" s="176" t="str">
        <f>IF(A148=$D$8,XIRR(U$27:U148,C$27:C148),"")</f>
        <v/>
      </c>
      <c r="T149" s="173" t="str">
        <f t="shared" si="43"/>
        <v/>
      </c>
      <c r="U149" s="173">
        <f t="shared" si="51"/>
        <v>0</v>
      </c>
      <c r="V149" s="141" t="e">
        <f t="shared" ca="1" si="44"/>
        <v>#VALUE!</v>
      </c>
      <c r="W149" s="141" t="e">
        <f t="shared" ca="1" si="49"/>
        <v>#VALUE!</v>
      </c>
      <c r="X149" s="141" t="e">
        <f t="shared" ca="1" si="45"/>
        <v>#VALUE!</v>
      </c>
      <c r="Y149" s="177" t="e">
        <f t="shared" ca="1" si="64"/>
        <v>#VALUE!</v>
      </c>
      <c r="Z149" s="178" t="e">
        <f t="shared" ca="1" si="46"/>
        <v>#VALUE!</v>
      </c>
      <c r="AA149" s="141">
        <v>122</v>
      </c>
    </row>
    <row r="150" spans="1:27" x14ac:dyDescent="0.35">
      <c r="A150" s="175" t="str">
        <f t="shared" si="50"/>
        <v/>
      </c>
      <c r="B150" s="172">
        <f t="shared" ca="1" si="47"/>
        <v>48939</v>
      </c>
      <c r="C150" s="172" t="str">
        <f t="shared" ca="1" si="48"/>
        <v xml:space="preserve"> </v>
      </c>
      <c r="D150" s="175" t="str">
        <f t="shared" si="56"/>
        <v/>
      </c>
      <c r="E150" s="173" t="e">
        <f t="shared" si="42"/>
        <v>#VALUE!</v>
      </c>
      <c r="F150" s="173" t="str">
        <f>IF(A149=$D$8,SUM(F$28:F149),IF(A149&gt;$D$8,"",G150+H150))</f>
        <v/>
      </c>
      <c r="G150" s="173" t="str">
        <f>IF(A149=$D$8,ROUND(SUM($G$28:G149),2),IF(A150&gt;$F$8,"",IF(W150&lt;&gt;W149,ROUND(SUM(Y150*$E$12*E149/W150,Z150*$E$12*E149/W149),2),ROUND(E149*$E$12*D150/W149,2))))</f>
        <v/>
      </c>
      <c r="H150" s="173" t="str">
        <f>IF(AND(A149="",A151=""),"",IF(A150="",ROUND(SUM($H$28:H149),2),IF(A150=$D$8,$H$27-ROUND(SUM($H$28:H149),2),ROUND($H$27/$D$8,2))))</f>
        <v/>
      </c>
      <c r="I150" s="173" t="str">
        <f t="shared" si="57"/>
        <v/>
      </c>
      <c r="J150" s="173" t="str">
        <f t="shared" si="58"/>
        <v/>
      </c>
      <c r="K150" s="173" t="str">
        <f t="shared" si="65"/>
        <v/>
      </c>
      <c r="L150" s="173" t="str">
        <f t="shared" si="59"/>
        <v/>
      </c>
      <c r="M150" s="173" t="str">
        <f t="shared" si="61"/>
        <v/>
      </c>
      <c r="N150" s="173" t="str">
        <f t="shared" si="62"/>
        <v/>
      </c>
      <c r="O150" s="173" t="str">
        <f t="shared" si="63"/>
        <v/>
      </c>
      <c r="P150" s="173" t="str">
        <f t="shared" si="53"/>
        <v/>
      </c>
      <c r="Q150" s="173" t="str">
        <f t="shared" si="69"/>
        <v/>
      </c>
      <c r="R150" s="173" t="str">
        <f t="shared" si="60"/>
        <v/>
      </c>
      <c r="S150" s="176" t="str">
        <f>IF(A149=$D$8,XIRR(U$27:U149,C$27:C149),"")</f>
        <v/>
      </c>
      <c r="T150" s="173" t="str">
        <f t="shared" si="43"/>
        <v/>
      </c>
      <c r="U150" s="173">
        <f t="shared" si="51"/>
        <v>0</v>
      </c>
      <c r="V150" s="141" t="e">
        <f t="shared" ca="1" si="44"/>
        <v>#VALUE!</v>
      </c>
      <c r="W150" s="141" t="e">
        <f t="shared" ca="1" si="49"/>
        <v>#VALUE!</v>
      </c>
      <c r="X150" s="141" t="e">
        <f t="shared" ca="1" si="45"/>
        <v>#VALUE!</v>
      </c>
      <c r="Y150" s="177" t="e">
        <f t="shared" ca="1" si="64"/>
        <v>#VALUE!</v>
      </c>
      <c r="Z150" s="178" t="e">
        <f t="shared" ca="1" si="46"/>
        <v>#VALUE!</v>
      </c>
      <c r="AA150" s="141">
        <v>123</v>
      </c>
    </row>
    <row r="151" spans="1:27" x14ac:dyDescent="0.35">
      <c r="A151" s="175" t="str">
        <f t="shared" si="50"/>
        <v/>
      </c>
      <c r="B151" s="172">
        <f t="shared" ca="1" si="47"/>
        <v>48970</v>
      </c>
      <c r="C151" s="172" t="str">
        <f t="shared" ca="1" si="48"/>
        <v xml:space="preserve"> </v>
      </c>
      <c r="D151" s="175" t="str">
        <f t="shared" si="56"/>
        <v/>
      </c>
      <c r="E151" s="173" t="e">
        <f t="shared" si="42"/>
        <v>#VALUE!</v>
      </c>
      <c r="F151" s="173" t="str">
        <f>IF(A150=$D$8,SUM(F$28:F150),IF(A150&gt;$D$8,"",G151+H151))</f>
        <v/>
      </c>
      <c r="G151" s="173" t="str">
        <f>IF(A150=$D$8,ROUND(SUM($G$28:G150),2),IF(A151&gt;$F$8,"",IF(W151&lt;&gt;W150,ROUND(SUM(Y151*$E$12*E150/W151,Z151*$E$12*E150/W150),2),ROUND(E150*$E$12*D151/W150,2))))</f>
        <v/>
      </c>
      <c r="H151" s="173" t="str">
        <f>IF(AND(A150="",A152=""),"",IF(A151="",ROUND(SUM($H$28:H150),2),IF(A151=$D$8,$H$27-ROUND(SUM($H$28:H150),2),ROUND($H$27/$D$8,2))))</f>
        <v/>
      </c>
      <c r="I151" s="173" t="str">
        <f t="shared" si="57"/>
        <v/>
      </c>
      <c r="J151" s="173" t="str">
        <f t="shared" si="58"/>
        <v/>
      </c>
      <c r="K151" s="173" t="str">
        <f t="shared" si="65"/>
        <v/>
      </c>
      <c r="L151" s="173" t="str">
        <f t="shared" si="59"/>
        <v/>
      </c>
      <c r="M151" s="173" t="str">
        <f t="shared" si="61"/>
        <v/>
      </c>
      <c r="N151" s="173" t="str">
        <f t="shared" si="62"/>
        <v/>
      </c>
      <c r="O151" s="173" t="str">
        <f t="shared" si="63"/>
        <v/>
      </c>
      <c r="P151" s="173" t="str">
        <f t="shared" si="53"/>
        <v/>
      </c>
      <c r="Q151" s="173" t="str">
        <f t="shared" si="69"/>
        <v/>
      </c>
      <c r="R151" s="173" t="str">
        <f t="shared" si="60"/>
        <v/>
      </c>
      <c r="S151" s="176" t="str">
        <f>IF(A150=$D$8,XIRR(U$27:U150,C$27:C150),"")</f>
        <v/>
      </c>
      <c r="T151" s="173" t="str">
        <f t="shared" si="43"/>
        <v/>
      </c>
      <c r="U151" s="173">
        <f t="shared" si="51"/>
        <v>0</v>
      </c>
      <c r="V151" s="141" t="e">
        <f t="shared" ca="1" si="44"/>
        <v>#VALUE!</v>
      </c>
      <c r="W151" s="141" t="e">
        <f t="shared" ca="1" si="49"/>
        <v>#VALUE!</v>
      </c>
      <c r="X151" s="141" t="e">
        <f t="shared" ca="1" si="45"/>
        <v>#VALUE!</v>
      </c>
      <c r="Y151" s="177" t="e">
        <f t="shared" ca="1" si="64"/>
        <v>#VALUE!</v>
      </c>
      <c r="Z151" s="178" t="e">
        <f t="shared" ca="1" si="46"/>
        <v>#VALUE!</v>
      </c>
      <c r="AA151" s="141">
        <v>124</v>
      </c>
    </row>
    <row r="152" spans="1:27" x14ac:dyDescent="0.35">
      <c r="A152" s="175" t="str">
        <f t="shared" si="50"/>
        <v/>
      </c>
      <c r="B152" s="172">
        <f t="shared" ca="1" si="47"/>
        <v>49001</v>
      </c>
      <c r="C152" s="172" t="str">
        <f t="shared" ca="1" si="48"/>
        <v xml:space="preserve"> </v>
      </c>
      <c r="D152" s="175" t="str">
        <f t="shared" si="56"/>
        <v/>
      </c>
      <c r="E152" s="173" t="e">
        <f t="shared" si="42"/>
        <v>#VALUE!</v>
      </c>
      <c r="F152" s="173" t="str">
        <f>IF(A151=$D$8,SUM(F$28:F151),IF(A151&gt;$D$8,"",G152+H152))</f>
        <v/>
      </c>
      <c r="G152" s="173" t="str">
        <f>IF(A151=$D$8,ROUND(SUM($G$28:G151),2),IF(A152&gt;$F$8,"",IF(W152&lt;&gt;W151,ROUND(SUM(Y152*$E$12*E151/W152,Z152*$E$12*E151/W151),2),ROUND(E151*$E$12*D152/W151,2))))</f>
        <v/>
      </c>
      <c r="H152" s="173" t="str">
        <f>IF(AND(A151="",A153=""),"",IF(A152="",ROUND(SUM($H$28:H151),2),IF(A152=$D$8,$H$27-ROUND(SUM($H$28:H151),2),ROUND($H$27/$D$8,2))))</f>
        <v/>
      </c>
      <c r="I152" s="173" t="str">
        <f t="shared" si="57"/>
        <v/>
      </c>
      <c r="J152" s="173" t="str">
        <f t="shared" si="58"/>
        <v/>
      </c>
      <c r="K152" s="173" t="str">
        <f t="shared" si="65"/>
        <v/>
      </c>
      <c r="L152" s="173" t="str">
        <f t="shared" si="59"/>
        <v/>
      </c>
      <c r="M152" s="173" t="str">
        <f t="shared" si="61"/>
        <v/>
      </c>
      <c r="N152" s="173" t="str">
        <f t="shared" si="62"/>
        <v/>
      </c>
      <c r="O152" s="173" t="str">
        <f t="shared" si="63"/>
        <v/>
      </c>
      <c r="P152" s="173" t="str">
        <f t="shared" si="53"/>
        <v/>
      </c>
      <c r="Q152" s="173" t="str">
        <f t="shared" si="69"/>
        <v/>
      </c>
      <c r="R152" s="173" t="str">
        <f t="shared" si="60"/>
        <v/>
      </c>
      <c r="S152" s="176" t="str">
        <f>IF(A151=$D$8,XIRR(U$27:U151,C$27:C151),"")</f>
        <v/>
      </c>
      <c r="T152" s="173" t="str">
        <f t="shared" si="43"/>
        <v/>
      </c>
      <c r="U152" s="173">
        <f t="shared" si="51"/>
        <v>0</v>
      </c>
      <c r="V152" s="141" t="e">
        <f t="shared" ca="1" si="44"/>
        <v>#VALUE!</v>
      </c>
      <c r="W152" s="141" t="e">
        <f t="shared" ca="1" si="49"/>
        <v>#VALUE!</v>
      </c>
      <c r="X152" s="141" t="e">
        <f t="shared" ca="1" si="45"/>
        <v>#VALUE!</v>
      </c>
      <c r="Y152" s="177" t="e">
        <f t="shared" ca="1" si="64"/>
        <v>#VALUE!</v>
      </c>
      <c r="Z152" s="178" t="e">
        <f t="shared" ca="1" si="46"/>
        <v>#VALUE!</v>
      </c>
      <c r="AA152" s="141">
        <v>125</v>
      </c>
    </row>
    <row r="153" spans="1:27" x14ac:dyDescent="0.35">
      <c r="A153" s="175" t="str">
        <f t="shared" si="50"/>
        <v/>
      </c>
      <c r="B153" s="172">
        <f t="shared" ca="1" si="47"/>
        <v>49029</v>
      </c>
      <c r="C153" s="172" t="str">
        <f t="shared" ca="1" si="48"/>
        <v xml:space="preserve"> </v>
      </c>
      <c r="D153" s="175" t="str">
        <f t="shared" si="56"/>
        <v/>
      </c>
      <c r="E153" s="173" t="e">
        <f t="shared" si="42"/>
        <v>#VALUE!</v>
      </c>
      <c r="F153" s="173" t="str">
        <f>IF(A152=$D$8,SUM(F$28:F152),IF(A152&gt;$D$8,"",G153+H153))</f>
        <v/>
      </c>
      <c r="G153" s="173" t="str">
        <f>IF(A152=$D$8,ROUND(SUM($G$28:G152),2),IF(A153&gt;$F$8,"",IF(W153&lt;&gt;W152,ROUND(SUM(Y153*$E$12*E152/W153,Z153*$E$12*E152/W152),2),ROUND(E152*$E$12*D153/W152,2))))</f>
        <v/>
      </c>
      <c r="H153" s="173" t="str">
        <f>IF(AND(A152="",A154=""),"",IF(A153="",ROUND(SUM($H$28:H152),2),IF(A153=$D$8,$H$27-ROUND(SUM($H$28:H152),2),ROUND($H$27/$D$8,2))))</f>
        <v/>
      </c>
      <c r="I153" s="173" t="str">
        <f t="shared" si="57"/>
        <v/>
      </c>
      <c r="J153" s="173" t="str">
        <f t="shared" si="58"/>
        <v/>
      </c>
      <c r="K153" s="173" t="str">
        <f t="shared" si="65"/>
        <v/>
      </c>
      <c r="L153" s="173" t="str">
        <f t="shared" si="59"/>
        <v/>
      </c>
      <c r="M153" s="173" t="str">
        <f t="shared" si="61"/>
        <v/>
      </c>
      <c r="N153" s="173" t="str">
        <f t="shared" si="62"/>
        <v/>
      </c>
      <c r="O153" s="173" t="str">
        <f t="shared" si="63"/>
        <v/>
      </c>
      <c r="P153" s="173" t="str">
        <f t="shared" si="53"/>
        <v/>
      </c>
      <c r="Q153" s="173" t="str">
        <f t="shared" si="69"/>
        <v/>
      </c>
      <c r="R153" s="173" t="str">
        <f t="shared" si="60"/>
        <v/>
      </c>
      <c r="S153" s="176" t="str">
        <f>IF(A152=$D$8,XIRR(U$27:U152,C$27:C152),"")</f>
        <v/>
      </c>
      <c r="T153" s="173" t="str">
        <f t="shared" si="43"/>
        <v/>
      </c>
      <c r="U153" s="173">
        <f t="shared" si="51"/>
        <v>0</v>
      </c>
      <c r="V153" s="141" t="e">
        <f t="shared" ca="1" si="44"/>
        <v>#VALUE!</v>
      </c>
      <c r="W153" s="141" t="e">
        <f t="shared" ca="1" si="49"/>
        <v>#VALUE!</v>
      </c>
      <c r="X153" s="141" t="e">
        <f t="shared" ca="1" si="45"/>
        <v>#VALUE!</v>
      </c>
      <c r="Y153" s="177" t="e">
        <f t="shared" ca="1" si="64"/>
        <v>#VALUE!</v>
      </c>
      <c r="Z153" s="178" t="e">
        <f t="shared" ca="1" si="46"/>
        <v>#VALUE!</v>
      </c>
      <c r="AA153" s="141">
        <v>126</v>
      </c>
    </row>
    <row r="154" spans="1:27" x14ac:dyDescent="0.35">
      <c r="A154" s="175" t="str">
        <f t="shared" si="50"/>
        <v/>
      </c>
      <c r="B154" s="172">
        <f t="shared" ca="1" si="47"/>
        <v>49060</v>
      </c>
      <c r="C154" s="172" t="str">
        <f t="shared" ca="1" si="48"/>
        <v xml:space="preserve"> </v>
      </c>
      <c r="D154" s="175" t="str">
        <f t="shared" si="56"/>
        <v/>
      </c>
      <c r="E154" s="173" t="e">
        <f t="shared" si="42"/>
        <v>#VALUE!</v>
      </c>
      <c r="F154" s="173" t="str">
        <f>IF(A153=$D$8,SUM(F$28:F153),IF(A153&gt;$D$8,"",G154+H154))</f>
        <v/>
      </c>
      <c r="G154" s="173" t="str">
        <f>IF(A153=$D$8,ROUND(SUM($G$28:G153),2),IF(A154&gt;$F$8,"",IF(W154&lt;&gt;W153,ROUND(SUM(Y154*$E$12*E153/W154,Z154*$E$12*E153/W153),2),ROUND(E153*$E$12*D154/W153,2))))</f>
        <v/>
      </c>
      <c r="H154" s="173" t="str">
        <f>IF(AND(A153="",A155=""),"",IF(A154="",ROUND(SUM($H$28:H153),2),IF(A154=$D$8,$H$27-ROUND(SUM($H$28:H153),2),ROUND($H$27/$D$8,2))))</f>
        <v/>
      </c>
      <c r="I154" s="173" t="str">
        <f t="shared" si="57"/>
        <v/>
      </c>
      <c r="J154" s="173" t="str">
        <f t="shared" si="58"/>
        <v/>
      </c>
      <c r="K154" s="173" t="str">
        <f t="shared" si="65"/>
        <v/>
      </c>
      <c r="L154" s="173" t="str">
        <f t="shared" si="59"/>
        <v/>
      </c>
      <c r="M154" s="173" t="str">
        <f t="shared" si="61"/>
        <v/>
      </c>
      <c r="N154" s="173" t="str">
        <f t="shared" si="62"/>
        <v/>
      </c>
      <c r="O154" s="173" t="str">
        <f t="shared" si="63"/>
        <v/>
      </c>
      <c r="P154" s="173" t="str">
        <f t="shared" si="53"/>
        <v/>
      </c>
      <c r="Q154" s="173" t="str">
        <f t="shared" si="69"/>
        <v/>
      </c>
      <c r="R154" s="173" t="str">
        <f t="shared" si="60"/>
        <v/>
      </c>
      <c r="S154" s="176" t="str">
        <f>IF(A153=$D$8,XIRR(U$27:U153,C$27:C153),"")</f>
        <v/>
      </c>
      <c r="T154" s="173" t="str">
        <f t="shared" si="43"/>
        <v/>
      </c>
      <c r="U154" s="173">
        <f t="shared" si="51"/>
        <v>0</v>
      </c>
      <c r="V154" s="141" t="e">
        <f t="shared" ca="1" si="44"/>
        <v>#VALUE!</v>
      </c>
      <c r="W154" s="141" t="e">
        <f t="shared" ca="1" si="49"/>
        <v>#VALUE!</v>
      </c>
      <c r="X154" s="141" t="e">
        <f t="shared" ca="1" si="45"/>
        <v>#VALUE!</v>
      </c>
      <c r="Y154" s="177" t="e">
        <f t="shared" ca="1" si="64"/>
        <v>#VALUE!</v>
      </c>
      <c r="Z154" s="178" t="e">
        <f t="shared" ca="1" si="46"/>
        <v>#VALUE!</v>
      </c>
      <c r="AA154" s="141">
        <v>127</v>
      </c>
    </row>
    <row r="155" spans="1:27" x14ac:dyDescent="0.35">
      <c r="A155" s="175" t="str">
        <f t="shared" si="50"/>
        <v/>
      </c>
      <c r="B155" s="172">
        <f t="shared" ca="1" si="47"/>
        <v>49090</v>
      </c>
      <c r="C155" s="172" t="str">
        <f t="shared" ca="1" si="48"/>
        <v xml:space="preserve"> </v>
      </c>
      <c r="D155" s="175" t="str">
        <f t="shared" si="56"/>
        <v/>
      </c>
      <c r="E155" s="173" t="e">
        <f t="shared" si="42"/>
        <v>#VALUE!</v>
      </c>
      <c r="F155" s="173" t="str">
        <f>IF(A154=$D$8,SUM(F$28:F154),IF(A154&gt;$D$8,"",G155+H155))</f>
        <v/>
      </c>
      <c r="G155" s="173" t="str">
        <f>IF(A154=$D$8,ROUND(SUM($G$28:G154),2),IF(A155&gt;$F$8,"",IF(W155&lt;&gt;W154,ROUND(SUM(Y155*$E$12*E154/W155,Z155*$E$12*E154/W154),2),ROUND(E154*$E$12*D155/W154,2))))</f>
        <v/>
      </c>
      <c r="H155" s="173" t="str">
        <f>IF(AND(A154="",A156=""),"",IF(A155="",ROUND(SUM($H$28:H154),2),IF(A155=$D$8,$H$27-ROUND(SUM($H$28:H154),2),ROUND($H$27/$D$8,2))))</f>
        <v/>
      </c>
      <c r="I155" s="173" t="str">
        <f t="shared" si="57"/>
        <v/>
      </c>
      <c r="J155" s="173" t="str">
        <f t="shared" si="58"/>
        <v/>
      </c>
      <c r="K155" s="173" t="str">
        <f t="shared" si="65"/>
        <v/>
      </c>
      <c r="L155" s="173" t="str">
        <f t="shared" si="59"/>
        <v/>
      </c>
      <c r="M155" s="173" t="str">
        <f t="shared" si="61"/>
        <v/>
      </c>
      <c r="N155" s="173" t="str">
        <f t="shared" si="62"/>
        <v/>
      </c>
      <c r="O155" s="173" t="str">
        <f t="shared" si="63"/>
        <v/>
      </c>
      <c r="P155" s="173" t="str">
        <f t="shared" si="53"/>
        <v/>
      </c>
      <c r="Q155" s="173" t="str">
        <f t="shared" si="69"/>
        <v/>
      </c>
      <c r="R155" s="173" t="str">
        <f t="shared" si="60"/>
        <v/>
      </c>
      <c r="S155" s="176" t="str">
        <f>IF(A154=$D$8,XIRR(U$27:U154,C$27:C154),"")</f>
        <v/>
      </c>
      <c r="T155" s="173" t="str">
        <f t="shared" si="43"/>
        <v/>
      </c>
      <c r="U155" s="173">
        <f t="shared" si="51"/>
        <v>0</v>
      </c>
      <c r="V155" s="141" t="e">
        <f t="shared" ca="1" si="44"/>
        <v>#VALUE!</v>
      </c>
      <c r="W155" s="141" t="e">
        <f t="shared" ca="1" si="49"/>
        <v>#VALUE!</v>
      </c>
      <c r="X155" s="141" t="e">
        <f t="shared" ca="1" si="45"/>
        <v>#VALUE!</v>
      </c>
      <c r="Y155" s="177" t="e">
        <f t="shared" ca="1" si="64"/>
        <v>#VALUE!</v>
      </c>
      <c r="Z155" s="178" t="e">
        <f t="shared" ca="1" si="46"/>
        <v>#VALUE!</v>
      </c>
      <c r="AA155" s="141">
        <v>128</v>
      </c>
    </row>
    <row r="156" spans="1:27" x14ac:dyDescent="0.35">
      <c r="A156" s="175" t="str">
        <f t="shared" si="50"/>
        <v/>
      </c>
      <c r="B156" s="172">
        <f t="shared" ca="1" si="47"/>
        <v>49121</v>
      </c>
      <c r="C156" s="172" t="str">
        <f t="shared" ca="1" si="48"/>
        <v xml:space="preserve"> </v>
      </c>
      <c r="D156" s="175" t="str">
        <f t="shared" si="56"/>
        <v/>
      </c>
      <c r="E156" s="173" t="e">
        <f t="shared" ref="E156:E219" si="70">E155-H156</f>
        <v>#VALUE!</v>
      </c>
      <c r="F156" s="173" t="str">
        <f>IF(A155=$D$8,SUM(F$28:F155),IF(A155&gt;$D$8,"",G156+H156))</f>
        <v/>
      </c>
      <c r="G156" s="173" t="str">
        <f>IF(A155=$D$8,ROUND(SUM($G$28:G155),2),IF(A156&gt;$F$8,"",IF(W156&lt;&gt;W155,ROUND(SUM(Y156*$E$12*E155/W156,Z156*$E$12*E155/W155),2),ROUND(E155*$E$12*D156/W155,2))))</f>
        <v/>
      </c>
      <c r="H156" s="173" t="str">
        <f>IF(AND(A155="",A157=""),"",IF(A156="",ROUND(SUM($H$28:H155),2),IF(A156=$D$8,$H$27-ROUND(SUM($H$28:H155),2),ROUND($H$27/$D$8,2))))</f>
        <v/>
      </c>
      <c r="I156" s="173" t="str">
        <f t="shared" si="57"/>
        <v/>
      </c>
      <c r="J156" s="173" t="str">
        <f t="shared" si="58"/>
        <v/>
      </c>
      <c r="K156" s="173" t="str">
        <f t="shared" si="65"/>
        <v/>
      </c>
      <c r="L156" s="173" t="str">
        <f t="shared" si="59"/>
        <v/>
      </c>
      <c r="M156" s="173" t="str">
        <f t="shared" si="61"/>
        <v/>
      </c>
      <c r="N156" s="173" t="str">
        <f t="shared" si="62"/>
        <v/>
      </c>
      <c r="O156" s="173" t="str">
        <f t="shared" si="63"/>
        <v/>
      </c>
      <c r="P156" s="173" t="str">
        <f t="shared" si="53"/>
        <v/>
      </c>
      <c r="Q156" s="173" t="str">
        <f t="shared" si="69"/>
        <v/>
      </c>
      <c r="R156" s="173" t="str">
        <f t="shared" si="60"/>
        <v/>
      </c>
      <c r="S156" s="176" t="str">
        <f>IF(A155=$D$8,XIRR(U$27:U155,C$27:C155),"")</f>
        <v/>
      </c>
      <c r="T156" s="173" t="str">
        <f t="shared" ref="T156:T219" si="71">IF(A155=$D$8,G156+P156+H156+I156+J156+K156+L156+Q156+R156,"")</f>
        <v/>
      </c>
      <c r="U156" s="173">
        <f t="shared" si="51"/>
        <v>0</v>
      </c>
      <c r="V156" s="141" t="e">
        <f t="shared" ref="V156:V219" ca="1" si="72">IF(C156="","",YEAR(C156))</f>
        <v>#VALUE!</v>
      </c>
      <c r="W156" s="141" t="e">
        <f t="shared" ca="1" si="49"/>
        <v>#VALUE!</v>
      </c>
      <c r="X156" s="141" t="e">
        <f t="shared" ref="X156:X219" ca="1" si="73">IF(C156="","",DAY(C156))</f>
        <v>#VALUE!</v>
      </c>
      <c r="Y156" s="177" t="e">
        <f t="shared" ca="1" si="64"/>
        <v>#VALUE!</v>
      </c>
      <c r="Z156" s="178" t="e">
        <f t="shared" ref="Z156:Z219" ca="1" si="74">D156-Y156</f>
        <v>#VALUE!</v>
      </c>
      <c r="AA156" s="141">
        <v>129</v>
      </c>
    </row>
    <row r="157" spans="1:27" x14ac:dyDescent="0.35">
      <c r="A157" s="175" t="str">
        <f t="shared" si="50"/>
        <v/>
      </c>
      <c r="B157" s="172">
        <f t="shared" ref="B157:B220" ca="1" si="75">EDATE($B$27,AA157)</f>
        <v>49151</v>
      </c>
      <c r="C157" s="172" t="str">
        <f t="shared" ref="C157:C220" ca="1" si="76">IF(B157=$D$10,B157-1,(IF(B157&gt;$D$10," ",B157)))</f>
        <v xml:space="preserve"> </v>
      </c>
      <c r="D157" s="175" t="str">
        <f t="shared" si="56"/>
        <v/>
      </c>
      <c r="E157" s="173" t="e">
        <f t="shared" si="70"/>
        <v>#VALUE!</v>
      </c>
      <c r="F157" s="173" t="str">
        <f>IF(A156=$D$8,SUM(F$28:F156),IF(A156&gt;$D$8,"",G157+H157))</f>
        <v/>
      </c>
      <c r="G157" s="173" t="str">
        <f>IF(A156=$D$8,ROUND(SUM($G$28:G156),2),IF(A157&gt;$F$8,"",IF(W157&lt;&gt;W156,ROUND(SUM(Y157*$E$12*E156/W157,Z157*$E$12*E156/W156),2),ROUND(E156*$E$12*D157/W156,2))))</f>
        <v/>
      </c>
      <c r="H157" s="173" t="str">
        <f>IF(AND(A156="",A158=""),"",IF(A157="",ROUND(SUM($H$28:H156),2),IF(A157=$D$8,$H$27-ROUND(SUM($H$28:H156),2),ROUND($H$27/$D$8,2))))</f>
        <v/>
      </c>
      <c r="I157" s="173" t="str">
        <f t="shared" si="57"/>
        <v/>
      </c>
      <c r="J157" s="173" t="str">
        <f t="shared" si="58"/>
        <v/>
      </c>
      <c r="K157" s="173" t="str">
        <f t="shared" si="65"/>
        <v/>
      </c>
      <c r="L157" s="173" t="str">
        <f t="shared" si="59"/>
        <v/>
      </c>
      <c r="M157" s="173" t="str">
        <f t="shared" si="61"/>
        <v/>
      </c>
      <c r="N157" s="173" t="str">
        <f t="shared" si="62"/>
        <v/>
      </c>
      <c r="O157" s="173" t="str">
        <f t="shared" si="63"/>
        <v/>
      </c>
      <c r="P157" s="173" t="str">
        <f t="shared" si="53"/>
        <v/>
      </c>
      <c r="Q157" s="173" t="str">
        <f t="shared" si="69"/>
        <v/>
      </c>
      <c r="R157" s="173" t="str">
        <f t="shared" si="60"/>
        <v/>
      </c>
      <c r="S157" s="176" t="str">
        <f>IF(A156=$D$8,XIRR(U$27:U156,C$27:C156),"")</f>
        <v/>
      </c>
      <c r="T157" s="173" t="str">
        <f t="shared" si="71"/>
        <v/>
      </c>
      <c r="U157" s="173">
        <f t="shared" si="51"/>
        <v>0</v>
      </c>
      <c r="V157" s="141" t="e">
        <f t="shared" ca="1" si="72"/>
        <v>#VALUE!</v>
      </c>
      <c r="W157" s="141" t="e">
        <f t="shared" ref="W157:W220" ca="1" si="77">IF(OR(V157=2024,V157=2028,V157=2016,V157=2020,V157=2024,V157=2028,V157=2032,V157=2036,V157=2040),366,365)</f>
        <v>#VALUE!</v>
      </c>
      <c r="X157" s="141" t="e">
        <f t="shared" ca="1" si="73"/>
        <v>#VALUE!</v>
      </c>
      <c r="Y157" s="177" t="e">
        <f t="shared" ca="1" si="64"/>
        <v>#VALUE!</v>
      </c>
      <c r="Z157" s="178" t="e">
        <f t="shared" ca="1" si="74"/>
        <v>#VALUE!</v>
      </c>
      <c r="AA157" s="141">
        <v>130</v>
      </c>
    </row>
    <row r="158" spans="1:27" x14ac:dyDescent="0.35">
      <c r="A158" s="175" t="str">
        <f t="shared" ref="A158:A221" si="78">IF(A157&lt;$D$8,A157+1,"")</f>
        <v/>
      </c>
      <c r="B158" s="172">
        <f t="shared" ca="1" si="75"/>
        <v>49182</v>
      </c>
      <c r="C158" s="172" t="str">
        <f t="shared" ca="1" si="76"/>
        <v xml:space="preserve"> </v>
      </c>
      <c r="D158" s="175" t="str">
        <f t="shared" si="56"/>
        <v/>
      </c>
      <c r="E158" s="173" t="e">
        <f t="shared" si="70"/>
        <v>#VALUE!</v>
      </c>
      <c r="F158" s="173" t="str">
        <f>IF(A157=$D$8,SUM(F$28:F157),IF(A157&gt;$D$8,"",G158+H158))</f>
        <v/>
      </c>
      <c r="G158" s="173" t="str">
        <f>IF(A157=$D$8,ROUND(SUM($G$28:G157),2),IF(A158&gt;$F$8,"",IF(W158&lt;&gt;W157,ROUND(SUM(Y158*$E$12*E157/W158,Z158*$E$12*E157/W157),2),ROUND(E157*$E$12*D158/W157,2))))</f>
        <v/>
      </c>
      <c r="H158" s="173" t="str">
        <f>IF(AND(A157="",A159=""),"",IF(A158="",ROUND(SUM($H$28:H157),2),IF(A158=$D$8,$H$27-ROUND(SUM($H$28:H157),2),ROUND($H$27/$D$8,2))))</f>
        <v/>
      </c>
      <c r="I158" s="173" t="str">
        <f t="shared" si="57"/>
        <v/>
      </c>
      <c r="J158" s="173" t="str">
        <f t="shared" si="58"/>
        <v/>
      </c>
      <c r="K158" s="173" t="str">
        <f t="shared" si="65"/>
        <v/>
      </c>
      <c r="L158" s="173" t="str">
        <f t="shared" si="59"/>
        <v/>
      </c>
      <c r="M158" s="173" t="str">
        <f t="shared" si="61"/>
        <v/>
      </c>
      <c r="N158" s="173" t="str">
        <f t="shared" si="62"/>
        <v/>
      </c>
      <c r="O158" s="173" t="str">
        <f t="shared" si="63"/>
        <v/>
      </c>
      <c r="P158" s="173" t="str">
        <f t="shared" si="53"/>
        <v/>
      </c>
      <c r="Q158" s="173" t="str">
        <f t="shared" si="69"/>
        <v/>
      </c>
      <c r="R158" s="173" t="str">
        <f t="shared" si="60"/>
        <v/>
      </c>
      <c r="S158" s="176" t="str">
        <f>IF(A157=$D$8,XIRR(U$27:U157,C$27:C157),"")</f>
        <v/>
      </c>
      <c r="T158" s="173" t="str">
        <f t="shared" si="71"/>
        <v/>
      </c>
      <c r="U158" s="173">
        <f t="shared" ref="U158:U221" si="79">SUM(G158:T158)</f>
        <v>0</v>
      </c>
      <c r="V158" s="141" t="e">
        <f t="shared" ca="1" si="72"/>
        <v>#VALUE!</v>
      </c>
      <c r="W158" s="141" t="e">
        <f t="shared" ca="1" si="77"/>
        <v>#VALUE!</v>
      </c>
      <c r="X158" s="141" t="e">
        <f t="shared" ca="1" si="73"/>
        <v>#VALUE!</v>
      </c>
      <c r="Y158" s="177" t="e">
        <f t="shared" ca="1" si="64"/>
        <v>#VALUE!</v>
      </c>
      <c r="Z158" s="178" t="e">
        <f t="shared" ca="1" si="74"/>
        <v>#VALUE!</v>
      </c>
      <c r="AA158" s="141">
        <v>131</v>
      </c>
    </row>
    <row r="159" spans="1:27" x14ac:dyDescent="0.35">
      <c r="A159" s="175" t="str">
        <f t="shared" si="78"/>
        <v/>
      </c>
      <c r="B159" s="172">
        <f t="shared" ca="1" si="75"/>
        <v>49213</v>
      </c>
      <c r="C159" s="172" t="str">
        <f t="shared" ca="1" si="76"/>
        <v xml:space="preserve"> </v>
      </c>
      <c r="D159" s="175" t="str">
        <f t="shared" si="56"/>
        <v/>
      </c>
      <c r="E159" s="173" t="e">
        <f t="shared" si="70"/>
        <v>#VALUE!</v>
      </c>
      <c r="F159" s="173" t="str">
        <f>IF(A158=$D$8,SUM(F$28:F158),IF(A158&gt;$D$8,"",G159+H159))</f>
        <v/>
      </c>
      <c r="G159" s="173" t="str">
        <f>IF(A158=$D$8,ROUND(SUM($G$28:G158),2),IF(A159&gt;$F$8,"",IF(W159&lt;&gt;W158,ROUND(SUM(Y159*$E$12*E158/W159,Z159*$E$12*E158/W158),2),ROUND(E158*$E$12*D159/W158,2))))</f>
        <v/>
      </c>
      <c r="H159" s="173" t="str">
        <f>IF(AND(A158="",A160=""),"",IF(A159="",ROUND(SUM($H$28:H158),2),IF(A159=$D$8,$H$27-ROUND(SUM($H$28:H158),2),ROUND($H$27/$D$8,2))))</f>
        <v/>
      </c>
      <c r="I159" s="173" t="str">
        <f t="shared" si="57"/>
        <v/>
      </c>
      <c r="J159" s="173" t="str">
        <f t="shared" si="58"/>
        <v/>
      </c>
      <c r="K159" s="173" t="str">
        <f t="shared" si="65"/>
        <v/>
      </c>
      <c r="L159" s="173" t="str">
        <f t="shared" si="59"/>
        <v/>
      </c>
      <c r="M159" s="173" t="str">
        <f t="shared" si="61"/>
        <v/>
      </c>
      <c r="N159" s="173" t="str">
        <f t="shared" si="62"/>
        <v/>
      </c>
      <c r="O159" s="173" t="str">
        <f t="shared" si="63"/>
        <v/>
      </c>
      <c r="P159" s="173" t="str">
        <f t="shared" si="53"/>
        <v/>
      </c>
      <c r="Q159" s="173" t="str">
        <f t="shared" si="69"/>
        <v/>
      </c>
      <c r="R159" s="173" t="str">
        <f t="shared" si="60"/>
        <v/>
      </c>
      <c r="S159" s="176" t="str">
        <f>IF(A158=$D$8,XIRR(U$27:U158,C$27:C158),"")</f>
        <v/>
      </c>
      <c r="T159" s="173" t="str">
        <f t="shared" si="71"/>
        <v/>
      </c>
      <c r="U159" s="173">
        <f t="shared" si="79"/>
        <v>0</v>
      </c>
      <c r="V159" s="141" t="e">
        <f t="shared" ca="1" si="72"/>
        <v>#VALUE!</v>
      </c>
      <c r="W159" s="141" t="e">
        <f t="shared" ca="1" si="77"/>
        <v>#VALUE!</v>
      </c>
      <c r="X159" s="141" t="e">
        <f t="shared" ca="1" si="73"/>
        <v>#VALUE!</v>
      </c>
      <c r="Y159" s="177" t="e">
        <f t="shared" ca="1" si="64"/>
        <v>#VALUE!</v>
      </c>
      <c r="Z159" s="178" t="e">
        <f t="shared" ca="1" si="74"/>
        <v>#VALUE!</v>
      </c>
      <c r="AA159" s="141">
        <v>132</v>
      </c>
    </row>
    <row r="160" spans="1:27" x14ac:dyDescent="0.35">
      <c r="A160" s="175" t="str">
        <f t="shared" si="78"/>
        <v/>
      </c>
      <c r="B160" s="172">
        <f t="shared" ca="1" si="75"/>
        <v>49243</v>
      </c>
      <c r="C160" s="172" t="str">
        <f t="shared" ca="1" si="76"/>
        <v xml:space="preserve"> </v>
      </c>
      <c r="D160" s="175" t="str">
        <f t="shared" si="56"/>
        <v/>
      </c>
      <c r="E160" s="173" t="e">
        <f t="shared" si="70"/>
        <v>#VALUE!</v>
      </c>
      <c r="F160" s="173" t="str">
        <f>IF(A159=$D$8,SUM(F$28:F159),IF(A159&gt;$D$8,"",G160+H160))</f>
        <v/>
      </c>
      <c r="G160" s="173" t="str">
        <f>IF(A159=$D$8,ROUND(SUM($G$28:G159),2),IF(A160&gt;$F$8,"",IF(W160&lt;&gt;W159,ROUND(SUM(Y160*$E$12*E159/W160,Z160*$E$12*E159/W159),2),ROUND(E159*$E$12*D160/W159,2))))</f>
        <v/>
      </c>
      <c r="H160" s="173" t="str">
        <f>IF(AND(A159="",A161=""),"",IF(A160="",ROUND(SUM($H$28:H159),2),IF(A160=$D$8,$H$27-ROUND(SUM($H$28:H159),2),ROUND($H$27/$D$8,2))))</f>
        <v/>
      </c>
      <c r="I160" s="173" t="str">
        <f t="shared" si="57"/>
        <v/>
      </c>
      <c r="J160" s="173" t="str">
        <f t="shared" si="58"/>
        <v/>
      </c>
      <c r="K160" s="173" t="str">
        <f>IF($F$8&gt;132,($R$14),IF(A159=$F$8,K148+K136+K124+K112+K100+K88+K76+K64+K52+K40+K27,""))</f>
        <v/>
      </c>
      <c r="L160" s="173" t="str">
        <f t="shared" si="59"/>
        <v/>
      </c>
      <c r="M160" s="173" t="str">
        <f t="shared" si="61"/>
        <v/>
      </c>
      <c r="N160" s="173" t="str">
        <f t="shared" si="62"/>
        <v/>
      </c>
      <c r="O160" s="173" t="str">
        <f t="shared" si="63"/>
        <v/>
      </c>
      <c r="P160" s="173" t="str">
        <f t="shared" si="53"/>
        <v/>
      </c>
      <c r="Q160" s="173" t="str">
        <f>IF($F$8&gt;132,($S$8+$S$10),IF($A159=$F$8,$Q$40+$Q$27+$Q$52+$Q$64+$Q$76+$Q$88+$Q$100+$Q$112+$Q$124+$Q$136+$Q$148,""))</f>
        <v/>
      </c>
      <c r="R160" s="173" t="str">
        <f t="shared" si="60"/>
        <v/>
      </c>
      <c r="S160" s="176" t="str">
        <f>IF(A159=$D$8,XIRR(U$27:U159,C$27:C159),"")</f>
        <v/>
      </c>
      <c r="T160" s="173" t="str">
        <f t="shared" si="71"/>
        <v/>
      </c>
      <c r="U160" s="173">
        <f t="shared" si="79"/>
        <v>0</v>
      </c>
      <c r="V160" s="141" t="e">
        <f t="shared" ca="1" si="72"/>
        <v>#VALUE!</v>
      </c>
      <c r="W160" s="141" t="e">
        <f t="shared" ca="1" si="77"/>
        <v>#VALUE!</v>
      </c>
      <c r="X160" s="141" t="e">
        <f t="shared" ca="1" si="73"/>
        <v>#VALUE!</v>
      </c>
      <c r="Y160" s="177" t="e">
        <f t="shared" ca="1" si="64"/>
        <v>#VALUE!</v>
      </c>
      <c r="Z160" s="178" t="e">
        <f t="shared" ca="1" si="74"/>
        <v>#VALUE!</v>
      </c>
      <c r="AA160" s="141">
        <v>133</v>
      </c>
    </row>
    <row r="161" spans="1:27" x14ac:dyDescent="0.35">
      <c r="A161" s="175" t="str">
        <f t="shared" si="78"/>
        <v/>
      </c>
      <c r="B161" s="172">
        <f t="shared" ca="1" si="75"/>
        <v>49274</v>
      </c>
      <c r="C161" s="172" t="str">
        <f t="shared" ca="1" si="76"/>
        <v xml:space="preserve"> </v>
      </c>
      <c r="D161" s="175" t="str">
        <f t="shared" si="56"/>
        <v/>
      </c>
      <c r="E161" s="173" t="e">
        <f t="shared" si="70"/>
        <v>#VALUE!</v>
      </c>
      <c r="F161" s="173" t="str">
        <f>IF(A160=$D$8,SUM(F$28:F160),IF(A160&gt;$D$8,"",G161+H161))</f>
        <v/>
      </c>
      <c r="G161" s="173" t="str">
        <f>IF(A160=$D$8,ROUND(SUM($G$28:G160),2),IF(A161&gt;$F$8,"",IF(W161&lt;&gt;W160,ROUND(SUM(Y161*$E$12*E160/W161,Z161*$E$12*E160/W160),2),ROUND(E160*$E$12*D161/W160,2))))</f>
        <v/>
      </c>
      <c r="H161" s="173" t="str">
        <f>IF(AND(A160="",A162=""),"",IF(A161="",ROUND(SUM($H$28:H160),2),IF(A161=$D$8,$H$27-ROUND(SUM($H$28:H160),2),ROUND($H$27/$D$8,2))))</f>
        <v/>
      </c>
      <c r="I161" s="173" t="str">
        <f t="shared" si="57"/>
        <v/>
      </c>
      <c r="J161" s="173" t="str">
        <f t="shared" si="58"/>
        <v/>
      </c>
      <c r="K161" s="173" t="str">
        <f t="shared" si="65"/>
        <v/>
      </c>
      <c r="L161" s="173" t="str">
        <f t="shared" si="59"/>
        <v/>
      </c>
      <c r="M161" s="173" t="str">
        <f t="shared" si="61"/>
        <v/>
      </c>
      <c r="N161" s="173" t="str">
        <f t="shared" si="62"/>
        <v/>
      </c>
      <c r="O161" s="173" t="str">
        <f t="shared" si="63"/>
        <v/>
      </c>
      <c r="P161" s="173" t="str">
        <f t="shared" si="53"/>
        <v/>
      </c>
      <c r="Q161" s="173" t="str">
        <f t="shared" ref="Q161:Q171" si="80">IF(A160=$D$8,$Q$27,"")</f>
        <v/>
      </c>
      <c r="R161" s="173" t="str">
        <f t="shared" si="60"/>
        <v/>
      </c>
      <c r="S161" s="176" t="str">
        <f>IF(A160=$D$8,XIRR(U$27:U160,C$27:C160),"")</f>
        <v/>
      </c>
      <c r="T161" s="173" t="str">
        <f t="shared" si="71"/>
        <v/>
      </c>
      <c r="U161" s="173">
        <f t="shared" si="79"/>
        <v>0</v>
      </c>
      <c r="V161" s="141" t="e">
        <f t="shared" ca="1" si="72"/>
        <v>#VALUE!</v>
      </c>
      <c r="W161" s="141" t="e">
        <f t="shared" ca="1" si="77"/>
        <v>#VALUE!</v>
      </c>
      <c r="X161" s="141" t="e">
        <f t="shared" ca="1" si="73"/>
        <v>#VALUE!</v>
      </c>
      <c r="Y161" s="177" t="e">
        <f t="shared" ca="1" si="64"/>
        <v>#VALUE!</v>
      </c>
      <c r="Z161" s="178" t="e">
        <f t="shared" ca="1" si="74"/>
        <v>#VALUE!</v>
      </c>
      <c r="AA161" s="141">
        <v>134</v>
      </c>
    </row>
    <row r="162" spans="1:27" x14ac:dyDescent="0.35">
      <c r="A162" s="175" t="str">
        <f t="shared" si="78"/>
        <v/>
      </c>
      <c r="B162" s="172">
        <f t="shared" ca="1" si="75"/>
        <v>49304</v>
      </c>
      <c r="C162" s="172" t="str">
        <f t="shared" ca="1" si="76"/>
        <v xml:space="preserve"> </v>
      </c>
      <c r="D162" s="175" t="str">
        <f t="shared" si="56"/>
        <v/>
      </c>
      <c r="E162" s="173" t="e">
        <f t="shared" si="70"/>
        <v>#VALUE!</v>
      </c>
      <c r="F162" s="173" t="str">
        <f>IF(A161=$D$8,SUM(F$28:F161),IF(A161&gt;$D$8,"",G162+H162))</f>
        <v/>
      </c>
      <c r="G162" s="173" t="str">
        <f>IF(A161=$D$8,ROUND(SUM($G$28:G161),2),IF(A162&gt;$F$8,"",IF(W162&lt;&gt;W161,ROUND(SUM(Y162*$E$12*E161/W162,Z162*$E$12*E161/W161),2),ROUND(E161*$E$12*D162/W161,2))))</f>
        <v/>
      </c>
      <c r="H162" s="173" t="str">
        <f>IF(AND(A161="",A163=""),"",IF(A162="",ROUND(SUM($H$28:H161),2),IF(A162=$D$8,$H$27-ROUND(SUM($H$28:H161),2),ROUND($H$27/$D$8,2))))</f>
        <v/>
      </c>
      <c r="I162" s="173" t="str">
        <f t="shared" si="57"/>
        <v/>
      </c>
      <c r="J162" s="173" t="str">
        <f t="shared" si="58"/>
        <v/>
      </c>
      <c r="K162" s="173" t="str">
        <f t="shared" si="65"/>
        <v/>
      </c>
      <c r="L162" s="173" t="str">
        <f t="shared" si="59"/>
        <v/>
      </c>
      <c r="M162" s="173" t="str">
        <f t="shared" si="61"/>
        <v/>
      </c>
      <c r="N162" s="173" t="str">
        <f t="shared" si="62"/>
        <v/>
      </c>
      <c r="O162" s="173" t="str">
        <f t="shared" si="63"/>
        <v/>
      </c>
      <c r="P162" s="173" t="str">
        <f t="shared" si="53"/>
        <v/>
      </c>
      <c r="Q162" s="173" t="str">
        <f t="shared" si="80"/>
        <v/>
      </c>
      <c r="R162" s="173" t="str">
        <f t="shared" si="60"/>
        <v/>
      </c>
      <c r="S162" s="176" t="str">
        <f>IF(A161=$D$8,XIRR(U$27:U161,C$27:C161),"")</f>
        <v/>
      </c>
      <c r="T162" s="173" t="str">
        <f t="shared" si="71"/>
        <v/>
      </c>
      <c r="U162" s="173">
        <f t="shared" si="79"/>
        <v>0</v>
      </c>
      <c r="V162" s="141" t="e">
        <f t="shared" ca="1" si="72"/>
        <v>#VALUE!</v>
      </c>
      <c r="W162" s="141" t="e">
        <f t="shared" ca="1" si="77"/>
        <v>#VALUE!</v>
      </c>
      <c r="X162" s="141" t="e">
        <f t="shared" ca="1" si="73"/>
        <v>#VALUE!</v>
      </c>
      <c r="Y162" s="177" t="e">
        <f t="shared" ca="1" si="64"/>
        <v>#VALUE!</v>
      </c>
      <c r="Z162" s="178" t="e">
        <f t="shared" ca="1" si="74"/>
        <v>#VALUE!</v>
      </c>
      <c r="AA162" s="141">
        <v>135</v>
      </c>
    </row>
    <row r="163" spans="1:27" x14ac:dyDescent="0.35">
      <c r="A163" s="175" t="str">
        <f t="shared" si="78"/>
        <v/>
      </c>
      <c r="B163" s="172">
        <f t="shared" ca="1" si="75"/>
        <v>49335</v>
      </c>
      <c r="C163" s="172" t="str">
        <f t="shared" ca="1" si="76"/>
        <v xml:space="preserve"> </v>
      </c>
      <c r="D163" s="175" t="str">
        <f t="shared" si="56"/>
        <v/>
      </c>
      <c r="E163" s="173" t="e">
        <f t="shared" si="70"/>
        <v>#VALUE!</v>
      </c>
      <c r="F163" s="173" t="str">
        <f>IF(A162=$D$8,SUM(F$28:F162),IF(A162&gt;$D$8,"",G163+H163))</f>
        <v/>
      </c>
      <c r="G163" s="173" t="str">
        <f>IF(A162=$D$8,ROUND(SUM($G$28:G162),2),IF(A163&gt;$F$8,"",IF(W163&lt;&gt;W162,ROUND(SUM(Y163*$E$12*E162/W163,Z163*$E$12*E162/W162),2),ROUND(E162*$E$12*D163/W162,2))))</f>
        <v/>
      </c>
      <c r="H163" s="173" t="str">
        <f>IF(AND(A162="",A164=""),"",IF(A163="",ROUND(SUM($H$28:H162),2),IF(A163=$D$8,$H$27-ROUND(SUM($H$28:H162),2),ROUND($H$27/$D$8,2))))</f>
        <v/>
      </c>
      <c r="I163" s="173" t="str">
        <f t="shared" si="57"/>
        <v/>
      </c>
      <c r="J163" s="173" t="str">
        <f t="shared" si="58"/>
        <v/>
      </c>
      <c r="K163" s="173" t="str">
        <f t="shared" si="65"/>
        <v/>
      </c>
      <c r="L163" s="173" t="str">
        <f t="shared" si="59"/>
        <v/>
      </c>
      <c r="M163" s="173" t="str">
        <f t="shared" si="61"/>
        <v/>
      </c>
      <c r="N163" s="173" t="str">
        <f t="shared" si="62"/>
        <v/>
      </c>
      <c r="O163" s="173" t="str">
        <f t="shared" si="63"/>
        <v/>
      </c>
      <c r="P163" s="173" t="str">
        <f t="shared" ref="P163:P226" si="81">IF(A162=$D$8,$P$27,"")</f>
        <v/>
      </c>
      <c r="Q163" s="173" t="str">
        <f t="shared" si="80"/>
        <v/>
      </c>
      <c r="R163" s="173" t="str">
        <f t="shared" si="60"/>
        <v/>
      </c>
      <c r="S163" s="176" t="str">
        <f>IF(A162=$D$8,XIRR(U$27:U162,C$27:C162),"")</f>
        <v/>
      </c>
      <c r="T163" s="173" t="str">
        <f t="shared" si="71"/>
        <v/>
      </c>
      <c r="U163" s="173">
        <f t="shared" si="79"/>
        <v>0</v>
      </c>
      <c r="V163" s="141" t="e">
        <f t="shared" ca="1" si="72"/>
        <v>#VALUE!</v>
      </c>
      <c r="W163" s="141" t="e">
        <f t="shared" ca="1" si="77"/>
        <v>#VALUE!</v>
      </c>
      <c r="X163" s="141" t="e">
        <f t="shared" ca="1" si="73"/>
        <v>#VALUE!</v>
      </c>
      <c r="Y163" s="177" t="e">
        <f t="shared" ca="1" si="64"/>
        <v>#VALUE!</v>
      </c>
      <c r="Z163" s="178" t="e">
        <f t="shared" ca="1" si="74"/>
        <v>#VALUE!</v>
      </c>
      <c r="AA163" s="141">
        <v>136</v>
      </c>
    </row>
    <row r="164" spans="1:27" x14ac:dyDescent="0.35">
      <c r="A164" s="175" t="str">
        <f t="shared" si="78"/>
        <v/>
      </c>
      <c r="B164" s="172">
        <f t="shared" ca="1" si="75"/>
        <v>49366</v>
      </c>
      <c r="C164" s="172" t="str">
        <f t="shared" ca="1" si="76"/>
        <v xml:space="preserve"> </v>
      </c>
      <c r="D164" s="175" t="str">
        <f t="shared" si="56"/>
        <v/>
      </c>
      <c r="E164" s="173" t="e">
        <f t="shared" si="70"/>
        <v>#VALUE!</v>
      </c>
      <c r="F164" s="173" t="str">
        <f>IF(A163=$D$8,SUM(F$28:F163),IF(A163&gt;$D$8,"",G164+H164))</f>
        <v/>
      </c>
      <c r="G164" s="173" t="str">
        <f>IF(A163=$D$8,ROUND(SUM($G$28:G163),2),IF(A164&gt;$F$8,"",IF(W164&lt;&gt;W163,ROUND(SUM(Y164*$E$12*E163/W164,Z164*$E$12*E163/W163),2),ROUND(E163*$E$12*D164/W163,2))))</f>
        <v/>
      </c>
      <c r="H164" s="173" t="str">
        <f>IF(AND(A163="",A165=""),"",IF(A164="",ROUND(SUM($H$28:H163),2),IF(A164=$D$8,$H$27-ROUND(SUM($H$28:H163),2),ROUND($H$27/$D$8,2))))</f>
        <v/>
      </c>
      <c r="I164" s="173" t="str">
        <f t="shared" si="57"/>
        <v/>
      </c>
      <c r="J164" s="173" t="str">
        <f t="shared" si="58"/>
        <v/>
      </c>
      <c r="K164" s="173" t="str">
        <f t="shared" si="65"/>
        <v/>
      </c>
      <c r="L164" s="173" t="str">
        <f t="shared" si="59"/>
        <v/>
      </c>
      <c r="M164" s="173" t="str">
        <f t="shared" si="61"/>
        <v/>
      </c>
      <c r="N164" s="173" t="str">
        <f t="shared" si="62"/>
        <v/>
      </c>
      <c r="O164" s="173" t="str">
        <f t="shared" si="63"/>
        <v/>
      </c>
      <c r="P164" s="173" t="str">
        <f t="shared" si="81"/>
        <v/>
      </c>
      <c r="Q164" s="173" t="str">
        <f t="shared" si="80"/>
        <v/>
      </c>
      <c r="R164" s="173" t="str">
        <f t="shared" si="60"/>
        <v/>
      </c>
      <c r="S164" s="176" t="str">
        <f>IF(A163=$D$8,XIRR(U$27:U163,C$27:C163),"")</f>
        <v/>
      </c>
      <c r="T164" s="173" t="str">
        <f t="shared" si="71"/>
        <v/>
      </c>
      <c r="U164" s="173">
        <f t="shared" si="79"/>
        <v>0</v>
      </c>
      <c r="V164" s="141" t="e">
        <f t="shared" ca="1" si="72"/>
        <v>#VALUE!</v>
      </c>
      <c r="W164" s="141" t="e">
        <f t="shared" ca="1" si="77"/>
        <v>#VALUE!</v>
      </c>
      <c r="X164" s="141" t="e">
        <f t="shared" ca="1" si="73"/>
        <v>#VALUE!</v>
      </c>
      <c r="Y164" s="177" t="e">
        <f t="shared" ca="1" si="64"/>
        <v>#VALUE!</v>
      </c>
      <c r="Z164" s="178" t="e">
        <f t="shared" ca="1" si="74"/>
        <v>#VALUE!</v>
      </c>
      <c r="AA164" s="141">
        <v>137</v>
      </c>
    </row>
    <row r="165" spans="1:27" x14ac:dyDescent="0.35">
      <c r="A165" s="175" t="str">
        <f t="shared" si="78"/>
        <v/>
      </c>
      <c r="B165" s="172">
        <f t="shared" ca="1" si="75"/>
        <v>49394</v>
      </c>
      <c r="C165" s="172" t="str">
        <f t="shared" ca="1" si="76"/>
        <v xml:space="preserve"> </v>
      </c>
      <c r="D165" s="175" t="str">
        <f t="shared" si="56"/>
        <v/>
      </c>
      <c r="E165" s="173" t="e">
        <f t="shared" si="70"/>
        <v>#VALUE!</v>
      </c>
      <c r="F165" s="173" t="str">
        <f>IF(A164=$D$8,SUM(F$28:F164),IF(A164&gt;$D$8,"",G165+H165))</f>
        <v/>
      </c>
      <c r="G165" s="173" t="str">
        <f>IF(A164=$D$8,ROUND(SUM($G$28:G164),2),IF(A165&gt;$F$8,"",IF(W165&lt;&gt;W164,ROUND(SUM(Y165*$E$12*E164/W165,Z165*$E$12*E164/W164),2),ROUND(E164*$E$12*D165/W164,2))))</f>
        <v/>
      </c>
      <c r="H165" s="173" t="str">
        <f>IF(AND(A164="",A166=""),"",IF(A165="",ROUND(SUM($H$28:H164),2),IF(A165=$D$8,$H$27-ROUND(SUM($H$28:H164),2),ROUND($H$27/$D$8,2))))</f>
        <v/>
      </c>
      <c r="I165" s="173" t="str">
        <f t="shared" si="57"/>
        <v/>
      </c>
      <c r="J165" s="173" t="str">
        <f t="shared" si="58"/>
        <v/>
      </c>
      <c r="K165" s="173" t="str">
        <f t="shared" si="65"/>
        <v/>
      </c>
      <c r="L165" s="173" t="str">
        <f t="shared" si="59"/>
        <v/>
      </c>
      <c r="M165" s="173" t="str">
        <f t="shared" si="61"/>
        <v/>
      </c>
      <c r="N165" s="173" t="str">
        <f t="shared" si="62"/>
        <v/>
      </c>
      <c r="O165" s="173" t="str">
        <f t="shared" si="63"/>
        <v/>
      </c>
      <c r="P165" s="173" t="str">
        <f t="shared" si="81"/>
        <v/>
      </c>
      <c r="Q165" s="173" t="str">
        <f t="shared" si="80"/>
        <v/>
      </c>
      <c r="R165" s="173" t="str">
        <f t="shared" si="60"/>
        <v/>
      </c>
      <c r="S165" s="176" t="str">
        <f>IF(A164=$D$8,XIRR(U$27:U164,C$27:C164),"")</f>
        <v/>
      </c>
      <c r="T165" s="173" t="str">
        <f t="shared" si="71"/>
        <v/>
      </c>
      <c r="U165" s="173">
        <f t="shared" si="79"/>
        <v>0</v>
      </c>
      <c r="V165" s="141" t="e">
        <f t="shared" ca="1" si="72"/>
        <v>#VALUE!</v>
      </c>
      <c r="W165" s="141" t="e">
        <f t="shared" ca="1" si="77"/>
        <v>#VALUE!</v>
      </c>
      <c r="X165" s="141" t="e">
        <f t="shared" ca="1" si="73"/>
        <v>#VALUE!</v>
      </c>
      <c r="Y165" s="177" t="e">
        <f t="shared" ca="1" si="64"/>
        <v>#VALUE!</v>
      </c>
      <c r="Z165" s="178" t="e">
        <f t="shared" ca="1" si="74"/>
        <v>#VALUE!</v>
      </c>
      <c r="AA165" s="141">
        <v>138</v>
      </c>
    </row>
    <row r="166" spans="1:27" x14ac:dyDescent="0.35">
      <c r="A166" s="175" t="str">
        <f t="shared" si="78"/>
        <v/>
      </c>
      <c r="B166" s="172">
        <f t="shared" ca="1" si="75"/>
        <v>49425</v>
      </c>
      <c r="C166" s="172" t="str">
        <f t="shared" ca="1" si="76"/>
        <v xml:space="preserve"> </v>
      </c>
      <c r="D166" s="175" t="str">
        <f t="shared" si="56"/>
        <v/>
      </c>
      <c r="E166" s="173" t="e">
        <f t="shared" si="70"/>
        <v>#VALUE!</v>
      </c>
      <c r="F166" s="173" t="str">
        <f>IF(A165=$D$8,SUM(F$28:F165),IF(A165&gt;$D$8,"",G166+H166))</f>
        <v/>
      </c>
      <c r="G166" s="173" t="str">
        <f>IF(A165=$D$8,ROUND(SUM($G$28:G165),2),IF(A166&gt;$F$8,"",IF(W166&lt;&gt;W165,ROUND(SUM(Y166*$E$12*E165/W166,Z166*$E$12*E165/W165),2),ROUND(E165*$E$12*D166/W165,2))))</f>
        <v/>
      </c>
      <c r="H166" s="173" t="str">
        <f>IF(AND(A165="",A167=""),"",IF(A166="",ROUND(SUM($H$28:H165),2),IF(A166=$D$8,$H$27-ROUND(SUM($H$28:H165),2),ROUND($H$27/$D$8,2))))</f>
        <v/>
      </c>
      <c r="I166" s="173" t="str">
        <f t="shared" si="57"/>
        <v/>
      </c>
      <c r="J166" s="173" t="str">
        <f t="shared" si="58"/>
        <v/>
      </c>
      <c r="K166" s="173" t="str">
        <f t="shared" si="65"/>
        <v/>
      </c>
      <c r="L166" s="173" t="str">
        <f t="shared" si="59"/>
        <v/>
      </c>
      <c r="M166" s="173" t="str">
        <f t="shared" si="61"/>
        <v/>
      </c>
      <c r="N166" s="173" t="str">
        <f t="shared" si="62"/>
        <v/>
      </c>
      <c r="O166" s="173" t="str">
        <f t="shared" si="63"/>
        <v/>
      </c>
      <c r="P166" s="173" t="str">
        <f t="shared" si="81"/>
        <v/>
      </c>
      <c r="Q166" s="173" t="str">
        <f t="shared" si="80"/>
        <v/>
      </c>
      <c r="R166" s="173" t="str">
        <f t="shared" si="60"/>
        <v/>
      </c>
      <c r="S166" s="176" t="str">
        <f>IF(A165=$D$8,XIRR(U$27:U165,C$27:C165),"")</f>
        <v/>
      </c>
      <c r="T166" s="173" t="str">
        <f t="shared" si="71"/>
        <v/>
      </c>
      <c r="U166" s="173">
        <f t="shared" si="79"/>
        <v>0</v>
      </c>
      <c r="V166" s="141" t="e">
        <f t="shared" ca="1" si="72"/>
        <v>#VALUE!</v>
      </c>
      <c r="W166" s="141" t="e">
        <f t="shared" ca="1" si="77"/>
        <v>#VALUE!</v>
      </c>
      <c r="X166" s="141" t="e">
        <f t="shared" ca="1" si="73"/>
        <v>#VALUE!</v>
      </c>
      <c r="Y166" s="177" t="e">
        <f t="shared" ca="1" si="64"/>
        <v>#VALUE!</v>
      </c>
      <c r="Z166" s="178" t="e">
        <f t="shared" ca="1" si="74"/>
        <v>#VALUE!</v>
      </c>
      <c r="AA166" s="141">
        <v>139</v>
      </c>
    </row>
    <row r="167" spans="1:27" x14ac:dyDescent="0.35">
      <c r="A167" s="175" t="str">
        <f t="shared" si="78"/>
        <v/>
      </c>
      <c r="B167" s="172">
        <f t="shared" ca="1" si="75"/>
        <v>49455</v>
      </c>
      <c r="C167" s="172" t="str">
        <f t="shared" ca="1" si="76"/>
        <v xml:space="preserve"> </v>
      </c>
      <c r="D167" s="175" t="str">
        <f t="shared" si="56"/>
        <v/>
      </c>
      <c r="E167" s="173" t="e">
        <f t="shared" si="70"/>
        <v>#VALUE!</v>
      </c>
      <c r="F167" s="173" t="str">
        <f>IF(A166=$D$8,SUM(F$28:F166),IF(A166&gt;$D$8,"",G167+H167))</f>
        <v/>
      </c>
      <c r="G167" s="173" t="str">
        <f>IF(A166=$D$8,ROUND(SUM($G$28:G166),2),IF(A167&gt;$F$8,"",IF(W167&lt;&gt;W166,ROUND(SUM(Y167*$E$12*E166/W167,Z167*$E$12*E166/W166),2),ROUND(E166*$E$12*D167/W166,2))))</f>
        <v/>
      </c>
      <c r="H167" s="173" t="str">
        <f>IF(AND(A166="",A168=""),"",IF(A167="",ROUND(SUM($H$28:H166),2),IF(A167=$D$8,$H$27-ROUND(SUM($H$28:H166),2),ROUND($H$27/$D$8,2))))</f>
        <v/>
      </c>
      <c r="I167" s="173" t="str">
        <f t="shared" si="57"/>
        <v/>
      </c>
      <c r="J167" s="173" t="str">
        <f t="shared" si="58"/>
        <v/>
      </c>
      <c r="K167" s="173" t="str">
        <f t="shared" si="65"/>
        <v/>
      </c>
      <c r="L167" s="173" t="str">
        <f t="shared" si="59"/>
        <v/>
      </c>
      <c r="M167" s="173" t="str">
        <f t="shared" si="61"/>
        <v/>
      </c>
      <c r="N167" s="173" t="str">
        <f t="shared" si="62"/>
        <v/>
      </c>
      <c r="O167" s="173" t="str">
        <f t="shared" si="63"/>
        <v/>
      </c>
      <c r="P167" s="173" t="str">
        <f t="shared" si="81"/>
        <v/>
      </c>
      <c r="Q167" s="173" t="str">
        <f t="shared" si="80"/>
        <v/>
      </c>
      <c r="R167" s="173" t="str">
        <f t="shared" si="60"/>
        <v/>
      </c>
      <c r="S167" s="176" t="str">
        <f>IF(A166=$D$8,XIRR(U$27:U166,C$27:C166),"")</f>
        <v/>
      </c>
      <c r="T167" s="173" t="str">
        <f t="shared" si="71"/>
        <v/>
      </c>
      <c r="U167" s="173">
        <f t="shared" si="79"/>
        <v>0</v>
      </c>
      <c r="V167" s="141" t="e">
        <f t="shared" ca="1" si="72"/>
        <v>#VALUE!</v>
      </c>
      <c r="W167" s="141" t="e">
        <f t="shared" ca="1" si="77"/>
        <v>#VALUE!</v>
      </c>
      <c r="X167" s="141" t="e">
        <f t="shared" ca="1" si="73"/>
        <v>#VALUE!</v>
      </c>
      <c r="Y167" s="177" t="e">
        <f t="shared" ca="1" si="64"/>
        <v>#VALUE!</v>
      </c>
      <c r="Z167" s="178" t="e">
        <f t="shared" ca="1" si="74"/>
        <v>#VALUE!</v>
      </c>
      <c r="AA167" s="141">
        <v>140</v>
      </c>
    </row>
    <row r="168" spans="1:27" x14ac:dyDescent="0.35">
      <c r="A168" s="175" t="str">
        <f t="shared" si="78"/>
        <v/>
      </c>
      <c r="B168" s="172">
        <f t="shared" ca="1" si="75"/>
        <v>49486</v>
      </c>
      <c r="C168" s="172" t="str">
        <f t="shared" ca="1" si="76"/>
        <v xml:space="preserve"> </v>
      </c>
      <c r="D168" s="175" t="str">
        <f t="shared" si="56"/>
        <v/>
      </c>
      <c r="E168" s="173" t="e">
        <f t="shared" si="70"/>
        <v>#VALUE!</v>
      </c>
      <c r="F168" s="173" t="str">
        <f>IF(A167=$D$8,SUM(F$28:F167),IF(A167&gt;$D$8,"",G168+H168))</f>
        <v/>
      </c>
      <c r="G168" s="173" t="str">
        <f>IF(A167=$D$8,ROUND(SUM($G$28:G167),2),IF(A168&gt;$F$8,"",IF(W168&lt;&gt;W167,ROUND(SUM(Y168*$E$12*E167/W168,Z168*$E$12*E167/W167),2),ROUND(E167*$E$12*D168/W167,2))))</f>
        <v/>
      </c>
      <c r="H168" s="173" t="str">
        <f>IF(AND(A167="",A169=""),"",IF(A168="",ROUND(SUM($H$28:H167),2),IF(A168=$D$8,$H$27-ROUND(SUM($H$28:H167),2),ROUND($H$27/$D$8,2))))</f>
        <v/>
      </c>
      <c r="I168" s="173" t="str">
        <f t="shared" si="57"/>
        <v/>
      </c>
      <c r="J168" s="173" t="str">
        <f t="shared" si="58"/>
        <v/>
      </c>
      <c r="K168" s="173" t="str">
        <f t="shared" si="65"/>
        <v/>
      </c>
      <c r="L168" s="173" t="str">
        <f t="shared" si="59"/>
        <v/>
      </c>
      <c r="M168" s="173" t="str">
        <f t="shared" si="61"/>
        <v/>
      </c>
      <c r="N168" s="173" t="str">
        <f t="shared" si="62"/>
        <v/>
      </c>
      <c r="O168" s="173" t="str">
        <f t="shared" si="63"/>
        <v/>
      </c>
      <c r="P168" s="173" t="str">
        <f t="shared" si="81"/>
        <v/>
      </c>
      <c r="Q168" s="173" t="str">
        <f t="shared" si="80"/>
        <v/>
      </c>
      <c r="R168" s="173" t="str">
        <f t="shared" si="60"/>
        <v/>
      </c>
      <c r="S168" s="176" t="str">
        <f>IF(A167=$D$8,XIRR(U$27:U167,C$27:C167),"")</f>
        <v/>
      </c>
      <c r="T168" s="173" t="str">
        <f t="shared" si="71"/>
        <v/>
      </c>
      <c r="U168" s="173">
        <f t="shared" si="79"/>
        <v>0</v>
      </c>
      <c r="V168" s="141" t="e">
        <f t="shared" ca="1" si="72"/>
        <v>#VALUE!</v>
      </c>
      <c r="W168" s="141" t="e">
        <f t="shared" ca="1" si="77"/>
        <v>#VALUE!</v>
      </c>
      <c r="X168" s="141" t="e">
        <f t="shared" ca="1" si="73"/>
        <v>#VALUE!</v>
      </c>
      <c r="Y168" s="177" t="e">
        <f t="shared" ca="1" si="64"/>
        <v>#VALUE!</v>
      </c>
      <c r="Z168" s="178" t="e">
        <f t="shared" ca="1" si="74"/>
        <v>#VALUE!</v>
      </c>
      <c r="AA168" s="141">
        <v>141</v>
      </c>
    </row>
    <row r="169" spans="1:27" x14ac:dyDescent="0.35">
      <c r="A169" s="175" t="str">
        <f t="shared" si="78"/>
        <v/>
      </c>
      <c r="B169" s="172">
        <f t="shared" ca="1" si="75"/>
        <v>49516</v>
      </c>
      <c r="C169" s="172" t="str">
        <f t="shared" ca="1" si="76"/>
        <v xml:space="preserve"> </v>
      </c>
      <c r="D169" s="175" t="str">
        <f t="shared" ref="D169:D232" si="82">IF(A169&gt;$D$8,"",C169-C168)</f>
        <v/>
      </c>
      <c r="E169" s="173" t="e">
        <f t="shared" si="70"/>
        <v>#VALUE!</v>
      </c>
      <c r="F169" s="173" t="str">
        <f>IF(A168=$D$8,SUM(F$28:F168),IF(A168&gt;$D$8,"",G169+H169))</f>
        <v/>
      </c>
      <c r="G169" s="173" t="str">
        <f>IF(A168=$D$8,ROUND(SUM($G$28:G168),2),IF(A169&gt;$F$8,"",IF(W169&lt;&gt;W168,ROUND(SUM(Y169*$E$12*E168/W169,Z169*$E$12*E168/W168),2),ROUND(E168*$E$12*D169/W168,2))))</f>
        <v/>
      </c>
      <c r="H169" s="173" t="str">
        <f>IF(AND(A168="",A170=""),"",IF(A169="",ROUND(SUM($H$28:H168),2),IF(A169=$D$8,$H$27-ROUND(SUM($H$28:H168),2),ROUND($H$27/$D$8,2))))</f>
        <v/>
      </c>
      <c r="I169" s="173" t="str">
        <f t="shared" ref="I169:I232" si="83">IF(A168=$F$8,$I$27,"")</f>
        <v/>
      </c>
      <c r="J169" s="173" t="str">
        <f t="shared" ref="J169:J232" si="84">IF(A168=$F$8,$J$27,"")</f>
        <v/>
      </c>
      <c r="K169" s="173" t="str">
        <f t="shared" si="65"/>
        <v/>
      </c>
      <c r="L169" s="173" t="str">
        <f t="shared" ref="L169:L232" si="85">IF(A168=$F$8,$L$27,"")</f>
        <v/>
      </c>
      <c r="M169" s="173" t="str">
        <f t="shared" si="61"/>
        <v/>
      </c>
      <c r="N169" s="173" t="str">
        <f t="shared" si="62"/>
        <v/>
      </c>
      <c r="O169" s="173" t="str">
        <f t="shared" si="63"/>
        <v/>
      </c>
      <c r="P169" s="173" t="str">
        <f t="shared" si="81"/>
        <v/>
      </c>
      <c r="Q169" s="173" t="str">
        <f t="shared" si="80"/>
        <v/>
      </c>
      <c r="R169" s="173" t="str">
        <f t="shared" ref="R169:R232" si="86">IF(A168=$D$8,$R$27,"")</f>
        <v/>
      </c>
      <c r="S169" s="176" t="str">
        <f>IF(A168=$D$8,XIRR(U$27:U168,C$27:C168),"")</f>
        <v/>
      </c>
      <c r="T169" s="173" t="str">
        <f t="shared" si="71"/>
        <v/>
      </c>
      <c r="U169" s="173">
        <f t="shared" si="79"/>
        <v>0</v>
      </c>
      <c r="V169" s="141" t="e">
        <f t="shared" ca="1" si="72"/>
        <v>#VALUE!</v>
      </c>
      <c r="W169" s="141" t="e">
        <f t="shared" ca="1" si="77"/>
        <v>#VALUE!</v>
      </c>
      <c r="X169" s="141" t="e">
        <f t="shared" ca="1" si="73"/>
        <v>#VALUE!</v>
      </c>
      <c r="Y169" s="177" t="e">
        <f t="shared" ca="1" si="64"/>
        <v>#VALUE!</v>
      </c>
      <c r="Z169" s="178" t="e">
        <f t="shared" ca="1" si="74"/>
        <v>#VALUE!</v>
      </c>
      <c r="AA169" s="141">
        <v>142</v>
      </c>
    </row>
    <row r="170" spans="1:27" x14ac:dyDescent="0.35">
      <c r="A170" s="175" t="str">
        <f t="shared" si="78"/>
        <v/>
      </c>
      <c r="B170" s="172">
        <f t="shared" ca="1" si="75"/>
        <v>49547</v>
      </c>
      <c r="C170" s="172" t="str">
        <f t="shared" ca="1" si="76"/>
        <v xml:space="preserve"> </v>
      </c>
      <c r="D170" s="175" t="str">
        <f t="shared" si="82"/>
        <v/>
      </c>
      <c r="E170" s="173" t="e">
        <f t="shared" si="70"/>
        <v>#VALUE!</v>
      </c>
      <c r="F170" s="173" t="str">
        <f>IF(A169=$D$8,SUM(F$28:F169),IF(A169&gt;$D$8,"",G170+H170))</f>
        <v/>
      </c>
      <c r="G170" s="173" t="str">
        <f>IF(A169=$D$8,ROUND(SUM($G$28:G169),2),IF(A170&gt;$F$8,"",IF(W170&lt;&gt;W169,ROUND(SUM(Y170*$E$12*E169/W170,Z170*$E$12*E169/W169),2),ROUND(E169*$E$12*D170/W169,2))))</f>
        <v/>
      </c>
      <c r="H170" s="173" t="str">
        <f>IF(AND(A169="",A171=""),"",IF(A170="",ROUND(SUM($H$28:H169),2),IF(A170=$D$8,$H$27-ROUND(SUM($H$28:H169),2),ROUND($H$27/$D$8,2))))</f>
        <v/>
      </c>
      <c r="I170" s="173" t="str">
        <f t="shared" si="83"/>
        <v/>
      </c>
      <c r="J170" s="173" t="str">
        <f t="shared" si="84"/>
        <v/>
      </c>
      <c r="K170" s="173" t="str">
        <f t="shared" si="65"/>
        <v/>
      </c>
      <c r="L170" s="173" t="str">
        <f t="shared" si="85"/>
        <v/>
      </c>
      <c r="M170" s="173" t="str">
        <f t="shared" ref="M170:M233" si="87">IF(A169=$F$8,$M$27,"")</f>
        <v/>
      </c>
      <c r="N170" s="173" t="str">
        <f t="shared" ref="N170:N233" si="88">IF(A169=$F$8,$N$27,"")</f>
        <v/>
      </c>
      <c r="O170" s="173" t="str">
        <f t="shared" ref="O170:O233" si="89">IF(A169=$F$8,$O$27,"")</f>
        <v/>
      </c>
      <c r="P170" s="173" t="str">
        <f t="shared" si="81"/>
        <v/>
      </c>
      <c r="Q170" s="173" t="str">
        <f t="shared" si="80"/>
        <v/>
      </c>
      <c r="R170" s="173" t="str">
        <f t="shared" si="86"/>
        <v/>
      </c>
      <c r="S170" s="176" t="str">
        <f>IF(A169=$D$8,XIRR(U$27:U169,C$27:C169),"")</f>
        <v/>
      </c>
      <c r="T170" s="173" t="str">
        <f t="shared" si="71"/>
        <v/>
      </c>
      <c r="U170" s="173">
        <f t="shared" si="79"/>
        <v>0</v>
      </c>
      <c r="V170" s="141" t="e">
        <f t="shared" ca="1" si="72"/>
        <v>#VALUE!</v>
      </c>
      <c r="W170" s="141" t="e">
        <f t="shared" ca="1" si="77"/>
        <v>#VALUE!</v>
      </c>
      <c r="X170" s="141" t="e">
        <f t="shared" ca="1" si="73"/>
        <v>#VALUE!</v>
      </c>
      <c r="Y170" s="177" t="e">
        <f t="shared" ca="1" si="64"/>
        <v>#VALUE!</v>
      </c>
      <c r="Z170" s="178" t="e">
        <f t="shared" ca="1" si="74"/>
        <v>#VALUE!</v>
      </c>
      <c r="AA170" s="141">
        <v>143</v>
      </c>
    </row>
    <row r="171" spans="1:27" x14ac:dyDescent="0.35">
      <c r="A171" s="175" t="str">
        <f t="shared" si="78"/>
        <v/>
      </c>
      <c r="B171" s="172">
        <f t="shared" ca="1" si="75"/>
        <v>49578</v>
      </c>
      <c r="C171" s="172" t="str">
        <f t="shared" ca="1" si="76"/>
        <v xml:space="preserve"> </v>
      </c>
      <c r="D171" s="175" t="str">
        <f t="shared" si="82"/>
        <v/>
      </c>
      <c r="E171" s="173" t="e">
        <f t="shared" si="70"/>
        <v>#VALUE!</v>
      </c>
      <c r="F171" s="173" t="str">
        <f>IF(A170=$D$8,SUM(F$28:F170),IF(A170&gt;$D$8,"",G171+H171))</f>
        <v/>
      </c>
      <c r="G171" s="173" t="str">
        <f>IF(A170=$D$8,ROUND(SUM($G$28:G170),2),IF(A171&gt;$F$8,"",IF(W171&lt;&gt;W170,ROUND(SUM(Y171*$E$12*E170/W171,Z171*$E$12*E170/W170),2),ROUND(E170*$E$12*D171/W170,2))))</f>
        <v/>
      </c>
      <c r="H171" s="173" t="str">
        <f>IF(AND(A170="",A172=""),"",IF(A171="",ROUND(SUM($H$28:H170),2),IF(A171=$D$8,$H$27-ROUND(SUM($H$28:H170),2),ROUND($H$27/$D$8,2))))</f>
        <v/>
      </c>
      <c r="I171" s="173" t="str">
        <f t="shared" si="83"/>
        <v/>
      </c>
      <c r="J171" s="173" t="str">
        <f t="shared" si="84"/>
        <v/>
      </c>
      <c r="K171" s="173" t="str">
        <f t="shared" si="65"/>
        <v/>
      </c>
      <c r="L171" s="173" t="str">
        <f t="shared" si="85"/>
        <v/>
      </c>
      <c r="M171" s="173" t="str">
        <f t="shared" si="87"/>
        <v/>
      </c>
      <c r="N171" s="173" t="str">
        <f t="shared" si="88"/>
        <v/>
      </c>
      <c r="O171" s="173" t="str">
        <f t="shared" si="89"/>
        <v/>
      </c>
      <c r="P171" s="173" t="str">
        <f t="shared" si="81"/>
        <v/>
      </c>
      <c r="Q171" s="173" t="str">
        <f t="shared" si="80"/>
        <v/>
      </c>
      <c r="R171" s="173" t="str">
        <f t="shared" si="86"/>
        <v/>
      </c>
      <c r="S171" s="176" t="str">
        <f>IF(A170=$D$8,XIRR(U$27:U170,C$27:C170),"")</f>
        <v/>
      </c>
      <c r="T171" s="173" t="str">
        <f t="shared" si="71"/>
        <v/>
      </c>
      <c r="U171" s="173">
        <f t="shared" si="79"/>
        <v>0</v>
      </c>
      <c r="V171" s="141" t="e">
        <f t="shared" ca="1" si="72"/>
        <v>#VALUE!</v>
      </c>
      <c r="W171" s="141" t="e">
        <f t="shared" ca="1" si="77"/>
        <v>#VALUE!</v>
      </c>
      <c r="X171" s="141" t="e">
        <f t="shared" ca="1" si="73"/>
        <v>#VALUE!</v>
      </c>
      <c r="Y171" s="177" t="e">
        <f t="shared" ca="1" si="64"/>
        <v>#VALUE!</v>
      </c>
      <c r="Z171" s="178" t="e">
        <f t="shared" ca="1" si="74"/>
        <v>#VALUE!</v>
      </c>
      <c r="AA171" s="141">
        <v>144</v>
      </c>
    </row>
    <row r="172" spans="1:27" x14ac:dyDescent="0.35">
      <c r="A172" s="175" t="str">
        <f t="shared" si="78"/>
        <v/>
      </c>
      <c r="B172" s="172">
        <f t="shared" ca="1" si="75"/>
        <v>49608</v>
      </c>
      <c r="C172" s="172" t="str">
        <f t="shared" ca="1" si="76"/>
        <v xml:space="preserve"> </v>
      </c>
      <c r="D172" s="175" t="str">
        <f t="shared" si="82"/>
        <v/>
      </c>
      <c r="E172" s="173" t="e">
        <f t="shared" si="70"/>
        <v>#VALUE!</v>
      </c>
      <c r="F172" s="173" t="str">
        <f>IF(A171=$D$8,SUM(F$28:F171),IF(A171&gt;$D$8,"",G172+H172))</f>
        <v/>
      </c>
      <c r="G172" s="173" t="str">
        <f>IF(A171=$D$8,ROUND(SUM($G$28:G171),2),IF(A172&gt;$F$8,"",IF(W172&lt;&gt;W171,ROUND(SUM(Y172*$E$12*E171/W172,Z172*$E$12*E171/W171),2),ROUND(E171*$E$12*D172/W171,2))))</f>
        <v/>
      </c>
      <c r="H172" s="173" t="str">
        <f>IF(AND(A171="",A173=""),"",IF(A172="",ROUND(SUM($H$28:H171),2),IF(A172=$D$8,$H$27-ROUND(SUM($H$28:H171),2),ROUND($H$27/$D$8,2))))</f>
        <v/>
      </c>
      <c r="I172" s="173" t="str">
        <f t="shared" si="83"/>
        <v/>
      </c>
      <c r="J172" s="173" t="str">
        <f t="shared" si="84"/>
        <v/>
      </c>
      <c r="K172" s="173" t="str">
        <f>IF($F$8&gt;144,($R$14),IF(A171=$F$8,K160+K148+K136+K124+K112+K100+K88+K76+K64+K52+K40+K27,""))</f>
        <v/>
      </c>
      <c r="L172" s="173" t="str">
        <f t="shared" si="85"/>
        <v/>
      </c>
      <c r="M172" s="173" t="str">
        <f t="shared" si="87"/>
        <v/>
      </c>
      <c r="N172" s="173" t="str">
        <f t="shared" si="88"/>
        <v/>
      </c>
      <c r="O172" s="173" t="str">
        <f t="shared" si="89"/>
        <v/>
      </c>
      <c r="P172" s="173" t="str">
        <f t="shared" si="81"/>
        <v/>
      </c>
      <c r="Q172" s="173" t="str">
        <f>IF($F$8&gt;144,($S$8+$S$10),IF($A171=$F$8,$Q$40+$Q$27+$Q$52+$Q$64+$Q$76+$Q$88+$Q$100+$Q$112+$Q$124+$Q$136+$Q$148+$Q$160,""))</f>
        <v/>
      </c>
      <c r="R172" s="173" t="str">
        <f t="shared" si="86"/>
        <v/>
      </c>
      <c r="S172" s="176" t="str">
        <f>IF(A171=$D$8,XIRR(U$27:U171,C$27:C171),"")</f>
        <v/>
      </c>
      <c r="T172" s="173" t="str">
        <f t="shared" si="71"/>
        <v/>
      </c>
      <c r="U172" s="173">
        <f t="shared" si="79"/>
        <v>0</v>
      </c>
      <c r="V172" s="141" t="e">
        <f t="shared" ca="1" si="72"/>
        <v>#VALUE!</v>
      </c>
      <c r="W172" s="141" t="e">
        <f t="shared" ca="1" si="77"/>
        <v>#VALUE!</v>
      </c>
      <c r="X172" s="141" t="e">
        <f t="shared" ca="1" si="73"/>
        <v>#VALUE!</v>
      </c>
      <c r="Y172" s="177" t="e">
        <f t="shared" ca="1" si="64"/>
        <v>#VALUE!</v>
      </c>
      <c r="Z172" s="178" t="e">
        <f t="shared" ca="1" si="74"/>
        <v>#VALUE!</v>
      </c>
      <c r="AA172" s="141">
        <v>145</v>
      </c>
    </row>
    <row r="173" spans="1:27" x14ac:dyDescent="0.35">
      <c r="A173" s="175" t="str">
        <f t="shared" si="78"/>
        <v/>
      </c>
      <c r="B173" s="172">
        <f t="shared" ca="1" si="75"/>
        <v>49639</v>
      </c>
      <c r="C173" s="172" t="str">
        <f t="shared" ca="1" si="76"/>
        <v xml:space="preserve"> </v>
      </c>
      <c r="D173" s="175" t="str">
        <f t="shared" si="82"/>
        <v/>
      </c>
      <c r="E173" s="173" t="e">
        <f t="shared" si="70"/>
        <v>#VALUE!</v>
      </c>
      <c r="F173" s="173" t="str">
        <f>IF(A172=$D$8,SUM(F$28:F172),IF(A172&gt;$D$8,"",G173+H173))</f>
        <v/>
      </c>
      <c r="G173" s="173" t="str">
        <f>IF(A172=$D$8,ROUND(SUM($G$28:G172),2),IF(A173&gt;$F$8,"",IF(W173&lt;&gt;W172,ROUND(SUM(Y173*$E$12*E172/W173,Z173*$E$12*E172/W172),2),ROUND(E172*$E$12*D173/W172,2))))</f>
        <v/>
      </c>
      <c r="H173" s="173" t="str">
        <f>IF(AND(A172="",A174=""),"",IF(A173="",ROUND(SUM($H$28:H172),2),IF(A173=$D$8,$H$27-ROUND(SUM($H$28:H172),2),ROUND($H$27/$D$8,2))))</f>
        <v/>
      </c>
      <c r="I173" s="173" t="str">
        <f t="shared" si="83"/>
        <v/>
      </c>
      <c r="J173" s="173" t="str">
        <f t="shared" si="84"/>
        <v/>
      </c>
      <c r="K173" s="173" t="str">
        <f t="shared" si="65"/>
        <v/>
      </c>
      <c r="L173" s="173" t="str">
        <f t="shared" si="85"/>
        <v/>
      </c>
      <c r="M173" s="173" t="str">
        <f t="shared" si="87"/>
        <v/>
      </c>
      <c r="N173" s="173" t="str">
        <f t="shared" si="88"/>
        <v/>
      </c>
      <c r="O173" s="173" t="str">
        <f t="shared" si="89"/>
        <v/>
      </c>
      <c r="P173" s="173" t="str">
        <f t="shared" si="81"/>
        <v/>
      </c>
      <c r="Q173" s="173" t="str">
        <f t="shared" ref="Q173:Q183" si="90">IF(A172=$D$8,$Q$27,"")</f>
        <v/>
      </c>
      <c r="R173" s="173" t="str">
        <f t="shared" si="86"/>
        <v/>
      </c>
      <c r="S173" s="176" t="str">
        <f>IF(A172=$D$8,XIRR(U$27:U172,C$27:C172),"")</f>
        <v/>
      </c>
      <c r="T173" s="173" t="str">
        <f t="shared" si="71"/>
        <v/>
      </c>
      <c r="U173" s="173">
        <f t="shared" si="79"/>
        <v>0</v>
      </c>
      <c r="V173" s="141" t="e">
        <f t="shared" ca="1" si="72"/>
        <v>#VALUE!</v>
      </c>
      <c r="W173" s="141" t="e">
        <f t="shared" ca="1" si="77"/>
        <v>#VALUE!</v>
      </c>
      <c r="X173" s="141" t="e">
        <f t="shared" ca="1" si="73"/>
        <v>#VALUE!</v>
      </c>
      <c r="Y173" s="177" t="e">
        <f t="shared" ca="1" si="64"/>
        <v>#VALUE!</v>
      </c>
      <c r="Z173" s="178" t="e">
        <f t="shared" ca="1" si="74"/>
        <v>#VALUE!</v>
      </c>
      <c r="AA173" s="141">
        <v>146</v>
      </c>
    </row>
    <row r="174" spans="1:27" x14ac:dyDescent="0.35">
      <c r="A174" s="175" t="str">
        <f t="shared" si="78"/>
        <v/>
      </c>
      <c r="B174" s="172">
        <f t="shared" ca="1" si="75"/>
        <v>49669</v>
      </c>
      <c r="C174" s="172" t="str">
        <f t="shared" ca="1" si="76"/>
        <v xml:space="preserve"> </v>
      </c>
      <c r="D174" s="175" t="str">
        <f t="shared" si="82"/>
        <v/>
      </c>
      <c r="E174" s="173" t="e">
        <f t="shared" si="70"/>
        <v>#VALUE!</v>
      </c>
      <c r="F174" s="173" t="str">
        <f>IF(A173=$D$8,SUM(F$28:F173),IF(A173&gt;$D$8,"",G174+H174))</f>
        <v/>
      </c>
      <c r="G174" s="173" t="str">
        <f>IF(A173=$D$8,ROUND(SUM($G$28:G173),2),IF(A174&gt;$F$8,"",IF(W174&lt;&gt;W173,ROUND(SUM(Y174*$E$12*E173/W174,Z174*$E$12*E173/W173),2),ROUND(E173*$E$12*D174/W173,2))))</f>
        <v/>
      </c>
      <c r="H174" s="173" t="str">
        <f>IF(AND(A173="",A175=""),"",IF(A174="",ROUND(SUM($H$28:H173),2),IF(A174=$D$8,$H$27-ROUND(SUM($H$28:H173),2),ROUND($H$27/$D$8,2))))</f>
        <v/>
      </c>
      <c r="I174" s="173" t="str">
        <f t="shared" si="83"/>
        <v/>
      </c>
      <c r="J174" s="173" t="str">
        <f t="shared" si="84"/>
        <v/>
      </c>
      <c r="K174" s="173" t="str">
        <f t="shared" si="65"/>
        <v/>
      </c>
      <c r="L174" s="173" t="str">
        <f t="shared" si="85"/>
        <v/>
      </c>
      <c r="M174" s="173" t="str">
        <f t="shared" si="87"/>
        <v/>
      </c>
      <c r="N174" s="173" t="str">
        <f t="shared" si="88"/>
        <v/>
      </c>
      <c r="O174" s="173" t="str">
        <f t="shared" si="89"/>
        <v/>
      </c>
      <c r="P174" s="173" t="str">
        <f t="shared" si="81"/>
        <v/>
      </c>
      <c r="Q174" s="173" t="str">
        <f t="shared" si="90"/>
        <v/>
      </c>
      <c r="R174" s="173" t="str">
        <f t="shared" si="86"/>
        <v/>
      </c>
      <c r="S174" s="176" t="str">
        <f>IF(A173=$D$8,XIRR(U$27:U173,C$27:C173),"")</f>
        <v/>
      </c>
      <c r="T174" s="173" t="str">
        <f t="shared" si="71"/>
        <v/>
      </c>
      <c r="U174" s="173">
        <f t="shared" si="79"/>
        <v>0</v>
      </c>
      <c r="V174" s="141" t="e">
        <f t="shared" ca="1" si="72"/>
        <v>#VALUE!</v>
      </c>
      <c r="W174" s="141" t="e">
        <f t="shared" ca="1" si="77"/>
        <v>#VALUE!</v>
      </c>
      <c r="X174" s="141" t="e">
        <f t="shared" ca="1" si="73"/>
        <v>#VALUE!</v>
      </c>
      <c r="Y174" s="177" t="e">
        <f t="shared" ca="1" si="64"/>
        <v>#VALUE!</v>
      </c>
      <c r="Z174" s="178" t="e">
        <f t="shared" ca="1" si="74"/>
        <v>#VALUE!</v>
      </c>
      <c r="AA174" s="141">
        <v>147</v>
      </c>
    </row>
    <row r="175" spans="1:27" x14ac:dyDescent="0.35">
      <c r="A175" s="175" t="str">
        <f t="shared" si="78"/>
        <v/>
      </c>
      <c r="B175" s="172">
        <f t="shared" ca="1" si="75"/>
        <v>49700</v>
      </c>
      <c r="C175" s="172" t="str">
        <f t="shared" ca="1" si="76"/>
        <v xml:space="preserve"> </v>
      </c>
      <c r="D175" s="175" t="str">
        <f t="shared" si="82"/>
        <v/>
      </c>
      <c r="E175" s="173" t="e">
        <f t="shared" si="70"/>
        <v>#VALUE!</v>
      </c>
      <c r="F175" s="173" t="str">
        <f>IF(A174=$D$8,SUM(F$28:F174),IF(A174&gt;$D$8,"",G175+H175))</f>
        <v/>
      </c>
      <c r="G175" s="173" t="str">
        <f>IF(A174=$D$8,ROUND(SUM($G$28:G174),2),IF(A175&gt;$F$8,"",IF(W175&lt;&gt;W174,ROUND(SUM(Y175*$E$12*E174/W175,Z175*$E$12*E174/W174),2),ROUND(E174*$E$12*D175/W174,2))))</f>
        <v/>
      </c>
      <c r="H175" s="173" t="str">
        <f>IF(AND(A174="",A176=""),"",IF(A175="",ROUND(SUM($H$28:H174),2),IF(A175=$D$8,$H$27-ROUND(SUM($H$28:H174),2),ROUND($H$27/$D$8,2))))</f>
        <v/>
      </c>
      <c r="I175" s="173" t="str">
        <f t="shared" si="83"/>
        <v/>
      </c>
      <c r="J175" s="173" t="str">
        <f t="shared" si="84"/>
        <v/>
      </c>
      <c r="K175" s="173" t="str">
        <f t="shared" si="65"/>
        <v/>
      </c>
      <c r="L175" s="173" t="str">
        <f t="shared" si="85"/>
        <v/>
      </c>
      <c r="M175" s="173" t="str">
        <f t="shared" si="87"/>
        <v/>
      </c>
      <c r="N175" s="173" t="str">
        <f t="shared" si="88"/>
        <v/>
      </c>
      <c r="O175" s="173" t="str">
        <f t="shared" si="89"/>
        <v/>
      </c>
      <c r="P175" s="173" t="str">
        <f t="shared" si="81"/>
        <v/>
      </c>
      <c r="Q175" s="173" t="str">
        <f t="shared" si="90"/>
        <v/>
      </c>
      <c r="R175" s="173" t="str">
        <f t="shared" si="86"/>
        <v/>
      </c>
      <c r="S175" s="176" t="str">
        <f>IF(A174=$D$8,XIRR(U$27:U174,C$27:C174),"")</f>
        <v/>
      </c>
      <c r="T175" s="173" t="str">
        <f t="shared" si="71"/>
        <v/>
      </c>
      <c r="U175" s="173">
        <f t="shared" si="79"/>
        <v>0</v>
      </c>
      <c r="V175" s="141" t="e">
        <f t="shared" ca="1" si="72"/>
        <v>#VALUE!</v>
      </c>
      <c r="W175" s="141" t="e">
        <f t="shared" ca="1" si="77"/>
        <v>#VALUE!</v>
      </c>
      <c r="X175" s="141" t="e">
        <f t="shared" ca="1" si="73"/>
        <v>#VALUE!</v>
      </c>
      <c r="Y175" s="177" t="e">
        <f t="shared" ca="1" si="64"/>
        <v>#VALUE!</v>
      </c>
      <c r="Z175" s="178" t="e">
        <f t="shared" ca="1" si="74"/>
        <v>#VALUE!</v>
      </c>
      <c r="AA175" s="141">
        <v>148</v>
      </c>
    </row>
    <row r="176" spans="1:27" x14ac:dyDescent="0.35">
      <c r="A176" s="175" t="str">
        <f t="shared" si="78"/>
        <v/>
      </c>
      <c r="B176" s="172">
        <f t="shared" ca="1" si="75"/>
        <v>49731</v>
      </c>
      <c r="C176" s="172" t="str">
        <f t="shared" ca="1" si="76"/>
        <v xml:space="preserve"> </v>
      </c>
      <c r="D176" s="175" t="str">
        <f t="shared" si="82"/>
        <v/>
      </c>
      <c r="E176" s="173" t="e">
        <f t="shared" si="70"/>
        <v>#VALUE!</v>
      </c>
      <c r="F176" s="173" t="str">
        <f>IF(A175=$D$8,SUM(F$28:F175),IF(A175&gt;$D$8,"",G176+H176))</f>
        <v/>
      </c>
      <c r="G176" s="173" t="str">
        <f>IF(A175=$D$8,ROUND(SUM($G$28:G175),2),IF(A176&gt;$F$8,"",IF(W176&lt;&gt;W175,ROUND(SUM(Y176*$E$12*E175/W176,Z176*$E$12*E175/W175),2),ROUND(E175*$E$12*D176/W175,2))))</f>
        <v/>
      </c>
      <c r="H176" s="173" t="str">
        <f>IF(AND(A175="",A177=""),"",IF(A176="",ROUND(SUM($H$28:H175),2),IF(A176=$D$8,$H$27-ROUND(SUM($H$28:H175),2),ROUND($H$27/$D$8,2))))</f>
        <v/>
      </c>
      <c r="I176" s="173" t="str">
        <f t="shared" si="83"/>
        <v/>
      </c>
      <c r="J176" s="173" t="str">
        <f t="shared" si="84"/>
        <v/>
      </c>
      <c r="K176" s="173" t="str">
        <f t="shared" si="65"/>
        <v/>
      </c>
      <c r="L176" s="173" t="str">
        <f t="shared" si="85"/>
        <v/>
      </c>
      <c r="M176" s="173" t="str">
        <f t="shared" si="87"/>
        <v/>
      </c>
      <c r="N176" s="173" t="str">
        <f t="shared" si="88"/>
        <v/>
      </c>
      <c r="O176" s="173" t="str">
        <f t="shared" si="89"/>
        <v/>
      </c>
      <c r="P176" s="173" t="str">
        <f t="shared" si="81"/>
        <v/>
      </c>
      <c r="Q176" s="173" t="str">
        <f t="shared" si="90"/>
        <v/>
      </c>
      <c r="R176" s="173" t="str">
        <f t="shared" si="86"/>
        <v/>
      </c>
      <c r="S176" s="176" t="str">
        <f>IF(A175=$D$8,XIRR(U$27:U175,C$27:C175),"")</f>
        <v/>
      </c>
      <c r="T176" s="173" t="str">
        <f t="shared" si="71"/>
        <v/>
      </c>
      <c r="U176" s="173">
        <f t="shared" si="79"/>
        <v>0</v>
      </c>
      <c r="V176" s="141" t="e">
        <f t="shared" ca="1" si="72"/>
        <v>#VALUE!</v>
      </c>
      <c r="W176" s="141" t="e">
        <f t="shared" ca="1" si="77"/>
        <v>#VALUE!</v>
      </c>
      <c r="X176" s="141" t="e">
        <f t="shared" ca="1" si="73"/>
        <v>#VALUE!</v>
      </c>
      <c r="Y176" s="177" t="e">
        <f t="shared" ref="Y176:Y239" ca="1" si="91">X176-1</f>
        <v>#VALUE!</v>
      </c>
      <c r="Z176" s="178" t="e">
        <f t="shared" ca="1" si="74"/>
        <v>#VALUE!</v>
      </c>
      <c r="AA176" s="141">
        <v>149</v>
      </c>
    </row>
    <row r="177" spans="1:27" x14ac:dyDescent="0.35">
      <c r="A177" s="175" t="str">
        <f t="shared" si="78"/>
        <v/>
      </c>
      <c r="B177" s="172">
        <f t="shared" ca="1" si="75"/>
        <v>49760</v>
      </c>
      <c r="C177" s="172" t="str">
        <f t="shared" ca="1" si="76"/>
        <v xml:space="preserve"> </v>
      </c>
      <c r="D177" s="175" t="str">
        <f t="shared" si="82"/>
        <v/>
      </c>
      <c r="E177" s="173" t="e">
        <f t="shared" si="70"/>
        <v>#VALUE!</v>
      </c>
      <c r="F177" s="173" t="str">
        <f>IF(A176=$D$8,SUM(F$28:F176),IF(A176&gt;$D$8,"",G177+H177))</f>
        <v/>
      </c>
      <c r="G177" s="173" t="str">
        <f>IF(A176=$D$8,ROUND(SUM($G$28:G176),2),IF(A177&gt;$F$8,"",IF(W177&lt;&gt;W176,ROUND(SUM(Y177*$E$12*E176/W177,Z177*$E$12*E176/W176),2),ROUND(E176*$E$12*D177/W176,2))))</f>
        <v/>
      </c>
      <c r="H177" s="173" t="str">
        <f>IF(AND(A176="",A178=""),"",IF(A177="",ROUND(SUM($H$28:H176),2),IF(A177=$D$8,$H$27-ROUND(SUM($H$28:H176),2),ROUND($H$27/$D$8,2))))</f>
        <v/>
      </c>
      <c r="I177" s="173" t="str">
        <f t="shared" si="83"/>
        <v/>
      </c>
      <c r="J177" s="173" t="str">
        <f t="shared" si="84"/>
        <v/>
      </c>
      <c r="K177" s="173" t="str">
        <f t="shared" ref="K177:K240" si="92">IF(A176=$D$8,$K$27,"")</f>
        <v/>
      </c>
      <c r="L177" s="173" t="str">
        <f t="shared" si="85"/>
        <v/>
      </c>
      <c r="M177" s="173" t="str">
        <f t="shared" si="87"/>
        <v/>
      </c>
      <c r="N177" s="173" t="str">
        <f t="shared" si="88"/>
        <v/>
      </c>
      <c r="O177" s="173" t="str">
        <f t="shared" si="89"/>
        <v/>
      </c>
      <c r="P177" s="173" t="str">
        <f t="shared" si="81"/>
        <v/>
      </c>
      <c r="Q177" s="173" t="str">
        <f t="shared" si="90"/>
        <v/>
      </c>
      <c r="R177" s="173" t="str">
        <f t="shared" si="86"/>
        <v/>
      </c>
      <c r="S177" s="176" t="str">
        <f>IF(A176=$D$8,XIRR(U$27:U176,C$27:C176),"")</f>
        <v/>
      </c>
      <c r="T177" s="173" t="str">
        <f t="shared" si="71"/>
        <v/>
      </c>
      <c r="U177" s="173">
        <f t="shared" si="79"/>
        <v>0</v>
      </c>
      <c r="V177" s="141" t="e">
        <f t="shared" ca="1" si="72"/>
        <v>#VALUE!</v>
      </c>
      <c r="W177" s="141" t="e">
        <f t="shared" ca="1" si="77"/>
        <v>#VALUE!</v>
      </c>
      <c r="X177" s="141" t="e">
        <f t="shared" ca="1" si="73"/>
        <v>#VALUE!</v>
      </c>
      <c r="Y177" s="177" t="e">
        <f t="shared" ca="1" si="91"/>
        <v>#VALUE!</v>
      </c>
      <c r="Z177" s="178" t="e">
        <f t="shared" ca="1" si="74"/>
        <v>#VALUE!</v>
      </c>
      <c r="AA177" s="141">
        <v>150</v>
      </c>
    </row>
    <row r="178" spans="1:27" x14ac:dyDescent="0.35">
      <c r="A178" s="175" t="str">
        <f t="shared" si="78"/>
        <v/>
      </c>
      <c r="B178" s="172">
        <f t="shared" ca="1" si="75"/>
        <v>49791</v>
      </c>
      <c r="C178" s="172" t="str">
        <f t="shared" ca="1" si="76"/>
        <v xml:space="preserve"> </v>
      </c>
      <c r="D178" s="175" t="str">
        <f t="shared" si="82"/>
        <v/>
      </c>
      <c r="E178" s="173" t="e">
        <f t="shared" si="70"/>
        <v>#VALUE!</v>
      </c>
      <c r="F178" s="173" t="str">
        <f>IF(A177=$D$8,SUM(F$28:F177),IF(A177&gt;$D$8,"",G178+H178))</f>
        <v/>
      </c>
      <c r="G178" s="173" t="str">
        <f>IF(A177=$D$8,ROUND(SUM($G$28:G177),2),IF(A178&gt;$F$8,"",IF(W178&lt;&gt;W177,ROUND(SUM(Y178*$E$12*E177/W178,Z178*$E$12*E177/W177),2),ROUND(E177*$E$12*D178/W177,2))))</f>
        <v/>
      </c>
      <c r="H178" s="173" t="str">
        <f>IF(AND(A177="",A179=""),"",IF(A178="",ROUND(SUM($H$28:H177),2),IF(A178=$D$8,$H$27-ROUND(SUM($H$28:H177),2),ROUND($H$27/$D$8,2))))</f>
        <v/>
      </c>
      <c r="I178" s="173" t="str">
        <f t="shared" si="83"/>
        <v/>
      </c>
      <c r="J178" s="173" t="str">
        <f t="shared" si="84"/>
        <v/>
      </c>
      <c r="K178" s="173" t="str">
        <f t="shared" si="92"/>
        <v/>
      </c>
      <c r="L178" s="173" t="str">
        <f t="shared" si="85"/>
        <v/>
      </c>
      <c r="M178" s="173" t="str">
        <f t="shared" si="87"/>
        <v/>
      </c>
      <c r="N178" s="173" t="str">
        <f t="shared" si="88"/>
        <v/>
      </c>
      <c r="O178" s="173" t="str">
        <f t="shared" si="89"/>
        <v/>
      </c>
      <c r="P178" s="173" t="str">
        <f t="shared" si="81"/>
        <v/>
      </c>
      <c r="Q178" s="173" t="str">
        <f t="shared" si="90"/>
        <v/>
      </c>
      <c r="R178" s="173" t="str">
        <f t="shared" si="86"/>
        <v/>
      </c>
      <c r="S178" s="176" t="str">
        <f>IF(A177=$D$8,XIRR(U$27:U177,C$27:C177),"")</f>
        <v/>
      </c>
      <c r="T178" s="173" t="str">
        <f t="shared" si="71"/>
        <v/>
      </c>
      <c r="U178" s="173">
        <f t="shared" si="79"/>
        <v>0</v>
      </c>
      <c r="V178" s="141" t="e">
        <f t="shared" ca="1" si="72"/>
        <v>#VALUE!</v>
      </c>
      <c r="W178" s="141" t="e">
        <f t="shared" ca="1" si="77"/>
        <v>#VALUE!</v>
      </c>
      <c r="X178" s="141" t="e">
        <f t="shared" ca="1" si="73"/>
        <v>#VALUE!</v>
      </c>
      <c r="Y178" s="177" t="e">
        <f t="shared" ca="1" si="91"/>
        <v>#VALUE!</v>
      </c>
      <c r="Z178" s="178" t="e">
        <f t="shared" ca="1" si="74"/>
        <v>#VALUE!</v>
      </c>
      <c r="AA178" s="141">
        <v>151</v>
      </c>
    </row>
    <row r="179" spans="1:27" x14ac:dyDescent="0.35">
      <c r="A179" s="175" t="str">
        <f t="shared" si="78"/>
        <v/>
      </c>
      <c r="B179" s="172">
        <f t="shared" ca="1" si="75"/>
        <v>49821</v>
      </c>
      <c r="C179" s="172" t="str">
        <f t="shared" ca="1" si="76"/>
        <v xml:space="preserve"> </v>
      </c>
      <c r="D179" s="175" t="str">
        <f t="shared" si="82"/>
        <v/>
      </c>
      <c r="E179" s="173" t="e">
        <f t="shared" si="70"/>
        <v>#VALUE!</v>
      </c>
      <c r="F179" s="173" t="str">
        <f>IF(A178=$D$8,SUM(F$28:F178),IF(A178&gt;$D$8,"",G179+H179))</f>
        <v/>
      </c>
      <c r="G179" s="173" t="str">
        <f>IF(A178=$D$8,ROUND(SUM($G$28:G178),2),IF(A179&gt;$F$8,"",IF(W179&lt;&gt;W178,ROUND(SUM(Y179*$E$12*E178/W179,Z179*$E$12*E178/W178),2),ROUND(E178*$E$12*D179/W178,2))))</f>
        <v/>
      </c>
      <c r="H179" s="173" t="str">
        <f>IF(AND(A178="",A180=""),"",IF(A179="",ROUND(SUM($H$28:H178),2),IF(A179=$D$8,$H$27-ROUND(SUM($H$28:H178),2),ROUND($H$27/$D$8,2))))</f>
        <v/>
      </c>
      <c r="I179" s="173" t="str">
        <f t="shared" si="83"/>
        <v/>
      </c>
      <c r="J179" s="173" t="str">
        <f t="shared" si="84"/>
        <v/>
      </c>
      <c r="K179" s="173" t="str">
        <f t="shared" si="92"/>
        <v/>
      </c>
      <c r="L179" s="173" t="str">
        <f t="shared" si="85"/>
        <v/>
      </c>
      <c r="M179" s="173" t="str">
        <f t="shared" si="87"/>
        <v/>
      </c>
      <c r="N179" s="173" t="str">
        <f t="shared" si="88"/>
        <v/>
      </c>
      <c r="O179" s="173" t="str">
        <f t="shared" si="89"/>
        <v/>
      </c>
      <c r="P179" s="173" t="str">
        <f t="shared" si="81"/>
        <v/>
      </c>
      <c r="Q179" s="173" t="str">
        <f t="shared" si="90"/>
        <v/>
      </c>
      <c r="R179" s="173" t="str">
        <f t="shared" si="86"/>
        <v/>
      </c>
      <c r="S179" s="176" t="str">
        <f>IF(A178=$D$8,XIRR(U$27:U178,C$27:C178),"")</f>
        <v/>
      </c>
      <c r="T179" s="173" t="str">
        <f t="shared" si="71"/>
        <v/>
      </c>
      <c r="U179" s="173">
        <f t="shared" si="79"/>
        <v>0</v>
      </c>
      <c r="V179" s="141" t="e">
        <f t="shared" ca="1" si="72"/>
        <v>#VALUE!</v>
      </c>
      <c r="W179" s="141" t="e">
        <f t="shared" ca="1" si="77"/>
        <v>#VALUE!</v>
      </c>
      <c r="X179" s="141" t="e">
        <f t="shared" ca="1" si="73"/>
        <v>#VALUE!</v>
      </c>
      <c r="Y179" s="177" t="e">
        <f t="shared" ca="1" si="91"/>
        <v>#VALUE!</v>
      </c>
      <c r="Z179" s="178" t="e">
        <f t="shared" ca="1" si="74"/>
        <v>#VALUE!</v>
      </c>
      <c r="AA179" s="141">
        <v>152</v>
      </c>
    </row>
    <row r="180" spans="1:27" x14ac:dyDescent="0.35">
      <c r="A180" s="175" t="str">
        <f t="shared" si="78"/>
        <v/>
      </c>
      <c r="B180" s="172">
        <f t="shared" ca="1" si="75"/>
        <v>49852</v>
      </c>
      <c r="C180" s="172" t="str">
        <f t="shared" ca="1" si="76"/>
        <v xml:space="preserve"> </v>
      </c>
      <c r="D180" s="175" t="str">
        <f t="shared" si="82"/>
        <v/>
      </c>
      <c r="E180" s="173" t="e">
        <f t="shared" si="70"/>
        <v>#VALUE!</v>
      </c>
      <c r="F180" s="173" t="str">
        <f>IF(A179=$D$8,SUM(F$28:F179),IF(A179&gt;$D$8,"",G180+H180))</f>
        <v/>
      </c>
      <c r="G180" s="173" t="str">
        <f>IF(A179=$D$8,ROUND(SUM($G$28:G179),2),IF(A180&gt;$F$8,"",IF(W180&lt;&gt;W179,ROUND(SUM(Y180*$E$12*E179/W180,Z180*$E$12*E179/W179),2),ROUND(E179*$E$12*D180/W179,2))))</f>
        <v/>
      </c>
      <c r="H180" s="173" t="str">
        <f>IF(AND(A179="",A181=""),"",IF(A180="",ROUND(SUM($H$28:H179),2),IF(A180=$D$8,$H$27-ROUND(SUM($H$28:H179),2),ROUND($H$27/$D$8,2))))</f>
        <v/>
      </c>
      <c r="I180" s="173" t="str">
        <f t="shared" si="83"/>
        <v/>
      </c>
      <c r="J180" s="173" t="str">
        <f t="shared" si="84"/>
        <v/>
      </c>
      <c r="K180" s="173" t="str">
        <f t="shared" si="92"/>
        <v/>
      </c>
      <c r="L180" s="173" t="str">
        <f t="shared" si="85"/>
        <v/>
      </c>
      <c r="M180" s="173" t="str">
        <f t="shared" si="87"/>
        <v/>
      </c>
      <c r="N180" s="173" t="str">
        <f t="shared" si="88"/>
        <v/>
      </c>
      <c r="O180" s="173" t="str">
        <f t="shared" si="89"/>
        <v/>
      </c>
      <c r="P180" s="173" t="str">
        <f t="shared" si="81"/>
        <v/>
      </c>
      <c r="Q180" s="173" t="str">
        <f t="shared" si="90"/>
        <v/>
      </c>
      <c r="R180" s="173" t="str">
        <f t="shared" si="86"/>
        <v/>
      </c>
      <c r="S180" s="176" t="str">
        <f>IF(A179=$D$8,XIRR(U$27:U179,C$27:C179),"")</f>
        <v/>
      </c>
      <c r="T180" s="173" t="str">
        <f t="shared" si="71"/>
        <v/>
      </c>
      <c r="U180" s="173">
        <f t="shared" si="79"/>
        <v>0</v>
      </c>
      <c r="V180" s="141" t="e">
        <f t="shared" ca="1" si="72"/>
        <v>#VALUE!</v>
      </c>
      <c r="W180" s="141" t="e">
        <f t="shared" ca="1" si="77"/>
        <v>#VALUE!</v>
      </c>
      <c r="X180" s="141" t="e">
        <f t="shared" ca="1" si="73"/>
        <v>#VALUE!</v>
      </c>
      <c r="Y180" s="177" t="e">
        <f t="shared" ca="1" si="91"/>
        <v>#VALUE!</v>
      </c>
      <c r="Z180" s="178" t="e">
        <f t="shared" ca="1" si="74"/>
        <v>#VALUE!</v>
      </c>
      <c r="AA180" s="141">
        <v>153</v>
      </c>
    </row>
    <row r="181" spans="1:27" x14ac:dyDescent="0.35">
      <c r="A181" s="175" t="str">
        <f t="shared" si="78"/>
        <v/>
      </c>
      <c r="B181" s="172">
        <f t="shared" ca="1" si="75"/>
        <v>49882</v>
      </c>
      <c r="C181" s="172" t="str">
        <f t="shared" ca="1" si="76"/>
        <v xml:space="preserve"> </v>
      </c>
      <c r="D181" s="175" t="str">
        <f t="shared" si="82"/>
        <v/>
      </c>
      <c r="E181" s="173" t="e">
        <f t="shared" si="70"/>
        <v>#VALUE!</v>
      </c>
      <c r="F181" s="173" t="str">
        <f>IF(A180=$D$8,SUM(F$28:F180),IF(A180&gt;$D$8,"",G181+H181))</f>
        <v/>
      </c>
      <c r="G181" s="173" t="str">
        <f>IF(A180=$D$8,ROUND(SUM($G$28:G180),2),IF(A181&gt;$F$8,"",IF(W181&lt;&gt;W180,ROUND(SUM(Y181*$E$12*E180/W181,Z181*$E$12*E180/W180),2),ROUND(E180*$E$12*D181/W180,2))))</f>
        <v/>
      </c>
      <c r="H181" s="173" t="str">
        <f>IF(AND(A180="",A182=""),"",IF(A181="",ROUND(SUM($H$28:H180),2),IF(A181=$D$8,$H$27-ROUND(SUM($H$28:H180),2),ROUND($H$27/$D$8,2))))</f>
        <v/>
      </c>
      <c r="I181" s="173" t="str">
        <f t="shared" si="83"/>
        <v/>
      </c>
      <c r="J181" s="173" t="str">
        <f t="shared" si="84"/>
        <v/>
      </c>
      <c r="K181" s="173" t="str">
        <f t="shared" si="92"/>
        <v/>
      </c>
      <c r="L181" s="173" t="str">
        <f t="shared" si="85"/>
        <v/>
      </c>
      <c r="M181" s="173" t="str">
        <f t="shared" si="87"/>
        <v/>
      </c>
      <c r="N181" s="173" t="str">
        <f t="shared" si="88"/>
        <v/>
      </c>
      <c r="O181" s="173" t="str">
        <f t="shared" si="89"/>
        <v/>
      </c>
      <c r="P181" s="173" t="str">
        <f t="shared" si="81"/>
        <v/>
      </c>
      <c r="Q181" s="173" t="str">
        <f t="shared" si="90"/>
        <v/>
      </c>
      <c r="R181" s="173" t="str">
        <f t="shared" si="86"/>
        <v/>
      </c>
      <c r="S181" s="176" t="str">
        <f>IF(A180=$D$8,XIRR(U$27:U180,C$27:C180),"")</f>
        <v/>
      </c>
      <c r="T181" s="173" t="str">
        <f t="shared" si="71"/>
        <v/>
      </c>
      <c r="U181" s="173">
        <f t="shared" si="79"/>
        <v>0</v>
      </c>
      <c r="V181" s="141" t="e">
        <f t="shared" ca="1" si="72"/>
        <v>#VALUE!</v>
      </c>
      <c r="W181" s="141" t="e">
        <f t="shared" ca="1" si="77"/>
        <v>#VALUE!</v>
      </c>
      <c r="X181" s="141" t="e">
        <f t="shared" ca="1" si="73"/>
        <v>#VALUE!</v>
      </c>
      <c r="Y181" s="177" t="e">
        <f t="shared" ca="1" si="91"/>
        <v>#VALUE!</v>
      </c>
      <c r="Z181" s="178" t="e">
        <f t="shared" ca="1" si="74"/>
        <v>#VALUE!</v>
      </c>
      <c r="AA181" s="141">
        <v>154</v>
      </c>
    </row>
    <row r="182" spans="1:27" x14ac:dyDescent="0.35">
      <c r="A182" s="175" t="str">
        <f t="shared" si="78"/>
        <v/>
      </c>
      <c r="B182" s="172">
        <f t="shared" ca="1" si="75"/>
        <v>49913</v>
      </c>
      <c r="C182" s="172" t="str">
        <f t="shared" ca="1" si="76"/>
        <v xml:space="preserve"> </v>
      </c>
      <c r="D182" s="175" t="str">
        <f t="shared" si="82"/>
        <v/>
      </c>
      <c r="E182" s="173" t="e">
        <f t="shared" si="70"/>
        <v>#VALUE!</v>
      </c>
      <c r="F182" s="173" t="str">
        <f>IF(A181=$D$8,SUM(F$28:F181),IF(A181&gt;$D$8,"",G182+H182))</f>
        <v/>
      </c>
      <c r="G182" s="173" t="str">
        <f>IF(A181=$D$8,ROUND(SUM($G$28:G181),2),IF(A182&gt;$F$8,"",IF(W182&lt;&gt;W181,ROUND(SUM(Y182*$E$12*E181/W182,Z182*$E$12*E181/W181),2),ROUND(E181*$E$12*D182/W181,2))))</f>
        <v/>
      </c>
      <c r="H182" s="173" t="str">
        <f>IF(AND(A181="",A183=""),"",IF(A182="",ROUND(SUM($H$28:H181),2),IF(A182=$D$8,$H$27-ROUND(SUM($H$28:H181),2),ROUND($H$27/$D$8,2))))</f>
        <v/>
      </c>
      <c r="I182" s="173" t="str">
        <f t="shared" si="83"/>
        <v/>
      </c>
      <c r="J182" s="173" t="str">
        <f t="shared" si="84"/>
        <v/>
      </c>
      <c r="K182" s="173" t="str">
        <f t="shared" si="92"/>
        <v/>
      </c>
      <c r="L182" s="173" t="str">
        <f t="shared" si="85"/>
        <v/>
      </c>
      <c r="M182" s="173" t="str">
        <f t="shared" si="87"/>
        <v/>
      </c>
      <c r="N182" s="173" t="str">
        <f t="shared" si="88"/>
        <v/>
      </c>
      <c r="O182" s="173" t="str">
        <f t="shared" si="89"/>
        <v/>
      </c>
      <c r="P182" s="173" t="str">
        <f t="shared" si="81"/>
        <v/>
      </c>
      <c r="Q182" s="173" t="str">
        <f t="shared" si="90"/>
        <v/>
      </c>
      <c r="R182" s="173" t="str">
        <f t="shared" si="86"/>
        <v/>
      </c>
      <c r="S182" s="176" t="str">
        <f>IF(A181=$D$8,XIRR(U$27:U181,C$27:C181),"")</f>
        <v/>
      </c>
      <c r="T182" s="173" t="str">
        <f t="shared" si="71"/>
        <v/>
      </c>
      <c r="U182" s="173">
        <f t="shared" si="79"/>
        <v>0</v>
      </c>
      <c r="V182" s="141" t="e">
        <f t="shared" ca="1" si="72"/>
        <v>#VALUE!</v>
      </c>
      <c r="W182" s="141" t="e">
        <f t="shared" ca="1" si="77"/>
        <v>#VALUE!</v>
      </c>
      <c r="X182" s="141" t="e">
        <f t="shared" ca="1" si="73"/>
        <v>#VALUE!</v>
      </c>
      <c r="Y182" s="177" t="e">
        <f t="shared" ca="1" si="91"/>
        <v>#VALUE!</v>
      </c>
      <c r="Z182" s="178" t="e">
        <f t="shared" ca="1" si="74"/>
        <v>#VALUE!</v>
      </c>
      <c r="AA182" s="141">
        <v>155</v>
      </c>
    </row>
    <row r="183" spans="1:27" x14ac:dyDescent="0.35">
      <c r="A183" s="175" t="str">
        <f t="shared" si="78"/>
        <v/>
      </c>
      <c r="B183" s="172">
        <f t="shared" ca="1" si="75"/>
        <v>49944</v>
      </c>
      <c r="C183" s="172" t="str">
        <f t="shared" ca="1" si="76"/>
        <v xml:space="preserve"> </v>
      </c>
      <c r="D183" s="175" t="str">
        <f t="shared" si="82"/>
        <v/>
      </c>
      <c r="E183" s="173" t="e">
        <f t="shared" si="70"/>
        <v>#VALUE!</v>
      </c>
      <c r="F183" s="173" t="str">
        <f>IF(A182=$D$8,SUM(F$28:F182),IF(A182&gt;$D$8,"",G183+H183))</f>
        <v/>
      </c>
      <c r="G183" s="173" t="str">
        <f>IF(A182=$D$8,ROUND(SUM($G$28:G182),2),IF(A183&gt;$F$8,"",IF(W183&lt;&gt;W182,ROUND(SUM(Y183*$E$12*E182/W183,Z183*$E$12*E182/W182),2),ROUND(E182*$E$12*D183/W182,2))))</f>
        <v/>
      </c>
      <c r="H183" s="173" t="str">
        <f>IF(AND(A182="",A184=""),"",IF(A183="",ROUND(SUM($H$28:H182),2),IF(A183=$D$8,$H$27-ROUND(SUM($H$28:H182),2),ROUND($H$27/$D$8,2))))</f>
        <v/>
      </c>
      <c r="I183" s="173" t="str">
        <f t="shared" si="83"/>
        <v/>
      </c>
      <c r="J183" s="173" t="str">
        <f t="shared" si="84"/>
        <v/>
      </c>
      <c r="K183" s="173" t="str">
        <f t="shared" si="92"/>
        <v/>
      </c>
      <c r="L183" s="173" t="str">
        <f t="shared" si="85"/>
        <v/>
      </c>
      <c r="M183" s="173" t="str">
        <f t="shared" si="87"/>
        <v/>
      </c>
      <c r="N183" s="173" t="str">
        <f t="shared" si="88"/>
        <v/>
      </c>
      <c r="O183" s="173" t="str">
        <f t="shared" si="89"/>
        <v/>
      </c>
      <c r="P183" s="173" t="str">
        <f t="shared" si="81"/>
        <v/>
      </c>
      <c r="Q183" s="173" t="str">
        <f t="shared" si="90"/>
        <v/>
      </c>
      <c r="R183" s="173" t="str">
        <f t="shared" si="86"/>
        <v/>
      </c>
      <c r="S183" s="176" t="str">
        <f>IF(A182=$D$8,XIRR(U$27:U182,C$27:C182),"")</f>
        <v/>
      </c>
      <c r="T183" s="173" t="str">
        <f t="shared" si="71"/>
        <v/>
      </c>
      <c r="U183" s="173">
        <f t="shared" si="79"/>
        <v>0</v>
      </c>
      <c r="V183" s="141" t="e">
        <f t="shared" ca="1" si="72"/>
        <v>#VALUE!</v>
      </c>
      <c r="W183" s="141" t="e">
        <f t="shared" ca="1" si="77"/>
        <v>#VALUE!</v>
      </c>
      <c r="X183" s="141" t="e">
        <f t="shared" ca="1" si="73"/>
        <v>#VALUE!</v>
      </c>
      <c r="Y183" s="177" t="e">
        <f t="shared" ca="1" si="91"/>
        <v>#VALUE!</v>
      </c>
      <c r="Z183" s="178" t="e">
        <f t="shared" ca="1" si="74"/>
        <v>#VALUE!</v>
      </c>
      <c r="AA183" s="141">
        <v>156</v>
      </c>
    </row>
    <row r="184" spans="1:27" x14ac:dyDescent="0.35">
      <c r="A184" s="175" t="str">
        <f t="shared" si="78"/>
        <v/>
      </c>
      <c r="B184" s="172">
        <f t="shared" ca="1" si="75"/>
        <v>49974</v>
      </c>
      <c r="C184" s="172" t="str">
        <f t="shared" ca="1" si="76"/>
        <v xml:space="preserve"> </v>
      </c>
      <c r="D184" s="175" t="str">
        <f t="shared" si="82"/>
        <v/>
      </c>
      <c r="E184" s="173" t="e">
        <f t="shared" si="70"/>
        <v>#VALUE!</v>
      </c>
      <c r="F184" s="173" t="str">
        <f>IF(A183=$D$8,SUM(F$28:F183),IF(A183&gt;$D$8,"",G184+H184))</f>
        <v/>
      </c>
      <c r="G184" s="173" t="str">
        <f>IF(A183=$D$8,ROUND(SUM($G$28:G183),2),IF(A184&gt;$F$8,"",IF(W184&lt;&gt;W183,ROUND(SUM(Y184*$E$12*E183/W184,Z184*$E$12*E183/W183),2),ROUND(E183*$E$12*D184/W183,2))))</f>
        <v/>
      </c>
      <c r="H184" s="173" t="str">
        <f>IF(AND(A183="",A185=""),"",IF(A184="",ROUND(SUM($H$28:H183),2),IF(A184=$D$8,$H$27-ROUND(SUM($H$28:H183),2),ROUND($H$27/$D$8,2))))</f>
        <v/>
      </c>
      <c r="I184" s="173" t="str">
        <f t="shared" si="83"/>
        <v/>
      </c>
      <c r="J184" s="173" t="str">
        <f t="shared" si="84"/>
        <v/>
      </c>
      <c r="K184" s="173" t="str">
        <f>IF($F$8&gt;156,($R$14),IF(A183=$F$8,K172+K160+K148+K136+K124+K112+K100+K88+K76+K64+K52+K40+K27,""))</f>
        <v/>
      </c>
      <c r="L184" s="173" t="str">
        <f t="shared" si="85"/>
        <v/>
      </c>
      <c r="M184" s="173" t="str">
        <f t="shared" si="87"/>
        <v/>
      </c>
      <c r="N184" s="173" t="str">
        <f t="shared" si="88"/>
        <v/>
      </c>
      <c r="O184" s="173" t="str">
        <f t="shared" si="89"/>
        <v/>
      </c>
      <c r="P184" s="173" t="str">
        <f t="shared" si="81"/>
        <v/>
      </c>
      <c r="Q184" s="173" t="str">
        <f>IF($F$8&gt;156,($S$8+$S$10),IF($A183=$F$8,$Q$40+$Q$27+$Q$52+$Q$64+$Q$76+$Q$88+$Q$100+$Q$112+$Q$124+$Q$136+$Q$148+$Q$160+$Q$172,""))</f>
        <v/>
      </c>
      <c r="R184" s="173" t="str">
        <f t="shared" si="86"/>
        <v/>
      </c>
      <c r="S184" s="176" t="str">
        <f>IF(A183=$D$8,XIRR(U$27:U183,C$27:C183),"")</f>
        <v/>
      </c>
      <c r="T184" s="173" t="str">
        <f t="shared" si="71"/>
        <v/>
      </c>
      <c r="U184" s="173">
        <f t="shared" si="79"/>
        <v>0</v>
      </c>
      <c r="V184" s="141" t="e">
        <f t="shared" ca="1" si="72"/>
        <v>#VALUE!</v>
      </c>
      <c r="W184" s="141" t="e">
        <f t="shared" ca="1" si="77"/>
        <v>#VALUE!</v>
      </c>
      <c r="X184" s="141" t="e">
        <f t="shared" ca="1" si="73"/>
        <v>#VALUE!</v>
      </c>
      <c r="Y184" s="177" t="e">
        <f t="shared" ca="1" si="91"/>
        <v>#VALUE!</v>
      </c>
      <c r="Z184" s="178" t="e">
        <f t="shared" ca="1" si="74"/>
        <v>#VALUE!</v>
      </c>
      <c r="AA184" s="141">
        <v>157</v>
      </c>
    </row>
    <row r="185" spans="1:27" x14ac:dyDescent="0.35">
      <c r="A185" s="175" t="str">
        <f t="shared" si="78"/>
        <v/>
      </c>
      <c r="B185" s="172">
        <f t="shared" ca="1" si="75"/>
        <v>50005</v>
      </c>
      <c r="C185" s="172" t="str">
        <f t="shared" ca="1" si="76"/>
        <v xml:space="preserve"> </v>
      </c>
      <c r="D185" s="175" t="str">
        <f t="shared" si="82"/>
        <v/>
      </c>
      <c r="E185" s="173" t="e">
        <f t="shared" si="70"/>
        <v>#VALUE!</v>
      </c>
      <c r="F185" s="173" t="str">
        <f>IF(A184=$D$8,SUM(F$28:F184),IF(A184&gt;$D$8,"",G185+H185))</f>
        <v/>
      </c>
      <c r="G185" s="173" t="str">
        <f>IF(A184=$D$8,ROUND(SUM($G$28:G184),2),IF(A185&gt;$F$8,"",IF(W185&lt;&gt;W184,ROUND(SUM(Y185*$E$12*E184/W185,Z185*$E$12*E184/W184),2),ROUND(E184*$E$12*D185/W184,2))))</f>
        <v/>
      </c>
      <c r="H185" s="173" t="str">
        <f>IF(AND(A184="",A186=""),"",IF(A185="",ROUND(SUM($H$28:H184),2),IF(A185=$D$8,$H$27-ROUND(SUM($H$28:H184),2),ROUND($H$27/$D$8,2))))</f>
        <v/>
      </c>
      <c r="I185" s="173" t="str">
        <f t="shared" si="83"/>
        <v/>
      </c>
      <c r="J185" s="173" t="str">
        <f t="shared" si="84"/>
        <v/>
      </c>
      <c r="K185" s="173" t="str">
        <f t="shared" si="92"/>
        <v/>
      </c>
      <c r="L185" s="173" t="str">
        <f t="shared" si="85"/>
        <v/>
      </c>
      <c r="M185" s="173" t="str">
        <f t="shared" si="87"/>
        <v/>
      </c>
      <c r="N185" s="173" t="str">
        <f t="shared" si="88"/>
        <v/>
      </c>
      <c r="O185" s="173" t="str">
        <f t="shared" si="89"/>
        <v/>
      </c>
      <c r="P185" s="173" t="str">
        <f t="shared" si="81"/>
        <v/>
      </c>
      <c r="Q185" s="173" t="str">
        <f t="shared" ref="Q185:Q195" si="93">IF(A184=$D$8,$Q$27,"")</f>
        <v/>
      </c>
      <c r="R185" s="173" t="str">
        <f t="shared" si="86"/>
        <v/>
      </c>
      <c r="S185" s="176" t="str">
        <f>IF(A184=$D$8,XIRR(U$27:U184,C$27:C184),"")</f>
        <v/>
      </c>
      <c r="T185" s="173" t="str">
        <f t="shared" si="71"/>
        <v/>
      </c>
      <c r="U185" s="173">
        <f t="shared" si="79"/>
        <v>0</v>
      </c>
      <c r="V185" s="141" t="e">
        <f t="shared" ca="1" si="72"/>
        <v>#VALUE!</v>
      </c>
      <c r="W185" s="141" t="e">
        <f t="shared" ca="1" si="77"/>
        <v>#VALUE!</v>
      </c>
      <c r="X185" s="141" t="e">
        <f t="shared" ca="1" si="73"/>
        <v>#VALUE!</v>
      </c>
      <c r="Y185" s="177" t="e">
        <f t="shared" ca="1" si="91"/>
        <v>#VALUE!</v>
      </c>
      <c r="Z185" s="178" t="e">
        <f t="shared" ca="1" si="74"/>
        <v>#VALUE!</v>
      </c>
      <c r="AA185" s="141">
        <v>158</v>
      </c>
    </row>
    <row r="186" spans="1:27" x14ac:dyDescent="0.35">
      <c r="A186" s="175" t="str">
        <f t="shared" si="78"/>
        <v/>
      </c>
      <c r="B186" s="172">
        <f t="shared" ca="1" si="75"/>
        <v>50035</v>
      </c>
      <c r="C186" s="172" t="str">
        <f t="shared" ca="1" si="76"/>
        <v xml:space="preserve"> </v>
      </c>
      <c r="D186" s="175" t="str">
        <f t="shared" si="82"/>
        <v/>
      </c>
      <c r="E186" s="173" t="e">
        <f t="shared" si="70"/>
        <v>#VALUE!</v>
      </c>
      <c r="F186" s="173" t="str">
        <f>IF(A185=$D$8,SUM(F$28:F185),IF(A185&gt;$D$8,"",G186+H186))</f>
        <v/>
      </c>
      <c r="G186" s="173" t="str">
        <f>IF(A185=$D$8,ROUND(SUM($G$28:G185),2),IF(A186&gt;$F$8,"",IF(W186&lt;&gt;W185,ROUND(SUM(Y186*$E$12*E185/W186,Z186*$E$12*E185/W185),2),ROUND(E185*$E$12*D186/W185,2))))</f>
        <v/>
      </c>
      <c r="H186" s="173" t="str">
        <f>IF(AND(A185="",A187=""),"",IF(A186="",ROUND(SUM($H$28:H185),2),IF(A186=$D$8,$H$27-ROUND(SUM($H$28:H185),2),ROUND($H$27/$D$8,2))))</f>
        <v/>
      </c>
      <c r="I186" s="173" t="str">
        <f t="shared" si="83"/>
        <v/>
      </c>
      <c r="J186" s="173" t="str">
        <f t="shared" si="84"/>
        <v/>
      </c>
      <c r="K186" s="173" t="str">
        <f t="shared" si="92"/>
        <v/>
      </c>
      <c r="L186" s="173" t="str">
        <f t="shared" si="85"/>
        <v/>
      </c>
      <c r="M186" s="173" t="str">
        <f t="shared" si="87"/>
        <v/>
      </c>
      <c r="N186" s="173" t="str">
        <f t="shared" si="88"/>
        <v/>
      </c>
      <c r="O186" s="173" t="str">
        <f t="shared" si="89"/>
        <v/>
      </c>
      <c r="P186" s="173" t="str">
        <f t="shared" si="81"/>
        <v/>
      </c>
      <c r="Q186" s="173" t="str">
        <f t="shared" si="93"/>
        <v/>
      </c>
      <c r="R186" s="173" t="str">
        <f t="shared" si="86"/>
        <v/>
      </c>
      <c r="S186" s="176" t="str">
        <f>IF(A185=$D$8,XIRR(U$27:U185,C$27:C185),"")</f>
        <v/>
      </c>
      <c r="T186" s="173" t="str">
        <f t="shared" si="71"/>
        <v/>
      </c>
      <c r="U186" s="173">
        <f t="shared" si="79"/>
        <v>0</v>
      </c>
      <c r="V186" s="141" t="e">
        <f t="shared" ca="1" si="72"/>
        <v>#VALUE!</v>
      </c>
      <c r="W186" s="141" t="e">
        <f t="shared" ca="1" si="77"/>
        <v>#VALUE!</v>
      </c>
      <c r="X186" s="141" t="e">
        <f t="shared" ca="1" si="73"/>
        <v>#VALUE!</v>
      </c>
      <c r="Y186" s="177" t="e">
        <f t="shared" ca="1" si="91"/>
        <v>#VALUE!</v>
      </c>
      <c r="Z186" s="178" t="e">
        <f t="shared" ca="1" si="74"/>
        <v>#VALUE!</v>
      </c>
      <c r="AA186" s="141">
        <v>159</v>
      </c>
    </row>
    <row r="187" spans="1:27" x14ac:dyDescent="0.35">
      <c r="A187" s="175" t="str">
        <f t="shared" si="78"/>
        <v/>
      </c>
      <c r="B187" s="172">
        <f t="shared" ca="1" si="75"/>
        <v>50066</v>
      </c>
      <c r="C187" s="172" t="str">
        <f t="shared" ca="1" si="76"/>
        <v xml:space="preserve"> </v>
      </c>
      <c r="D187" s="175" t="str">
        <f t="shared" si="82"/>
        <v/>
      </c>
      <c r="E187" s="173" t="e">
        <f t="shared" si="70"/>
        <v>#VALUE!</v>
      </c>
      <c r="F187" s="173" t="str">
        <f>IF(A186=$D$8,SUM(F$28:F186),IF(A186&gt;$D$8,"",G187+H187))</f>
        <v/>
      </c>
      <c r="G187" s="173" t="str">
        <f>IF(A186=$D$8,ROUND(SUM($G$28:G186),2),IF(A187&gt;$F$8,"",IF(W187&lt;&gt;W186,ROUND(SUM(Y187*$E$12*E186/W187,Z187*$E$12*E186/W186),2),ROUND(E186*$E$12*D187/W186,2))))</f>
        <v/>
      </c>
      <c r="H187" s="173" t="str">
        <f>IF(AND(A186="",A188=""),"",IF(A187="",ROUND(SUM($H$28:H186),2),IF(A187=$D$8,$H$27-ROUND(SUM($H$28:H186),2),ROUND($H$27/$D$8,2))))</f>
        <v/>
      </c>
      <c r="I187" s="173" t="str">
        <f t="shared" si="83"/>
        <v/>
      </c>
      <c r="J187" s="173" t="str">
        <f t="shared" si="84"/>
        <v/>
      </c>
      <c r="K187" s="173" t="str">
        <f t="shared" si="92"/>
        <v/>
      </c>
      <c r="L187" s="173" t="str">
        <f t="shared" si="85"/>
        <v/>
      </c>
      <c r="M187" s="173" t="str">
        <f t="shared" si="87"/>
        <v/>
      </c>
      <c r="N187" s="173" t="str">
        <f t="shared" si="88"/>
        <v/>
      </c>
      <c r="O187" s="173" t="str">
        <f t="shared" si="89"/>
        <v/>
      </c>
      <c r="P187" s="173" t="str">
        <f t="shared" si="81"/>
        <v/>
      </c>
      <c r="Q187" s="173" t="str">
        <f t="shared" si="93"/>
        <v/>
      </c>
      <c r="R187" s="173" t="str">
        <f t="shared" si="86"/>
        <v/>
      </c>
      <c r="S187" s="176" t="str">
        <f>IF(A186=$D$8,XIRR(U$27:U186,C$27:C186),"")</f>
        <v/>
      </c>
      <c r="T187" s="173" t="str">
        <f t="shared" si="71"/>
        <v/>
      </c>
      <c r="U187" s="173">
        <f t="shared" si="79"/>
        <v>0</v>
      </c>
      <c r="V187" s="141" t="e">
        <f t="shared" ca="1" si="72"/>
        <v>#VALUE!</v>
      </c>
      <c r="W187" s="141" t="e">
        <f t="shared" ca="1" si="77"/>
        <v>#VALUE!</v>
      </c>
      <c r="X187" s="141" t="e">
        <f t="shared" ca="1" si="73"/>
        <v>#VALUE!</v>
      </c>
      <c r="Y187" s="177" t="e">
        <f t="shared" ca="1" si="91"/>
        <v>#VALUE!</v>
      </c>
      <c r="Z187" s="178" t="e">
        <f t="shared" ca="1" si="74"/>
        <v>#VALUE!</v>
      </c>
      <c r="AA187" s="141">
        <v>160</v>
      </c>
    </row>
    <row r="188" spans="1:27" x14ac:dyDescent="0.35">
      <c r="A188" s="175" t="str">
        <f t="shared" si="78"/>
        <v/>
      </c>
      <c r="B188" s="172">
        <f t="shared" ca="1" si="75"/>
        <v>50097</v>
      </c>
      <c r="C188" s="172" t="str">
        <f t="shared" ca="1" si="76"/>
        <v xml:space="preserve"> </v>
      </c>
      <c r="D188" s="175" t="str">
        <f t="shared" si="82"/>
        <v/>
      </c>
      <c r="E188" s="173" t="e">
        <f t="shared" si="70"/>
        <v>#VALUE!</v>
      </c>
      <c r="F188" s="173" t="str">
        <f>IF(A187=$D$8,SUM(F$28:F187),IF(A187&gt;$D$8,"",G188+H188))</f>
        <v/>
      </c>
      <c r="G188" s="173" t="str">
        <f>IF(A187=$D$8,ROUND(SUM($G$28:G187),2),IF(A188&gt;$F$8,"",IF(W188&lt;&gt;W187,ROUND(SUM(Y188*$E$12*E187/W188,Z188*$E$12*E187/W187),2),ROUND(E187*$E$12*D188/W187,2))))</f>
        <v/>
      </c>
      <c r="H188" s="173" t="str">
        <f>IF(AND(A187="",A189=""),"",IF(A188="",ROUND(SUM($H$28:H187),2),IF(A188=$D$8,$H$27-ROUND(SUM($H$28:H187),2),ROUND($H$27/$D$8,2))))</f>
        <v/>
      </c>
      <c r="I188" s="173" t="str">
        <f t="shared" si="83"/>
        <v/>
      </c>
      <c r="J188" s="173" t="str">
        <f t="shared" si="84"/>
        <v/>
      </c>
      <c r="K188" s="173" t="str">
        <f t="shared" si="92"/>
        <v/>
      </c>
      <c r="L188" s="173" t="str">
        <f t="shared" si="85"/>
        <v/>
      </c>
      <c r="M188" s="173" t="str">
        <f t="shared" si="87"/>
        <v/>
      </c>
      <c r="N188" s="173" t="str">
        <f t="shared" si="88"/>
        <v/>
      </c>
      <c r="O188" s="173" t="str">
        <f t="shared" si="89"/>
        <v/>
      </c>
      <c r="P188" s="173" t="str">
        <f t="shared" si="81"/>
        <v/>
      </c>
      <c r="Q188" s="173" t="str">
        <f t="shared" si="93"/>
        <v/>
      </c>
      <c r="R188" s="173" t="str">
        <f t="shared" si="86"/>
        <v/>
      </c>
      <c r="S188" s="176" t="str">
        <f>IF(A187=$D$8,XIRR(U$27:U187,C$27:C187),"")</f>
        <v/>
      </c>
      <c r="T188" s="173" t="str">
        <f t="shared" si="71"/>
        <v/>
      </c>
      <c r="U188" s="173">
        <f t="shared" si="79"/>
        <v>0</v>
      </c>
      <c r="V188" s="141" t="e">
        <f t="shared" ca="1" si="72"/>
        <v>#VALUE!</v>
      </c>
      <c r="W188" s="141" t="e">
        <f t="shared" ca="1" si="77"/>
        <v>#VALUE!</v>
      </c>
      <c r="X188" s="141" t="e">
        <f t="shared" ca="1" si="73"/>
        <v>#VALUE!</v>
      </c>
      <c r="Y188" s="177" t="e">
        <f t="shared" ca="1" si="91"/>
        <v>#VALUE!</v>
      </c>
      <c r="Z188" s="178" t="e">
        <f t="shared" ca="1" si="74"/>
        <v>#VALUE!</v>
      </c>
      <c r="AA188" s="141">
        <v>161</v>
      </c>
    </row>
    <row r="189" spans="1:27" x14ac:dyDescent="0.35">
      <c r="A189" s="175" t="str">
        <f t="shared" si="78"/>
        <v/>
      </c>
      <c r="B189" s="172">
        <f t="shared" ca="1" si="75"/>
        <v>50125</v>
      </c>
      <c r="C189" s="172" t="str">
        <f t="shared" ca="1" si="76"/>
        <v xml:space="preserve"> </v>
      </c>
      <c r="D189" s="175" t="str">
        <f t="shared" si="82"/>
        <v/>
      </c>
      <c r="E189" s="173" t="e">
        <f t="shared" si="70"/>
        <v>#VALUE!</v>
      </c>
      <c r="F189" s="173" t="str">
        <f>IF(A188=$D$8,SUM(F$28:F188),IF(A188&gt;$D$8,"",G189+H189))</f>
        <v/>
      </c>
      <c r="G189" s="173" t="str">
        <f>IF(A188=$D$8,ROUND(SUM($G$28:G188),2),IF(A189&gt;$F$8,"",IF(W189&lt;&gt;W188,ROUND(SUM(Y189*$E$12*E188/W189,Z189*$E$12*E188/W188),2),ROUND(E188*$E$12*D189/W188,2))))</f>
        <v/>
      </c>
      <c r="H189" s="173" t="str">
        <f>IF(AND(A188="",A190=""),"",IF(A189="",ROUND(SUM($H$28:H188),2),IF(A189=$D$8,$H$27-ROUND(SUM($H$28:H188),2),ROUND($H$27/$D$8,2))))</f>
        <v/>
      </c>
      <c r="I189" s="173" t="str">
        <f t="shared" si="83"/>
        <v/>
      </c>
      <c r="J189" s="173" t="str">
        <f t="shared" si="84"/>
        <v/>
      </c>
      <c r="K189" s="173" t="str">
        <f t="shared" si="92"/>
        <v/>
      </c>
      <c r="L189" s="173" t="str">
        <f t="shared" si="85"/>
        <v/>
      </c>
      <c r="M189" s="173" t="str">
        <f t="shared" si="87"/>
        <v/>
      </c>
      <c r="N189" s="173" t="str">
        <f t="shared" si="88"/>
        <v/>
      </c>
      <c r="O189" s="173" t="str">
        <f t="shared" si="89"/>
        <v/>
      </c>
      <c r="P189" s="173" t="str">
        <f t="shared" si="81"/>
        <v/>
      </c>
      <c r="Q189" s="173" t="str">
        <f t="shared" si="93"/>
        <v/>
      </c>
      <c r="R189" s="173" t="str">
        <f t="shared" si="86"/>
        <v/>
      </c>
      <c r="S189" s="176" t="str">
        <f>IF(A188=$D$8,XIRR(U$27:U188,C$27:C188),"")</f>
        <v/>
      </c>
      <c r="T189" s="173" t="str">
        <f t="shared" si="71"/>
        <v/>
      </c>
      <c r="U189" s="173">
        <f t="shared" si="79"/>
        <v>0</v>
      </c>
      <c r="V189" s="141" t="e">
        <f t="shared" ca="1" si="72"/>
        <v>#VALUE!</v>
      </c>
      <c r="W189" s="141" t="e">
        <f t="shared" ca="1" si="77"/>
        <v>#VALUE!</v>
      </c>
      <c r="X189" s="141" t="e">
        <f t="shared" ca="1" si="73"/>
        <v>#VALUE!</v>
      </c>
      <c r="Y189" s="177" t="e">
        <f t="shared" ca="1" si="91"/>
        <v>#VALUE!</v>
      </c>
      <c r="Z189" s="178" t="e">
        <f t="shared" ca="1" si="74"/>
        <v>#VALUE!</v>
      </c>
      <c r="AA189" s="141">
        <v>162</v>
      </c>
    </row>
    <row r="190" spans="1:27" x14ac:dyDescent="0.35">
      <c r="A190" s="175" t="str">
        <f t="shared" si="78"/>
        <v/>
      </c>
      <c r="B190" s="172">
        <f t="shared" ca="1" si="75"/>
        <v>50156</v>
      </c>
      <c r="C190" s="172" t="str">
        <f t="shared" ca="1" si="76"/>
        <v xml:space="preserve"> </v>
      </c>
      <c r="D190" s="175" t="str">
        <f t="shared" si="82"/>
        <v/>
      </c>
      <c r="E190" s="173" t="e">
        <f t="shared" si="70"/>
        <v>#VALUE!</v>
      </c>
      <c r="F190" s="173" t="str">
        <f>IF(A189=$D$8,SUM(F$28:F189),IF(A189&gt;$D$8,"",G190+H190))</f>
        <v/>
      </c>
      <c r="G190" s="173" t="str">
        <f>IF(A189=$D$8,ROUND(SUM($G$28:G189),2),IF(A190&gt;$F$8,"",IF(W190&lt;&gt;W189,ROUND(SUM(Y190*$E$12*E189/W190,Z190*$E$12*E189/W189),2),ROUND(E189*$E$12*D190/W189,2))))</f>
        <v/>
      </c>
      <c r="H190" s="173" t="str">
        <f>IF(AND(A189="",A191=""),"",IF(A190="",ROUND(SUM($H$28:H189),2),IF(A190=$D$8,$H$27-ROUND(SUM($H$28:H189),2),ROUND($H$27/$D$8,2))))</f>
        <v/>
      </c>
      <c r="I190" s="173" t="str">
        <f t="shared" si="83"/>
        <v/>
      </c>
      <c r="J190" s="173" t="str">
        <f t="shared" si="84"/>
        <v/>
      </c>
      <c r="K190" s="173" t="str">
        <f t="shared" si="92"/>
        <v/>
      </c>
      <c r="L190" s="173" t="str">
        <f t="shared" si="85"/>
        <v/>
      </c>
      <c r="M190" s="173" t="str">
        <f t="shared" si="87"/>
        <v/>
      </c>
      <c r="N190" s="173" t="str">
        <f t="shared" si="88"/>
        <v/>
      </c>
      <c r="O190" s="173" t="str">
        <f t="shared" si="89"/>
        <v/>
      </c>
      <c r="P190" s="173" t="str">
        <f t="shared" si="81"/>
        <v/>
      </c>
      <c r="Q190" s="173" t="str">
        <f t="shared" si="93"/>
        <v/>
      </c>
      <c r="R190" s="173" t="str">
        <f t="shared" si="86"/>
        <v/>
      </c>
      <c r="S190" s="176" t="str">
        <f>IF(A189=$D$8,XIRR(U$27:U189,C$27:C189),"")</f>
        <v/>
      </c>
      <c r="T190" s="173" t="str">
        <f t="shared" si="71"/>
        <v/>
      </c>
      <c r="U190" s="173">
        <f t="shared" si="79"/>
        <v>0</v>
      </c>
      <c r="V190" s="141" t="e">
        <f t="shared" ca="1" si="72"/>
        <v>#VALUE!</v>
      </c>
      <c r="W190" s="141" t="e">
        <f t="shared" ca="1" si="77"/>
        <v>#VALUE!</v>
      </c>
      <c r="X190" s="141" t="e">
        <f t="shared" ca="1" si="73"/>
        <v>#VALUE!</v>
      </c>
      <c r="Y190" s="177" t="e">
        <f t="shared" ca="1" si="91"/>
        <v>#VALUE!</v>
      </c>
      <c r="Z190" s="178" t="e">
        <f t="shared" ca="1" si="74"/>
        <v>#VALUE!</v>
      </c>
      <c r="AA190" s="141">
        <v>163</v>
      </c>
    </row>
    <row r="191" spans="1:27" x14ac:dyDescent="0.35">
      <c r="A191" s="175" t="str">
        <f t="shared" si="78"/>
        <v/>
      </c>
      <c r="B191" s="172">
        <f t="shared" ca="1" si="75"/>
        <v>50186</v>
      </c>
      <c r="C191" s="172" t="str">
        <f t="shared" ca="1" si="76"/>
        <v xml:space="preserve"> </v>
      </c>
      <c r="D191" s="175" t="str">
        <f t="shared" si="82"/>
        <v/>
      </c>
      <c r="E191" s="173" t="e">
        <f t="shared" si="70"/>
        <v>#VALUE!</v>
      </c>
      <c r="F191" s="173" t="str">
        <f>IF(A190=$D$8,SUM(F$28:F190),IF(A190&gt;$D$8,"",G191+H191))</f>
        <v/>
      </c>
      <c r="G191" s="173" t="str">
        <f>IF(A190=$D$8,ROUND(SUM($G$28:G190),2),IF(A191&gt;$F$8,"",IF(W191&lt;&gt;W190,ROUND(SUM(Y191*$E$12*E190/W191,Z191*$E$12*E190/W190),2),ROUND(E190*$E$12*D191/W190,2))))</f>
        <v/>
      </c>
      <c r="H191" s="173" t="str">
        <f>IF(AND(A190="",A192=""),"",IF(A191="",ROUND(SUM($H$28:H190),2),IF(A191=$D$8,$H$27-ROUND(SUM($H$28:H190),2),ROUND($H$27/$D$8,2))))</f>
        <v/>
      </c>
      <c r="I191" s="173" t="str">
        <f t="shared" si="83"/>
        <v/>
      </c>
      <c r="J191" s="173" t="str">
        <f t="shared" si="84"/>
        <v/>
      </c>
      <c r="K191" s="173" t="str">
        <f t="shared" si="92"/>
        <v/>
      </c>
      <c r="L191" s="173" t="str">
        <f t="shared" si="85"/>
        <v/>
      </c>
      <c r="M191" s="173" t="str">
        <f t="shared" si="87"/>
        <v/>
      </c>
      <c r="N191" s="173" t="str">
        <f t="shared" si="88"/>
        <v/>
      </c>
      <c r="O191" s="173" t="str">
        <f t="shared" si="89"/>
        <v/>
      </c>
      <c r="P191" s="173" t="str">
        <f t="shared" si="81"/>
        <v/>
      </c>
      <c r="Q191" s="173" t="str">
        <f t="shared" si="93"/>
        <v/>
      </c>
      <c r="R191" s="173" t="str">
        <f t="shared" si="86"/>
        <v/>
      </c>
      <c r="S191" s="176" t="str">
        <f>IF(A190=$D$8,XIRR(U$27:U190,C$27:C190),"")</f>
        <v/>
      </c>
      <c r="T191" s="173" t="str">
        <f t="shared" si="71"/>
        <v/>
      </c>
      <c r="U191" s="173">
        <f t="shared" si="79"/>
        <v>0</v>
      </c>
      <c r="V191" s="141" t="e">
        <f t="shared" ca="1" si="72"/>
        <v>#VALUE!</v>
      </c>
      <c r="W191" s="141" t="e">
        <f t="shared" ca="1" si="77"/>
        <v>#VALUE!</v>
      </c>
      <c r="X191" s="141" t="e">
        <f t="shared" ca="1" si="73"/>
        <v>#VALUE!</v>
      </c>
      <c r="Y191" s="177" t="e">
        <f t="shared" ca="1" si="91"/>
        <v>#VALUE!</v>
      </c>
      <c r="Z191" s="178" t="e">
        <f t="shared" ca="1" si="74"/>
        <v>#VALUE!</v>
      </c>
      <c r="AA191" s="141">
        <v>164</v>
      </c>
    </row>
    <row r="192" spans="1:27" x14ac:dyDescent="0.35">
      <c r="A192" s="175" t="str">
        <f t="shared" si="78"/>
        <v/>
      </c>
      <c r="B192" s="172">
        <f t="shared" ca="1" si="75"/>
        <v>50217</v>
      </c>
      <c r="C192" s="172" t="str">
        <f t="shared" ca="1" si="76"/>
        <v xml:space="preserve"> </v>
      </c>
      <c r="D192" s="175" t="str">
        <f t="shared" si="82"/>
        <v/>
      </c>
      <c r="E192" s="173" t="e">
        <f t="shared" si="70"/>
        <v>#VALUE!</v>
      </c>
      <c r="F192" s="173" t="str">
        <f>IF(A191=$D$8,SUM(F$28:F191),IF(A191&gt;$D$8,"",G192+H192))</f>
        <v/>
      </c>
      <c r="G192" s="173" t="str">
        <f>IF(A191=$D$8,ROUND(SUM($G$28:G191),2),IF(A192&gt;$F$8,"",IF(W192&lt;&gt;W191,ROUND(SUM(Y192*$E$12*E191/W192,Z192*$E$12*E191/W191),2),ROUND(E191*$E$12*D192/W191,2))))</f>
        <v/>
      </c>
      <c r="H192" s="173" t="str">
        <f>IF(AND(A191="",A193=""),"",IF(A192="",ROUND(SUM($H$28:H191),2),IF(A192=$D$8,$H$27-ROUND(SUM($H$28:H191),2),ROUND($H$27/$D$8,2))))</f>
        <v/>
      </c>
      <c r="I192" s="173" t="str">
        <f t="shared" si="83"/>
        <v/>
      </c>
      <c r="J192" s="173" t="str">
        <f t="shared" si="84"/>
        <v/>
      </c>
      <c r="K192" s="173" t="str">
        <f t="shared" si="92"/>
        <v/>
      </c>
      <c r="L192" s="173" t="str">
        <f t="shared" si="85"/>
        <v/>
      </c>
      <c r="M192" s="173" t="str">
        <f t="shared" si="87"/>
        <v/>
      </c>
      <c r="N192" s="173" t="str">
        <f t="shared" si="88"/>
        <v/>
      </c>
      <c r="O192" s="173" t="str">
        <f t="shared" si="89"/>
        <v/>
      </c>
      <c r="P192" s="173" t="str">
        <f t="shared" si="81"/>
        <v/>
      </c>
      <c r="Q192" s="173" t="str">
        <f t="shared" si="93"/>
        <v/>
      </c>
      <c r="R192" s="173" t="str">
        <f t="shared" si="86"/>
        <v/>
      </c>
      <c r="S192" s="176" t="str">
        <f>IF(A191=$D$8,XIRR(U$27:U191,C$27:C191),"")</f>
        <v/>
      </c>
      <c r="T192" s="173" t="str">
        <f t="shared" si="71"/>
        <v/>
      </c>
      <c r="U192" s="173">
        <f t="shared" si="79"/>
        <v>0</v>
      </c>
      <c r="V192" s="141" t="e">
        <f t="shared" ca="1" si="72"/>
        <v>#VALUE!</v>
      </c>
      <c r="W192" s="141" t="e">
        <f t="shared" ca="1" si="77"/>
        <v>#VALUE!</v>
      </c>
      <c r="X192" s="141" t="e">
        <f t="shared" ca="1" si="73"/>
        <v>#VALUE!</v>
      </c>
      <c r="Y192" s="177" t="e">
        <f t="shared" ca="1" si="91"/>
        <v>#VALUE!</v>
      </c>
      <c r="Z192" s="178" t="e">
        <f t="shared" ca="1" si="74"/>
        <v>#VALUE!</v>
      </c>
      <c r="AA192" s="141">
        <v>165</v>
      </c>
    </row>
    <row r="193" spans="1:27" x14ac:dyDescent="0.35">
      <c r="A193" s="175" t="str">
        <f t="shared" si="78"/>
        <v/>
      </c>
      <c r="B193" s="172">
        <f t="shared" ca="1" si="75"/>
        <v>50247</v>
      </c>
      <c r="C193" s="172" t="str">
        <f t="shared" ca="1" si="76"/>
        <v xml:space="preserve"> </v>
      </c>
      <c r="D193" s="175" t="str">
        <f t="shared" si="82"/>
        <v/>
      </c>
      <c r="E193" s="173" t="e">
        <f t="shared" si="70"/>
        <v>#VALUE!</v>
      </c>
      <c r="F193" s="173" t="str">
        <f>IF(A192=$D$8,SUM(F$28:F192),IF(A192&gt;$D$8,"",G193+H193))</f>
        <v/>
      </c>
      <c r="G193" s="173" t="str">
        <f>IF(A192=$D$8,ROUND(SUM($G$28:G192),2),IF(A193&gt;$F$8,"",IF(W193&lt;&gt;W192,ROUND(SUM(Y193*$E$12*E192/W193,Z193*$E$12*E192/W192),2),ROUND(E192*$E$12*D193/W192,2))))</f>
        <v/>
      </c>
      <c r="H193" s="173" t="str">
        <f>IF(AND(A192="",A194=""),"",IF(A193="",ROUND(SUM($H$28:H192),2),IF(A193=$D$8,$H$27-ROUND(SUM($H$28:H192),2),ROUND($H$27/$D$8,2))))</f>
        <v/>
      </c>
      <c r="I193" s="173" t="str">
        <f t="shared" si="83"/>
        <v/>
      </c>
      <c r="J193" s="173" t="str">
        <f t="shared" si="84"/>
        <v/>
      </c>
      <c r="K193" s="173" t="str">
        <f t="shared" si="92"/>
        <v/>
      </c>
      <c r="L193" s="173" t="str">
        <f t="shared" si="85"/>
        <v/>
      </c>
      <c r="M193" s="173" t="str">
        <f t="shared" si="87"/>
        <v/>
      </c>
      <c r="N193" s="173" t="str">
        <f t="shared" si="88"/>
        <v/>
      </c>
      <c r="O193" s="173" t="str">
        <f t="shared" si="89"/>
        <v/>
      </c>
      <c r="P193" s="173" t="str">
        <f t="shared" si="81"/>
        <v/>
      </c>
      <c r="Q193" s="173" t="str">
        <f t="shared" si="93"/>
        <v/>
      </c>
      <c r="R193" s="173" t="str">
        <f t="shared" si="86"/>
        <v/>
      </c>
      <c r="S193" s="176" t="str">
        <f>IF(A192=$D$8,XIRR(U$27:U192,C$27:C192),"")</f>
        <v/>
      </c>
      <c r="T193" s="173" t="str">
        <f t="shared" si="71"/>
        <v/>
      </c>
      <c r="U193" s="173">
        <f t="shared" si="79"/>
        <v>0</v>
      </c>
      <c r="V193" s="141" t="e">
        <f t="shared" ca="1" si="72"/>
        <v>#VALUE!</v>
      </c>
      <c r="W193" s="141" t="e">
        <f t="shared" ca="1" si="77"/>
        <v>#VALUE!</v>
      </c>
      <c r="X193" s="141" t="e">
        <f t="shared" ca="1" si="73"/>
        <v>#VALUE!</v>
      </c>
      <c r="Y193" s="177" t="e">
        <f t="shared" ca="1" si="91"/>
        <v>#VALUE!</v>
      </c>
      <c r="Z193" s="178" t="e">
        <f t="shared" ca="1" si="74"/>
        <v>#VALUE!</v>
      </c>
      <c r="AA193" s="141">
        <v>166</v>
      </c>
    </row>
    <row r="194" spans="1:27" x14ac:dyDescent="0.35">
      <c r="A194" s="175" t="str">
        <f t="shared" si="78"/>
        <v/>
      </c>
      <c r="B194" s="172">
        <f t="shared" ca="1" si="75"/>
        <v>50278</v>
      </c>
      <c r="C194" s="172" t="str">
        <f t="shared" ca="1" si="76"/>
        <v xml:space="preserve"> </v>
      </c>
      <c r="D194" s="175" t="str">
        <f t="shared" si="82"/>
        <v/>
      </c>
      <c r="E194" s="173" t="e">
        <f t="shared" si="70"/>
        <v>#VALUE!</v>
      </c>
      <c r="F194" s="173" t="str">
        <f>IF(A193=$D$8,SUM(F$28:F193),IF(A193&gt;$D$8,"",G194+H194))</f>
        <v/>
      </c>
      <c r="G194" s="173" t="str">
        <f>IF(A193=$D$8,ROUND(SUM($G$28:G193),2),IF(A194&gt;$F$8,"",IF(W194&lt;&gt;W193,ROUND(SUM(Y194*$E$12*E193/W194,Z194*$E$12*E193/W193),2),ROUND(E193*$E$12*D194/W193,2))))</f>
        <v/>
      </c>
      <c r="H194" s="173" t="str">
        <f>IF(AND(A193="",A195=""),"",IF(A194="",ROUND(SUM($H$28:H193),2),IF(A194=$D$8,$H$27-ROUND(SUM($H$28:H193),2),ROUND($H$27/$D$8,2))))</f>
        <v/>
      </c>
      <c r="I194" s="173" t="str">
        <f t="shared" si="83"/>
        <v/>
      </c>
      <c r="J194" s="173" t="str">
        <f t="shared" si="84"/>
        <v/>
      </c>
      <c r="K194" s="173" t="str">
        <f t="shared" si="92"/>
        <v/>
      </c>
      <c r="L194" s="173" t="str">
        <f t="shared" si="85"/>
        <v/>
      </c>
      <c r="M194" s="173" t="str">
        <f t="shared" si="87"/>
        <v/>
      </c>
      <c r="N194" s="173" t="str">
        <f t="shared" si="88"/>
        <v/>
      </c>
      <c r="O194" s="173" t="str">
        <f t="shared" si="89"/>
        <v/>
      </c>
      <c r="P194" s="173" t="str">
        <f t="shared" si="81"/>
        <v/>
      </c>
      <c r="Q194" s="173" t="str">
        <f t="shared" si="93"/>
        <v/>
      </c>
      <c r="R194" s="173" t="str">
        <f t="shared" si="86"/>
        <v/>
      </c>
      <c r="S194" s="176" t="str">
        <f>IF(A193=$D$8,XIRR(U$27:U193,C$27:C193),"")</f>
        <v/>
      </c>
      <c r="T194" s="173" t="str">
        <f t="shared" si="71"/>
        <v/>
      </c>
      <c r="U194" s="173">
        <f t="shared" si="79"/>
        <v>0</v>
      </c>
      <c r="V194" s="141" t="e">
        <f t="shared" ca="1" si="72"/>
        <v>#VALUE!</v>
      </c>
      <c r="W194" s="141" t="e">
        <f t="shared" ca="1" si="77"/>
        <v>#VALUE!</v>
      </c>
      <c r="X194" s="141" t="e">
        <f t="shared" ca="1" si="73"/>
        <v>#VALUE!</v>
      </c>
      <c r="Y194" s="177" t="e">
        <f t="shared" ca="1" si="91"/>
        <v>#VALUE!</v>
      </c>
      <c r="Z194" s="178" t="e">
        <f t="shared" ca="1" si="74"/>
        <v>#VALUE!</v>
      </c>
      <c r="AA194" s="141">
        <v>167</v>
      </c>
    </row>
    <row r="195" spans="1:27" x14ac:dyDescent="0.35">
      <c r="A195" s="175" t="str">
        <f t="shared" si="78"/>
        <v/>
      </c>
      <c r="B195" s="172">
        <f t="shared" ca="1" si="75"/>
        <v>50309</v>
      </c>
      <c r="C195" s="172" t="str">
        <f t="shared" ca="1" si="76"/>
        <v xml:space="preserve"> </v>
      </c>
      <c r="D195" s="175" t="str">
        <f t="shared" si="82"/>
        <v/>
      </c>
      <c r="E195" s="173" t="e">
        <f t="shared" si="70"/>
        <v>#VALUE!</v>
      </c>
      <c r="F195" s="173" t="str">
        <f>IF(A194=$D$8,SUM(F$28:F194),IF(A194&gt;$D$8,"",G195+H195))</f>
        <v/>
      </c>
      <c r="G195" s="173" t="str">
        <f>IF(A194=$D$8,ROUND(SUM($G$28:G194),2),IF(A195&gt;$F$8,"",IF(W195&lt;&gt;W194,ROUND(SUM(Y195*$E$12*E194/W195,Z195*$E$12*E194/W194),2),ROUND(E194*$E$12*D195/W194,2))))</f>
        <v/>
      </c>
      <c r="H195" s="173" t="str">
        <f>IF(AND(A194="",A196=""),"",IF(A195="",ROUND(SUM($H$28:H194),2),IF(A195=$D$8,$H$27-ROUND(SUM($H$28:H194),2),ROUND($H$27/$D$8,2))))</f>
        <v/>
      </c>
      <c r="I195" s="173" t="str">
        <f t="shared" si="83"/>
        <v/>
      </c>
      <c r="J195" s="173" t="str">
        <f t="shared" si="84"/>
        <v/>
      </c>
      <c r="K195" s="173" t="str">
        <f t="shared" si="92"/>
        <v/>
      </c>
      <c r="L195" s="173" t="str">
        <f t="shared" si="85"/>
        <v/>
      </c>
      <c r="M195" s="173" t="str">
        <f t="shared" si="87"/>
        <v/>
      </c>
      <c r="N195" s="173" t="str">
        <f t="shared" si="88"/>
        <v/>
      </c>
      <c r="O195" s="173" t="str">
        <f t="shared" si="89"/>
        <v/>
      </c>
      <c r="P195" s="173" t="str">
        <f t="shared" si="81"/>
        <v/>
      </c>
      <c r="Q195" s="173" t="str">
        <f t="shared" si="93"/>
        <v/>
      </c>
      <c r="R195" s="173" t="str">
        <f t="shared" si="86"/>
        <v/>
      </c>
      <c r="S195" s="176" t="str">
        <f>IF(A194=$D$8,XIRR(U$27:U194,C$27:C194),"")</f>
        <v/>
      </c>
      <c r="T195" s="173" t="str">
        <f t="shared" si="71"/>
        <v/>
      </c>
      <c r="U195" s="173">
        <f t="shared" si="79"/>
        <v>0</v>
      </c>
      <c r="V195" s="141" t="e">
        <f t="shared" ca="1" si="72"/>
        <v>#VALUE!</v>
      </c>
      <c r="W195" s="141" t="e">
        <f t="shared" ca="1" si="77"/>
        <v>#VALUE!</v>
      </c>
      <c r="X195" s="141" t="e">
        <f t="shared" ca="1" si="73"/>
        <v>#VALUE!</v>
      </c>
      <c r="Y195" s="177" t="e">
        <f t="shared" ca="1" si="91"/>
        <v>#VALUE!</v>
      </c>
      <c r="Z195" s="178" t="e">
        <f t="shared" ca="1" si="74"/>
        <v>#VALUE!</v>
      </c>
      <c r="AA195" s="141">
        <v>168</v>
      </c>
    </row>
    <row r="196" spans="1:27" x14ac:dyDescent="0.35">
      <c r="A196" s="175" t="str">
        <f t="shared" si="78"/>
        <v/>
      </c>
      <c r="B196" s="172">
        <f t="shared" ca="1" si="75"/>
        <v>50339</v>
      </c>
      <c r="C196" s="172" t="str">
        <f t="shared" ca="1" si="76"/>
        <v xml:space="preserve"> </v>
      </c>
      <c r="D196" s="175" t="str">
        <f t="shared" si="82"/>
        <v/>
      </c>
      <c r="E196" s="173" t="e">
        <f t="shared" si="70"/>
        <v>#VALUE!</v>
      </c>
      <c r="F196" s="173" t="str">
        <f>IF(A195=$D$8,SUM(F$28:F195),IF(A195&gt;$D$8,"",G196+H196))</f>
        <v/>
      </c>
      <c r="G196" s="173" t="str">
        <f>IF(A195=$D$8,ROUND(SUM($G$28:G195),2),IF(A196&gt;$F$8,"",IF(W196&lt;&gt;W195,ROUND(SUM(Y196*$E$12*E195/W196,Z196*$E$12*E195/W195),2),ROUND(E195*$E$12*D196/W195,2))))</f>
        <v/>
      </c>
      <c r="H196" s="173" t="str">
        <f>IF(AND(A195="",A197=""),"",IF(A196="",ROUND(SUM($H$28:H195),2),IF(A196=$D$8,$H$27-ROUND(SUM($H$28:H195),2),ROUND($H$27/$D$8,2))))</f>
        <v/>
      </c>
      <c r="I196" s="173" t="str">
        <f t="shared" si="83"/>
        <v/>
      </c>
      <c r="J196" s="173" t="str">
        <f t="shared" si="84"/>
        <v/>
      </c>
      <c r="K196" s="173" t="str">
        <f>IF($F$8&gt;168,($R$14),IF(A195=$F$8,K184+K172+K160+K148+K136+K124+K112+K100+K88+K76+K64+K52+K40+K27,""))</f>
        <v/>
      </c>
      <c r="L196" s="173" t="str">
        <f t="shared" si="85"/>
        <v/>
      </c>
      <c r="M196" s="173" t="str">
        <f t="shared" si="87"/>
        <v/>
      </c>
      <c r="N196" s="173" t="str">
        <f t="shared" si="88"/>
        <v/>
      </c>
      <c r="O196" s="173" t="str">
        <f t="shared" si="89"/>
        <v/>
      </c>
      <c r="P196" s="173" t="str">
        <f t="shared" si="81"/>
        <v/>
      </c>
      <c r="Q196" s="173" t="str">
        <f>IF($F$8&gt;168,($S$8+$S$10),IF($A195=$F$8,$Q$40+$Q$27+$Q$52+$Q$64+$Q$76+$Q$88+$Q$100+$Q$112+$Q$124+$Q$136+$Q$148+$Q$160+$Q$172+$Q$184,""))</f>
        <v/>
      </c>
      <c r="R196" s="173" t="str">
        <f t="shared" si="86"/>
        <v/>
      </c>
      <c r="S196" s="176" t="str">
        <f>IF(A195=$D$8,XIRR(U$27:U195,C$27:C195),"")</f>
        <v/>
      </c>
      <c r="T196" s="173" t="str">
        <f t="shared" si="71"/>
        <v/>
      </c>
      <c r="U196" s="173">
        <f t="shared" si="79"/>
        <v>0</v>
      </c>
      <c r="V196" s="141" t="e">
        <f t="shared" ca="1" si="72"/>
        <v>#VALUE!</v>
      </c>
      <c r="W196" s="141" t="e">
        <f t="shared" ca="1" si="77"/>
        <v>#VALUE!</v>
      </c>
      <c r="X196" s="141" t="e">
        <f t="shared" ca="1" si="73"/>
        <v>#VALUE!</v>
      </c>
      <c r="Y196" s="177" t="e">
        <f t="shared" ca="1" si="91"/>
        <v>#VALUE!</v>
      </c>
      <c r="Z196" s="178" t="e">
        <f t="shared" ca="1" si="74"/>
        <v>#VALUE!</v>
      </c>
      <c r="AA196" s="141">
        <v>169</v>
      </c>
    </row>
    <row r="197" spans="1:27" x14ac:dyDescent="0.35">
      <c r="A197" s="175" t="str">
        <f t="shared" si="78"/>
        <v/>
      </c>
      <c r="B197" s="172">
        <f t="shared" ca="1" si="75"/>
        <v>50370</v>
      </c>
      <c r="C197" s="172" t="str">
        <f t="shared" ca="1" si="76"/>
        <v xml:space="preserve"> </v>
      </c>
      <c r="D197" s="175" t="str">
        <f t="shared" si="82"/>
        <v/>
      </c>
      <c r="E197" s="173" t="e">
        <f t="shared" si="70"/>
        <v>#VALUE!</v>
      </c>
      <c r="F197" s="173" t="str">
        <f>IF(A196=$D$8,SUM(F$28:F196),IF(A196&gt;$D$8,"",G197+H197))</f>
        <v/>
      </c>
      <c r="G197" s="173" t="str">
        <f>IF(A196=$D$8,ROUND(SUM($G$28:G196),2),IF(A197&gt;$F$8,"",IF(W197&lt;&gt;W196,ROUND(SUM(Y197*$E$12*E196/W197,Z197*$E$12*E196/W196),2),ROUND(E196*$E$12*D197/W196,2))))</f>
        <v/>
      </c>
      <c r="H197" s="173" t="str">
        <f>IF(AND(A196="",A198=""),"",IF(A197="",ROUND(SUM($H$28:H196),2),IF(A197=$D$8,$H$27-ROUND(SUM($H$28:H196),2),ROUND($H$27/$D$8,2))))</f>
        <v/>
      </c>
      <c r="I197" s="173" t="str">
        <f t="shared" si="83"/>
        <v/>
      </c>
      <c r="J197" s="173" t="str">
        <f t="shared" si="84"/>
        <v/>
      </c>
      <c r="K197" s="173" t="str">
        <f t="shared" si="92"/>
        <v/>
      </c>
      <c r="L197" s="173" t="str">
        <f t="shared" si="85"/>
        <v/>
      </c>
      <c r="M197" s="173" t="str">
        <f t="shared" si="87"/>
        <v/>
      </c>
      <c r="N197" s="173" t="str">
        <f t="shared" si="88"/>
        <v/>
      </c>
      <c r="O197" s="173" t="str">
        <f t="shared" si="89"/>
        <v/>
      </c>
      <c r="P197" s="173" t="str">
        <f t="shared" si="81"/>
        <v/>
      </c>
      <c r="Q197" s="173" t="str">
        <f t="shared" ref="Q197:Q207" si="94">IF(A196=$D$8,$Q$27,"")</f>
        <v/>
      </c>
      <c r="R197" s="173" t="str">
        <f t="shared" si="86"/>
        <v/>
      </c>
      <c r="S197" s="176" t="str">
        <f>IF(A196=$D$8,XIRR(U$27:U196,C$27:C196),"")</f>
        <v/>
      </c>
      <c r="T197" s="173" t="str">
        <f t="shared" si="71"/>
        <v/>
      </c>
      <c r="U197" s="173">
        <f t="shared" si="79"/>
        <v>0</v>
      </c>
      <c r="V197" s="141" t="e">
        <f t="shared" ca="1" si="72"/>
        <v>#VALUE!</v>
      </c>
      <c r="W197" s="141" t="e">
        <f t="shared" ca="1" si="77"/>
        <v>#VALUE!</v>
      </c>
      <c r="X197" s="141" t="e">
        <f t="shared" ca="1" si="73"/>
        <v>#VALUE!</v>
      </c>
      <c r="Y197" s="177" t="e">
        <f t="shared" ca="1" si="91"/>
        <v>#VALUE!</v>
      </c>
      <c r="Z197" s="178" t="e">
        <f t="shared" ca="1" si="74"/>
        <v>#VALUE!</v>
      </c>
      <c r="AA197" s="141">
        <v>170</v>
      </c>
    </row>
    <row r="198" spans="1:27" x14ac:dyDescent="0.35">
      <c r="A198" s="175" t="str">
        <f t="shared" si="78"/>
        <v/>
      </c>
      <c r="B198" s="172">
        <f t="shared" ca="1" si="75"/>
        <v>50400</v>
      </c>
      <c r="C198" s="172" t="str">
        <f t="shared" ca="1" si="76"/>
        <v xml:space="preserve"> </v>
      </c>
      <c r="D198" s="175" t="str">
        <f t="shared" si="82"/>
        <v/>
      </c>
      <c r="E198" s="173" t="e">
        <f t="shared" si="70"/>
        <v>#VALUE!</v>
      </c>
      <c r="F198" s="173" t="str">
        <f>IF(A197=$D$8,SUM(F$28:F197),IF(A197&gt;$D$8,"",G198+H198))</f>
        <v/>
      </c>
      <c r="G198" s="173" t="str">
        <f>IF(A197=$D$8,ROUND(SUM($G$28:G197),2),IF(A198&gt;$F$8,"",IF(W198&lt;&gt;W197,ROUND(SUM(Y198*$E$12*E197/W198,Z198*$E$12*E197/W197),2),ROUND(E197*$E$12*D198/W197,2))))</f>
        <v/>
      </c>
      <c r="H198" s="173" t="str">
        <f>IF(AND(A197="",A199=""),"",IF(A198="",ROUND(SUM($H$28:H197),2),IF(A198=$D$8,$H$27-ROUND(SUM($H$28:H197),2),ROUND($H$27/$D$8,2))))</f>
        <v/>
      </c>
      <c r="I198" s="173" t="str">
        <f t="shared" si="83"/>
        <v/>
      </c>
      <c r="J198" s="173" t="str">
        <f t="shared" si="84"/>
        <v/>
      </c>
      <c r="K198" s="173" t="str">
        <f t="shared" si="92"/>
        <v/>
      </c>
      <c r="L198" s="173" t="str">
        <f t="shared" si="85"/>
        <v/>
      </c>
      <c r="M198" s="173" t="str">
        <f t="shared" si="87"/>
        <v/>
      </c>
      <c r="N198" s="173" t="str">
        <f t="shared" si="88"/>
        <v/>
      </c>
      <c r="O198" s="173" t="str">
        <f t="shared" si="89"/>
        <v/>
      </c>
      <c r="P198" s="173" t="str">
        <f t="shared" si="81"/>
        <v/>
      </c>
      <c r="Q198" s="173" t="str">
        <f t="shared" si="94"/>
        <v/>
      </c>
      <c r="R198" s="173" t="str">
        <f t="shared" si="86"/>
        <v/>
      </c>
      <c r="S198" s="176" t="str">
        <f>IF(A197=$D$8,XIRR(U$27:U197,C$27:C197),"")</f>
        <v/>
      </c>
      <c r="T198" s="173" t="str">
        <f t="shared" si="71"/>
        <v/>
      </c>
      <c r="U198" s="173">
        <f t="shared" si="79"/>
        <v>0</v>
      </c>
      <c r="V198" s="141" t="e">
        <f t="shared" ca="1" si="72"/>
        <v>#VALUE!</v>
      </c>
      <c r="W198" s="141" t="e">
        <f t="shared" ca="1" si="77"/>
        <v>#VALUE!</v>
      </c>
      <c r="X198" s="141" t="e">
        <f t="shared" ca="1" si="73"/>
        <v>#VALUE!</v>
      </c>
      <c r="Y198" s="177" t="e">
        <f t="shared" ca="1" si="91"/>
        <v>#VALUE!</v>
      </c>
      <c r="Z198" s="178" t="e">
        <f t="shared" ca="1" si="74"/>
        <v>#VALUE!</v>
      </c>
      <c r="AA198" s="141">
        <v>171</v>
      </c>
    </row>
    <row r="199" spans="1:27" x14ac:dyDescent="0.35">
      <c r="A199" s="175" t="str">
        <f t="shared" si="78"/>
        <v/>
      </c>
      <c r="B199" s="172">
        <f t="shared" ca="1" si="75"/>
        <v>50431</v>
      </c>
      <c r="C199" s="172" t="str">
        <f t="shared" ca="1" si="76"/>
        <v xml:space="preserve"> </v>
      </c>
      <c r="D199" s="175" t="str">
        <f t="shared" si="82"/>
        <v/>
      </c>
      <c r="E199" s="173" t="e">
        <f t="shared" si="70"/>
        <v>#VALUE!</v>
      </c>
      <c r="F199" s="173" t="str">
        <f>IF(A198=$D$8,SUM(F$28:F198),IF(A198&gt;$D$8,"",G199+H199))</f>
        <v/>
      </c>
      <c r="G199" s="173" t="str">
        <f>IF(A198=$D$8,ROUND(SUM($G$28:G198),2),IF(A199&gt;$F$8,"",IF(W199&lt;&gt;W198,ROUND(SUM(Y199*$E$12*E198/W199,Z199*$E$12*E198/W198),2),ROUND(E198*$E$12*D199/W198,2))))</f>
        <v/>
      </c>
      <c r="H199" s="173" t="str">
        <f>IF(AND(A198="",A200=""),"",IF(A199="",ROUND(SUM($H$28:H198),2),IF(A199=$D$8,$H$27-ROUND(SUM($H$28:H198),2),ROUND($H$27/$D$8,2))))</f>
        <v/>
      </c>
      <c r="I199" s="173" t="str">
        <f t="shared" si="83"/>
        <v/>
      </c>
      <c r="J199" s="173" t="str">
        <f t="shared" si="84"/>
        <v/>
      </c>
      <c r="K199" s="173" t="str">
        <f t="shared" si="92"/>
        <v/>
      </c>
      <c r="L199" s="173" t="str">
        <f t="shared" si="85"/>
        <v/>
      </c>
      <c r="M199" s="173" t="str">
        <f t="shared" si="87"/>
        <v/>
      </c>
      <c r="N199" s="173" t="str">
        <f t="shared" si="88"/>
        <v/>
      </c>
      <c r="O199" s="173" t="str">
        <f t="shared" si="89"/>
        <v/>
      </c>
      <c r="P199" s="173" t="str">
        <f t="shared" si="81"/>
        <v/>
      </c>
      <c r="Q199" s="173" t="str">
        <f t="shared" si="94"/>
        <v/>
      </c>
      <c r="R199" s="173" t="str">
        <f t="shared" si="86"/>
        <v/>
      </c>
      <c r="S199" s="176" t="str">
        <f>IF(A198=$D$8,XIRR(U$27:U198,C$27:C198),"")</f>
        <v/>
      </c>
      <c r="T199" s="173" t="str">
        <f t="shared" si="71"/>
        <v/>
      </c>
      <c r="U199" s="173">
        <f t="shared" si="79"/>
        <v>0</v>
      </c>
      <c r="V199" s="141" t="e">
        <f t="shared" ca="1" si="72"/>
        <v>#VALUE!</v>
      </c>
      <c r="W199" s="141" t="e">
        <f t="shared" ca="1" si="77"/>
        <v>#VALUE!</v>
      </c>
      <c r="X199" s="141" t="e">
        <f t="shared" ca="1" si="73"/>
        <v>#VALUE!</v>
      </c>
      <c r="Y199" s="177" t="e">
        <f t="shared" ca="1" si="91"/>
        <v>#VALUE!</v>
      </c>
      <c r="Z199" s="178" t="e">
        <f t="shared" ca="1" si="74"/>
        <v>#VALUE!</v>
      </c>
      <c r="AA199" s="141">
        <v>172</v>
      </c>
    </row>
    <row r="200" spans="1:27" x14ac:dyDescent="0.35">
      <c r="A200" s="175" t="str">
        <f t="shared" si="78"/>
        <v/>
      </c>
      <c r="B200" s="172">
        <f t="shared" ca="1" si="75"/>
        <v>50462</v>
      </c>
      <c r="C200" s="172" t="str">
        <f t="shared" ca="1" si="76"/>
        <v xml:space="preserve"> </v>
      </c>
      <c r="D200" s="175" t="str">
        <f t="shared" si="82"/>
        <v/>
      </c>
      <c r="E200" s="173" t="e">
        <f t="shared" si="70"/>
        <v>#VALUE!</v>
      </c>
      <c r="F200" s="173" t="str">
        <f>IF(A199=$D$8,SUM(F$28:F199),IF(A199&gt;$D$8,"",G200+H200))</f>
        <v/>
      </c>
      <c r="G200" s="173" t="str">
        <f>IF(A199=$D$8,ROUND(SUM($G$28:G199),2),IF(A200&gt;$F$8,"",IF(W200&lt;&gt;W199,ROUND(SUM(Y200*$E$12*E199/W200,Z200*$E$12*E199/W199),2),ROUND(E199*$E$12*D200/W199,2))))</f>
        <v/>
      </c>
      <c r="H200" s="173" t="str">
        <f>IF(AND(A199="",A201=""),"",IF(A200="",ROUND(SUM($H$28:H199),2),IF(A200=$D$8,$H$27-ROUND(SUM($H$28:H199),2),ROUND($H$27/$D$8,2))))</f>
        <v/>
      </c>
      <c r="I200" s="173" t="str">
        <f t="shared" si="83"/>
        <v/>
      </c>
      <c r="J200" s="173" t="str">
        <f t="shared" si="84"/>
        <v/>
      </c>
      <c r="K200" s="173" t="str">
        <f t="shared" si="92"/>
        <v/>
      </c>
      <c r="L200" s="173" t="str">
        <f t="shared" si="85"/>
        <v/>
      </c>
      <c r="M200" s="173" t="str">
        <f t="shared" si="87"/>
        <v/>
      </c>
      <c r="N200" s="173" t="str">
        <f t="shared" si="88"/>
        <v/>
      </c>
      <c r="O200" s="173" t="str">
        <f t="shared" si="89"/>
        <v/>
      </c>
      <c r="P200" s="173" t="str">
        <f t="shared" si="81"/>
        <v/>
      </c>
      <c r="Q200" s="173" t="str">
        <f t="shared" si="94"/>
        <v/>
      </c>
      <c r="R200" s="173" t="str">
        <f t="shared" si="86"/>
        <v/>
      </c>
      <c r="S200" s="176" t="str">
        <f>IF(A199=$D$8,XIRR(U$27:U199,C$27:C199),"")</f>
        <v/>
      </c>
      <c r="T200" s="173" t="str">
        <f t="shared" si="71"/>
        <v/>
      </c>
      <c r="U200" s="173">
        <f t="shared" si="79"/>
        <v>0</v>
      </c>
      <c r="V200" s="141" t="e">
        <f t="shared" ca="1" si="72"/>
        <v>#VALUE!</v>
      </c>
      <c r="W200" s="141" t="e">
        <f t="shared" ca="1" si="77"/>
        <v>#VALUE!</v>
      </c>
      <c r="X200" s="141" t="e">
        <f t="shared" ca="1" si="73"/>
        <v>#VALUE!</v>
      </c>
      <c r="Y200" s="177" t="e">
        <f t="shared" ca="1" si="91"/>
        <v>#VALUE!</v>
      </c>
      <c r="Z200" s="178" t="e">
        <f t="shared" ca="1" si="74"/>
        <v>#VALUE!</v>
      </c>
      <c r="AA200" s="141">
        <v>173</v>
      </c>
    </row>
    <row r="201" spans="1:27" x14ac:dyDescent="0.35">
      <c r="A201" s="175" t="str">
        <f t="shared" si="78"/>
        <v/>
      </c>
      <c r="B201" s="172">
        <f t="shared" ca="1" si="75"/>
        <v>50490</v>
      </c>
      <c r="C201" s="172" t="str">
        <f t="shared" ca="1" si="76"/>
        <v xml:space="preserve"> </v>
      </c>
      <c r="D201" s="175" t="str">
        <f t="shared" si="82"/>
        <v/>
      </c>
      <c r="E201" s="173" t="e">
        <f t="shared" si="70"/>
        <v>#VALUE!</v>
      </c>
      <c r="F201" s="173" t="str">
        <f>IF(A200=$D$8,SUM(F$28:F200),IF(A200&gt;$D$8,"",G201+H201))</f>
        <v/>
      </c>
      <c r="G201" s="173" t="str">
        <f>IF(A200=$D$8,ROUND(SUM($G$28:G200),2),IF(A201&gt;$F$8,"",IF(W201&lt;&gt;W200,ROUND(SUM(Y201*$E$12*E200/W201,Z201*$E$12*E200/W200),2),ROUND(E200*$E$12*D201/W200,2))))</f>
        <v/>
      </c>
      <c r="H201" s="173" t="str">
        <f>IF(AND(A200="",A202=""),"",IF(A201="",ROUND(SUM($H$28:H200),2),IF(A201=$D$8,$H$27-ROUND(SUM($H$28:H200),2),ROUND($H$27/$D$8,2))))</f>
        <v/>
      </c>
      <c r="I201" s="173" t="str">
        <f t="shared" si="83"/>
        <v/>
      </c>
      <c r="J201" s="173" t="str">
        <f t="shared" si="84"/>
        <v/>
      </c>
      <c r="K201" s="173" t="str">
        <f t="shared" si="92"/>
        <v/>
      </c>
      <c r="L201" s="173" t="str">
        <f t="shared" si="85"/>
        <v/>
      </c>
      <c r="M201" s="173" t="str">
        <f t="shared" si="87"/>
        <v/>
      </c>
      <c r="N201" s="173" t="str">
        <f t="shared" si="88"/>
        <v/>
      </c>
      <c r="O201" s="173" t="str">
        <f t="shared" si="89"/>
        <v/>
      </c>
      <c r="P201" s="173" t="str">
        <f t="shared" si="81"/>
        <v/>
      </c>
      <c r="Q201" s="173" t="str">
        <f t="shared" si="94"/>
        <v/>
      </c>
      <c r="R201" s="173" t="str">
        <f t="shared" si="86"/>
        <v/>
      </c>
      <c r="S201" s="176" t="str">
        <f>IF(A200=$D$8,XIRR(U$27:U200,C$27:C200),"")</f>
        <v/>
      </c>
      <c r="T201" s="173" t="str">
        <f t="shared" si="71"/>
        <v/>
      </c>
      <c r="U201" s="173">
        <f t="shared" si="79"/>
        <v>0</v>
      </c>
      <c r="V201" s="141" t="e">
        <f t="shared" ca="1" si="72"/>
        <v>#VALUE!</v>
      </c>
      <c r="W201" s="141" t="e">
        <f t="shared" ca="1" si="77"/>
        <v>#VALUE!</v>
      </c>
      <c r="X201" s="141" t="e">
        <f t="shared" ca="1" si="73"/>
        <v>#VALUE!</v>
      </c>
      <c r="Y201" s="177" t="e">
        <f t="shared" ca="1" si="91"/>
        <v>#VALUE!</v>
      </c>
      <c r="Z201" s="178" t="e">
        <f t="shared" ca="1" si="74"/>
        <v>#VALUE!</v>
      </c>
      <c r="AA201" s="141">
        <v>174</v>
      </c>
    </row>
    <row r="202" spans="1:27" x14ac:dyDescent="0.35">
      <c r="A202" s="175" t="str">
        <f t="shared" si="78"/>
        <v/>
      </c>
      <c r="B202" s="172">
        <f t="shared" ca="1" si="75"/>
        <v>50521</v>
      </c>
      <c r="C202" s="172" t="str">
        <f t="shared" ca="1" si="76"/>
        <v xml:space="preserve"> </v>
      </c>
      <c r="D202" s="175" t="str">
        <f t="shared" si="82"/>
        <v/>
      </c>
      <c r="E202" s="173" t="e">
        <f t="shared" si="70"/>
        <v>#VALUE!</v>
      </c>
      <c r="F202" s="173" t="str">
        <f>IF(A201=$D$8,SUM(F$28:F201),IF(A201&gt;$D$8,"",G202+H202))</f>
        <v/>
      </c>
      <c r="G202" s="173" t="str">
        <f>IF(A201=$D$8,ROUND(SUM($G$28:G201),2),IF(A202&gt;$F$8,"",IF(W202&lt;&gt;W201,ROUND(SUM(Y202*$E$12*E201/W202,Z202*$E$12*E201/W201),2),ROUND(E201*$E$12*D202/W201,2))))</f>
        <v/>
      </c>
      <c r="H202" s="173" t="str">
        <f>IF(AND(A201="",A203=""),"",IF(A202="",ROUND(SUM($H$28:H201),2),IF(A202=$D$8,$H$27-ROUND(SUM($H$28:H201),2),ROUND($H$27/$D$8,2))))</f>
        <v/>
      </c>
      <c r="I202" s="173" t="str">
        <f t="shared" si="83"/>
        <v/>
      </c>
      <c r="J202" s="173" t="str">
        <f t="shared" si="84"/>
        <v/>
      </c>
      <c r="K202" s="173" t="str">
        <f t="shared" si="92"/>
        <v/>
      </c>
      <c r="L202" s="173" t="str">
        <f t="shared" si="85"/>
        <v/>
      </c>
      <c r="M202" s="173" t="str">
        <f t="shared" si="87"/>
        <v/>
      </c>
      <c r="N202" s="173" t="str">
        <f t="shared" si="88"/>
        <v/>
      </c>
      <c r="O202" s="173" t="str">
        <f t="shared" si="89"/>
        <v/>
      </c>
      <c r="P202" s="173" t="str">
        <f t="shared" si="81"/>
        <v/>
      </c>
      <c r="Q202" s="173" t="str">
        <f t="shared" si="94"/>
        <v/>
      </c>
      <c r="R202" s="173" t="str">
        <f t="shared" si="86"/>
        <v/>
      </c>
      <c r="S202" s="176" t="str">
        <f>IF(A201=$D$8,XIRR(U$27:U201,C$27:C201),"")</f>
        <v/>
      </c>
      <c r="T202" s="173" t="str">
        <f t="shared" si="71"/>
        <v/>
      </c>
      <c r="U202" s="173">
        <f t="shared" si="79"/>
        <v>0</v>
      </c>
      <c r="V202" s="141" t="e">
        <f t="shared" ca="1" si="72"/>
        <v>#VALUE!</v>
      </c>
      <c r="W202" s="141" t="e">
        <f t="shared" ca="1" si="77"/>
        <v>#VALUE!</v>
      </c>
      <c r="X202" s="141" t="e">
        <f t="shared" ca="1" si="73"/>
        <v>#VALUE!</v>
      </c>
      <c r="Y202" s="177" t="e">
        <f t="shared" ca="1" si="91"/>
        <v>#VALUE!</v>
      </c>
      <c r="Z202" s="178" t="e">
        <f t="shared" ca="1" si="74"/>
        <v>#VALUE!</v>
      </c>
      <c r="AA202" s="141">
        <v>175</v>
      </c>
    </row>
    <row r="203" spans="1:27" x14ac:dyDescent="0.35">
      <c r="A203" s="175" t="str">
        <f t="shared" si="78"/>
        <v/>
      </c>
      <c r="B203" s="172">
        <f t="shared" ca="1" si="75"/>
        <v>50551</v>
      </c>
      <c r="C203" s="172" t="str">
        <f t="shared" ca="1" si="76"/>
        <v xml:space="preserve"> </v>
      </c>
      <c r="D203" s="175" t="str">
        <f t="shared" si="82"/>
        <v/>
      </c>
      <c r="E203" s="173" t="e">
        <f t="shared" si="70"/>
        <v>#VALUE!</v>
      </c>
      <c r="F203" s="173" t="str">
        <f>IF(A202=$D$8,SUM(F$28:F202),IF(A202&gt;$D$8,"",G203+H203))</f>
        <v/>
      </c>
      <c r="G203" s="173" t="str">
        <f>IF(A202=$D$8,ROUND(SUM($G$28:G202),2),IF(A203&gt;$F$8,"",IF(W203&lt;&gt;W202,ROUND(SUM(Y203*$E$12*E202/W203,Z203*$E$12*E202/W202),2),ROUND(E202*$E$12*D203/W202,2))))</f>
        <v/>
      </c>
      <c r="H203" s="173" t="str">
        <f>IF(AND(A202="",A204=""),"",IF(A203="",ROUND(SUM($H$28:H202),2),IF(A203=$D$8,$H$27-ROUND(SUM($H$28:H202),2),ROUND($H$27/$D$8,2))))</f>
        <v/>
      </c>
      <c r="I203" s="173" t="str">
        <f t="shared" si="83"/>
        <v/>
      </c>
      <c r="J203" s="173" t="str">
        <f t="shared" si="84"/>
        <v/>
      </c>
      <c r="K203" s="173" t="str">
        <f t="shared" si="92"/>
        <v/>
      </c>
      <c r="L203" s="173" t="str">
        <f t="shared" si="85"/>
        <v/>
      </c>
      <c r="M203" s="173" t="str">
        <f t="shared" si="87"/>
        <v/>
      </c>
      <c r="N203" s="173" t="str">
        <f t="shared" si="88"/>
        <v/>
      </c>
      <c r="O203" s="173" t="str">
        <f t="shared" si="89"/>
        <v/>
      </c>
      <c r="P203" s="173" t="str">
        <f t="shared" si="81"/>
        <v/>
      </c>
      <c r="Q203" s="173" t="str">
        <f t="shared" si="94"/>
        <v/>
      </c>
      <c r="R203" s="173" t="str">
        <f t="shared" si="86"/>
        <v/>
      </c>
      <c r="S203" s="176" t="str">
        <f>IF(A202=$D$8,XIRR(U$27:U202,C$27:C202),"")</f>
        <v/>
      </c>
      <c r="T203" s="173" t="str">
        <f t="shared" si="71"/>
        <v/>
      </c>
      <c r="U203" s="173">
        <f t="shared" si="79"/>
        <v>0</v>
      </c>
      <c r="V203" s="141" t="e">
        <f t="shared" ca="1" si="72"/>
        <v>#VALUE!</v>
      </c>
      <c r="W203" s="141" t="e">
        <f t="shared" ca="1" si="77"/>
        <v>#VALUE!</v>
      </c>
      <c r="X203" s="141" t="e">
        <f t="shared" ca="1" si="73"/>
        <v>#VALUE!</v>
      </c>
      <c r="Y203" s="177" t="e">
        <f t="shared" ca="1" si="91"/>
        <v>#VALUE!</v>
      </c>
      <c r="Z203" s="178" t="e">
        <f t="shared" ca="1" si="74"/>
        <v>#VALUE!</v>
      </c>
      <c r="AA203" s="141">
        <v>176</v>
      </c>
    </row>
    <row r="204" spans="1:27" x14ac:dyDescent="0.35">
      <c r="A204" s="175" t="str">
        <f t="shared" si="78"/>
        <v/>
      </c>
      <c r="B204" s="172">
        <f t="shared" ca="1" si="75"/>
        <v>50582</v>
      </c>
      <c r="C204" s="172" t="str">
        <f t="shared" ca="1" si="76"/>
        <v xml:space="preserve"> </v>
      </c>
      <c r="D204" s="175" t="str">
        <f t="shared" si="82"/>
        <v/>
      </c>
      <c r="E204" s="173" t="e">
        <f t="shared" si="70"/>
        <v>#VALUE!</v>
      </c>
      <c r="F204" s="173" t="str">
        <f>IF(A203=$D$8,SUM(F$28:F203),IF(A203&gt;$D$8,"",G204+H204))</f>
        <v/>
      </c>
      <c r="G204" s="173" t="str">
        <f>IF(A203=$D$8,ROUND(SUM($G$28:G203),2),IF(A204&gt;$F$8,"",IF(W204&lt;&gt;W203,ROUND(SUM(Y204*$E$12*E203/W204,Z204*$E$12*E203/W203),2),ROUND(E203*$E$12*D204/W203,2))))</f>
        <v/>
      </c>
      <c r="H204" s="173" t="str">
        <f>IF(AND(A203="",A205=""),"",IF(A204="",ROUND(SUM($H$28:H203),2),IF(A204=$D$8,$H$27-ROUND(SUM($H$28:H203),2),ROUND($H$27/$D$8,2))))</f>
        <v/>
      </c>
      <c r="I204" s="173" t="str">
        <f t="shared" si="83"/>
        <v/>
      </c>
      <c r="J204" s="173" t="str">
        <f t="shared" si="84"/>
        <v/>
      </c>
      <c r="K204" s="173" t="str">
        <f t="shared" si="92"/>
        <v/>
      </c>
      <c r="L204" s="173" t="str">
        <f t="shared" si="85"/>
        <v/>
      </c>
      <c r="M204" s="173" t="str">
        <f t="shared" si="87"/>
        <v/>
      </c>
      <c r="N204" s="173" t="str">
        <f t="shared" si="88"/>
        <v/>
      </c>
      <c r="O204" s="173" t="str">
        <f t="shared" si="89"/>
        <v/>
      </c>
      <c r="P204" s="173" t="str">
        <f t="shared" si="81"/>
        <v/>
      </c>
      <c r="Q204" s="173" t="str">
        <f t="shared" si="94"/>
        <v/>
      </c>
      <c r="R204" s="173" t="str">
        <f t="shared" si="86"/>
        <v/>
      </c>
      <c r="S204" s="176" t="str">
        <f>IF(A203=$D$8,XIRR(U$27:U203,C$27:C203),"")</f>
        <v/>
      </c>
      <c r="T204" s="173" t="str">
        <f t="shared" si="71"/>
        <v/>
      </c>
      <c r="U204" s="173">
        <f t="shared" si="79"/>
        <v>0</v>
      </c>
      <c r="V204" s="141" t="e">
        <f t="shared" ca="1" si="72"/>
        <v>#VALUE!</v>
      </c>
      <c r="W204" s="141" t="e">
        <f t="shared" ca="1" si="77"/>
        <v>#VALUE!</v>
      </c>
      <c r="X204" s="141" t="e">
        <f t="shared" ca="1" si="73"/>
        <v>#VALUE!</v>
      </c>
      <c r="Y204" s="177" t="e">
        <f t="shared" ca="1" si="91"/>
        <v>#VALUE!</v>
      </c>
      <c r="Z204" s="178" t="e">
        <f t="shared" ca="1" si="74"/>
        <v>#VALUE!</v>
      </c>
      <c r="AA204" s="141">
        <v>177</v>
      </c>
    </row>
    <row r="205" spans="1:27" x14ac:dyDescent="0.35">
      <c r="A205" s="175" t="str">
        <f t="shared" si="78"/>
        <v/>
      </c>
      <c r="B205" s="172">
        <f t="shared" ca="1" si="75"/>
        <v>50612</v>
      </c>
      <c r="C205" s="172" t="str">
        <f t="shared" ca="1" si="76"/>
        <v xml:space="preserve"> </v>
      </c>
      <c r="D205" s="175" t="str">
        <f t="shared" si="82"/>
        <v/>
      </c>
      <c r="E205" s="173" t="e">
        <f t="shared" si="70"/>
        <v>#VALUE!</v>
      </c>
      <c r="F205" s="173" t="str">
        <f>IF(A204=$D$8,SUM(F$28:F204),IF(A204&gt;$D$8,"",G205+H205))</f>
        <v/>
      </c>
      <c r="G205" s="173" t="str">
        <f>IF(A204=$D$8,ROUND(SUM($G$28:G204),2),IF(A205&gt;$F$8,"",IF(W205&lt;&gt;W204,ROUND(SUM(Y205*$E$12*E204/W205,Z205*$E$12*E204/W204),2),ROUND(E204*$E$12*D205/W204,2))))</f>
        <v/>
      </c>
      <c r="H205" s="173" t="str">
        <f>IF(AND(A204="",A206=""),"",IF(A205="",ROUND(SUM($H$28:H204),2),IF(A205=$D$8,$H$27-ROUND(SUM($H$28:H204),2),ROUND($H$27/$D$8,2))))</f>
        <v/>
      </c>
      <c r="I205" s="173" t="str">
        <f t="shared" si="83"/>
        <v/>
      </c>
      <c r="J205" s="173" t="str">
        <f t="shared" si="84"/>
        <v/>
      </c>
      <c r="K205" s="173" t="str">
        <f t="shared" si="92"/>
        <v/>
      </c>
      <c r="L205" s="173" t="str">
        <f t="shared" si="85"/>
        <v/>
      </c>
      <c r="M205" s="173" t="str">
        <f t="shared" si="87"/>
        <v/>
      </c>
      <c r="N205" s="173" t="str">
        <f t="shared" si="88"/>
        <v/>
      </c>
      <c r="O205" s="173" t="str">
        <f t="shared" si="89"/>
        <v/>
      </c>
      <c r="P205" s="173" t="str">
        <f t="shared" si="81"/>
        <v/>
      </c>
      <c r="Q205" s="173" t="str">
        <f t="shared" si="94"/>
        <v/>
      </c>
      <c r="R205" s="173" t="str">
        <f t="shared" si="86"/>
        <v/>
      </c>
      <c r="S205" s="176" t="str">
        <f>IF(A204=$D$8,XIRR(U$27:U204,C$27:C204),"")</f>
        <v/>
      </c>
      <c r="T205" s="173" t="str">
        <f t="shared" si="71"/>
        <v/>
      </c>
      <c r="U205" s="173">
        <f t="shared" si="79"/>
        <v>0</v>
      </c>
      <c r="V205" s="141" t="e">
        <f t="shared" ca="1" si="72"/>
        <v>#VALUE!</v>
      </c>
      <c r="W205" s="141" t="e">
        <f t="shared" ca="1" si="77"/>
        <v>#VALUE!</v>
      </c>
      <c r="X205" s="141" t="e">
        <f t="shared" ca="1" si="73"/>
        <v>#VALUE!</v>
      </c>
      <c r="Y205" s="177" t="e">
        <f t="shared" ca="1" si="91"/>
        <v>#VALUE!</v>
      </c>
      <c r="Z205" s="178" t="e">
        <f t="shared" ca="1" si="74"/>
        <v>#VALUE!</v>
      </c>
      <c r="AA205" s="141">
        <v>178</v>
      </c>
    </row>
    <row r="206" spans="1:27" x14ac:dyDescent="0.35">
      <c r="A206" s="175" t="str">
        <f t="shared" si="78"/>
        <v/>
      </c>
      <c r="B206" s="172">
        <f t="shared" ca="1" si="75"/>
        <v>50643</v>
      </c>
      <c r="C206" s="172" t="str">
        <f t="shared" ca="1" si="76"/>
        <v xml:space="preserve"> </v>
      </c>
      <c r="D206" s="175" t="str">
        <f t="shared" si="82"/>
        <v/>
      </c>
      <c r="E206" s="173" t="e">
        <f t="shared" si="70"/>
        <v>#VALUE!</v>
      </c>
      <c r="F206" s="173" t="str">
        <f>IF(A205=$D$8,SUM(F$28:F205),IF(A205&gt;$D$8,"",G206+H206))</f>
        <v/>
      </c>
      <c r="G206" s="173" t="str">
        <f>IF(A205=$D$8,ROUND(SUM($G$28:G205),2),IF(A206&gt;$F$8,"",IF(W206&lt;&gt;W205,ROUND(SUM(Y206*$E$12*E205/W206,Z206*$E$12*E205/W205),2),ROUND(E205*$E$12*D206/W205,2))))</f>
        <v/>
      </c>
      <c r="H206" s="173" t="str">
        <f>IF(AND(A205="",A207=""),"",IF(A206="",ROUND(SUM($H$28:H205),2),IF(A206=$D$8,$H$27-ROUND(SUM($H$28:H205),2),ROUND($H$27/$D$8,2))))</f>
        <v/>
      </c>
      <c r="I206" s="173" t="str">
        <f t="shared" si="83"/>
        <v/>
      </c>
      <c r="J206" s="173" t="str">
        <f t="shared" si="84"/>
        <v/>
      </c>
      <c r="K206" s="173" t="str">
        <f t="shared" si="92"/>
        <v/>
      </c>
      <c r="L206" s="173" t="str">
        <f t="shared" si="85"/>
        <v/>
      </c>
      <c r="M206" s="173" t="str">
        <f t="shared" si="87"/>
        <v/>
      </c>
      <c r="N206" s="173" t="str">
        <f t="shared" si="88"/>
        <v/>
      </c>
      <c r="O206" s="173" t="str">
        <f t="shared" si="89"/>
        <v/>
      </c>
      <c r="P206" s="173" t="str">
        <f t="shared" si="81"/>
        <v/>
      </c>
      <c r="Q206" s="173" t="str">
        <f t="shared" si="94"/>
        <v/>
      </c>
      <c r="R206" s="173" t="str">
        <f t="shared" si="86"/>
        <v/>
      </c>
      <c r="S206" s="176" t="str">
        <f>IF(A205=$D$8,XIRR(U$27:U205,C$27:C205),"")</f>
        <v/>
      </c>
      <c r="T206" s="173" t="str">
        <f t="shared" si="71"/>
        <v/>
      </c>
      <c r="U206" s="173">
        <f t="shared" si="79"/>
        <v>0</v>
      </c>
      <c r="V206" s="141" t="e">
        <f t="shared" ca="1" si="72"/>
        <v>#VALUE!</v>
      </c>
      <c r="W206" s="141" t="e">
        <f t="shared" ca="1" si="77"/>
        <v>#VALUE!</v>
      </c>
      <c r="X206" s="141" t="e">
        <f t="shared" ca="1" si="73"/>
        <v>#VALUE!</v>
      </c>
      <c r="Y206" s="177" t="e">
        <f t="shared" ca="1" si="91"/>
        <v>#VALUE!</v>
      </c>
      <c r="Z206" s="178" t="e">
        <f t="shared" ca="1" si="74"/>
        <v>#VALUE!</v>
      </c>
      <c r="AA206" s="141">
        <v>179</v>
      </c>
    </row>
    <row r="207" spans="1:27" x14ac:dyDescent="0.35">
      <c r="A207" s="175" t="str">
        <f t="shared" si="78"/>
        <v/>
      </c>
      <c r="B207" s="172">
        <f t="shared" ca="1" si="75"/>
        <v>50674</v>
      </c>
      <c r="C207" s="172" t="str">
        <f t="shared" ca="1" si="76"/>
        <v xml:space="preserve"> </v>
      </c>
      <c r="D207" s="175" t="str">
        <f t="shared" si="82"/>
        <v/>
      </c>
      <c r="E207" s="173" t="e">
        <f t="shared" si="70"/>
        <v>#VALUE!</v>
      </c>
      <c r="F207" s="173" t="str">
        <f>IF(A206=$D$8,SUM(F$28:F206),IF(A206&gt;$D$8,"",G207+H207))</f>
        <v/>
      </c>
      <c r="G207" s="173" t="str">
        <f>IF(A206=$D$8,ROUND(SUM($G$28:G206),2),IF(A207&gt;$F$8,"",IF(W207&lt;&gt;W206,ROUND(SUM(Y207*$E$12*E206/W207,Z207*$E$12*E206/W206),2),ROUND(E206*$E$12*D207/W206,2))))</f>
        <v/>
      </c>
      <c r="H207" s="173" t="str">
        <f>IF(AND(A206="",A208=""),"",IF(A207="",ROUND(SUM($H$28:H206),2),IF(A207=$D$8,$H$27-ROUND(SUM($H$28:H206),2),ROUND($H$27/$D$8,2))))</f>
        <v/>
      </c>
      <c r="I207" s="173" t="str">
        <f t="shared" si="83"/>
        <v/>
      </c>
      <c r="J207" s="173" t="str">
        <f t="shared" si="84"/>
        <v/>
      </c>
      <c r="K207" s="173" t="str">
        <f t="shared" si="92"/>
        <v/>
      </c>
      <c r="L207" s="173" t="str">
        <f t="shared" si="85"/>
        <v/>
      </c>
      <c r="M207" s="173" t="str">
        <f t="shared" si="87"/>
        <v/>
      </c>
      <c r="N207" s="173" t="str">
        <f t="shared" si="88"/>
        <v/>
      </c>
      <c r="O207" s="173" t="str">
        <f t="shared" si="89"/>
        <v/>
      </c>
      <c r="P207" s="173" t="str">
        <f t="shared" si="81"/>
        <v/>
      </c>
      <c r="Q207" s="173" t="str">
        <f t="shared" si="94"/>
        <v/>
      </c>
      <c r="R207" s="173" t="str">
        <f t="shared" si="86"/>
        <v/>
      </c>
      <c r="S207" s="176" t="str">
        <f>IF(A206=$D$8,XIRR(U$27:U206,C$27:C206),"")</f>
        <v/>
      </c>
      <c r="T207" s="173" t="str">
        <f t="shared" si="71"/>
        <v/>
      </c>
      <c r="U207" s="173">
        <f t="shared" si="79"/>
        <v>0</v>
      </c>
      <c r="V207" s="141" t="e">
        <f t="shared" ca="1" si="72"/>
        <v>#VALUE!</v>
      </c>
      <c r="W207" s="141" t="e">
        <f t="shared" ca="1" si="77"/>
        <v>#VALUE!</v>
      </c>
      <c r="X207" s="141" t="e">
        <f t="shared" ca="1" si="73"/>
        <v>#VALUE!</v>
      </c>
      <c r="Y207" s="177" t="e">
        <f t="shared" ca="1" si="91"/>
        <v>#VALUE!</v>
      </c>
      <c r="Z207" s="178" t="e">
        <f t="shared" ca="1" si="74"/>
        <v>#VALUE!</v>
      </c>
      <c r="AA207" s="141">
        <v>180</v>
      </c>
    </row>
    <row r="208" spans="1:27" x14ac:dyDescent="0.35">
      <c r="A208" s="175" t="str">
        <f t="shared" si="78"/>
        <v/>
      </c>
      <c r="B208" s="172">
        <f t="shared" ca="1" si="75"/>
        <v>50704</v>
      </c>
      <c r="C208" s="172" t="str">
        <f t="shared" ca="1" si="76"/>
        <v xml:space="preserve"> </v>
      </c>
      <c r="D208" s="175" t="str">
        <f t="shared" si="82"/>
        <v/>
      </c>
      <c r="E208" s="173" t="e">
        <f t="shared" si="70"/>
        <v>#VALUE!</v>
      </c>
      <c r="F208" s="173" t="str">
        <f>IF(A207=$D$8,SUM(F$28:F207),IF(A207&gt;$D$8,"",G208+H208))</f>
        <v/>
      </c>
      <c r="G208" s="173" t="str">
        <f>IF(A207=$D$8,ROUND(SUM($G$28:G207),2),IF(A208&gt;$F$8,"",IF(W208&lt;&gt;W207,ROUND(SUM(Y208*$E$12*E207/W208,Z208*$E$12*E207/W207),2),ROUND(E207*$E$12*D208/W207,2))))</f>
        <v/>
      </c>
      <c r="H208" s="173" t="str">
        <f>IF(AND(A207="",A209=""),"",IF(A208="",ROUND(SUM($H$28:H207),2),IF(A208=$D$8,$H$27-ROUND(SUM($H$28:H207),2),ROUND($H$27/$D$8,2))))</f>
        <v/>
      </c>
      <c r="I208" s="173" t="str">
        <f t="shared" si="83"/>
        <v/>
      </c>
      <c r="J208" s="173" t="str">
        <f t="shared" si="84"/>
        <v/>
      </c>
      <c r="K208" s="173" t="str">
        <f>IF($F$8&gt;180,($R$14),IF(A207=$F$8,K196+K184+K172+K160+K148+K136+K124+K112+K100+K88+K76+K64+K52+K40+K27,""))</f>
        <v/>
      </c>
      <c r="L208" s="173" t="str">
        <f t="shared" si="85"/>
        <v/>
      </c>
      <c r="M208" s="173" t="str">
        <f t="shared" si="87"/>
        <v/>
      </c>
      <c r="N208" s="173" t="str">
        <f t="shared" si="88"/>
        <v/>
      </c>
      <c r="O208" s="173" t="str">
        <f t="shared" si="89"/>
        <v/>
      </c>
      <c r="P208" s="173" t="str">
        <f t="shared" si="81"/>
        <v/>
      </c>
      <c r="Q208" s="173" t="str">
        <f>IF($F$8&gt;180,($S$8+$S$10),IF($A207=$F$8,$Q$40+$Q$27+$Q$52+$Q$64+$Q$76+$Q$88+$Q$100+$Q$112+$Q$124+$Q$136+$Q$148+$Q$160+$Q$172+$Q$196+$Q$184,""))</f>
        <v/>
      </c>
      <c r="R208" s="173" t="str">
        <f t="shared" si="86"/>
        <v/>
      </c>
      <c r="S208" s="176" t="str">
        <f>IF(A207=$D$8,XIRR(U$27:U207,C$27:C207),"")</f>
        <v/>
      </c>
      <c r="T208" s="173" t="str">
        <f t="shared" si="71"/>
        <v/>
      </c>
      <c r="U208" s="173">
        <f t="shared" si="79"/>
        <v>0</v>
      </c>
      <c r="V208" s="141" t="e">
        <f t="shared" ca="1" si="72"/>
        <v>#VALUE!</v>
      </c>
      <c r="W208" s="141" t="e">
        <f t="shared" ca="1" si="77"/>
        <v>#VALUE!</v>
      </c>
      <c r="X208" s="141" t="e">
        <f t="shared" ca="1" si="73"/>
        <v>#VALUE!</v>
      </c>
      <c r="Y208" s="177" t="e">
        <f t="shared" ca="1" si="91"/>
        <v>#VALUE!</v>
      </c>
      <c r="Z208" s="178" t="e">
        <f t="shared" ca="1" si="74"/>
        <v>#VALUE!</v>
      </c>
      <c r="AA208" s="141">
        <v>181</v>
      </c>
    </row>
    <row r="209" spans="1:27" x14ac:dyDescent="0.35">
      <c r="A209" s="175" t="str">
        <f t="shared" si="78"/>
        <v/>
      </c>
      <c r="B209" s="172">
        <f t="shared" ca="1" si="75"/>
        <v>50735</v>
      </c>
      <c r="C209" s="172" t="str">
        <f t="shared" ca="1" si="76"/>
        <v xml:space="preserve"> </v>
      </c>
      <c r="D209" s="175" t="str">
        <f t="shared" si="82"/>
        <v/>
      </c>
      <c r="E209" s="173" t="e">
        <f t="shared" si="70"/>
        <v>#VALUE!</v>
      </c>
      <c r="F209" s="173" t="str">
        <f>IF(A208=$D$8,SUM(F$28:F208),IF(A208&gt;$D$8,"",G209+H209))</f>
        <v/>
      </c>
      <c r="G209" s="173" t="str">
        <f>IF(A208=$D$8,ROUND(SUM($G$28:G208),2),IF(A209&gt;$F$8,"",IF(W209&lt;&gt;W208,ROUND(SUM(Y209*$E$12*E208/W209,Z209*$E$12*E208/W208),2),ROUND(E208*$E$12*D209/W208,2))))</f>
        <v/>
      </c>
      <c r="H209" s="173" t="str">
        <f>IF(AND(A208="",A210=""),"",IF(A209="",ROUND(SUM($H$28:H208),2),IF(A209=$D$8,$H$27-ROUND(SUM($H$28:H208),2),ROUND($H$27/$D$8,2))))</f>
        <v/>
      </c>
      <c r="I209" s="173" t="str">
        <f t="shared" si="83"/>
        <v/>
      </c>
      <c r="J209" s="173" t="str">
        <f t="shared" si="84"/>
        <v/>
      </c>
      <c r="K209" s="173" t="str">
        <f t="shared" si="92"/>
        <v/>
      </c>
      <c r="L209" s="173" t="str">
        <f t="shared" si="85"/>
        <v/>
      </c>
      <c r="M209" s="173" t="str">
        <f t="shared" si="87"/>
        <v/>
      </c>
      <c r="N209" s="173" t="str">
        <f t="shared" si="88"/>
        <v/>
      </c>
      <c r="O209" s="173" t="str">
        <f t="shared" si="89"/>
        <v/>
      </c>
      <c r="P209" s="173" t="str">
        <f t="shared" si="81"/>
        <v/>
      </c>
      <c r="Q209" s="173" t="str">
        <f t="shared" ref="Q209:Q219" si="95">IF(A208=$D$8,$Q$27,"")</f>
        <v/>
      </c>
      <c r="R209" s="173" t="str">
        <f t="shared" si="86"/>
        <v/>
      </c>
      <c r="S209" s="176" t="str">
        <f>IF(A208=$D$8,XIRR(U$27:U208,C$27:C208),"")</f>
        <v/>
      </c>
      <c r="T209" s="173" t="str">
        <f t="shared" si="71"/>
        <v/>
      </c>
      <c r="U209" s="173">
        <f t="shared" si="79"/>
        <v>0</v>
      </c>
      <c r="V209" s="141" t="e">
        <f t="shared" ca="1" si="72"/>
        <v>#VALUE!</v>
      </c>
      <c r="W209" s="141" t="e">
        <f t="shared" ca="1" si="77"/>
        <v>#VALUE!</v>
      </c>
      <c r="X209" s="141" t="e">
        <f t="shared" ca="1" si="73"/>
        <v>#VALUE!</v>
      </c>
      <c r="Y209" s="177" t="e">
        <f t="shared" ca="1" si="91"/>
        <v>#VALUE!</v>
      </c>
      <c r="Z209" s="178" t="e">
        <f t="shared" ca="1" si="74"/>
        <v>#VALUE!</v>
      </c>
      <c r="AA209" s="141">
        <v>182</v>
      </c>
    </row>
    <row r="210" spans="1:27" x14ac:dyDescent="0.35">
      <c r="A210" s="175" t="str">
        <f t="shared" si="78"/>
        <v/>
      </c>
      <c r="B210" s="172">
        <f t="shared" ca="1" si="75"/>
        <v>50765</v>
      </c>
      <c r="C210" s="172" t="str">
        <f t="shared" ca="1" si="76"/>
        <v xml:space="preserve"> </v>
      </c>
      <c r="D210" s="175" t="str">
        <f t="shared" si="82"/>
        <v/>
      </c>
      <c r="E210" s="173" t="e">
        <f t="shared" si="70"/>
        <v>#VALUE!</v>
      </c>
      <c r="F210" s="173" t="str">
        <f>IF(A209=$D$8,SUM(F$28:F209),IF(A209&gt;$D$8,"",G210+H210))</f>
        <v/>
      </c>
      <c r="G210" s="173" t="str">
        <f>IF(A209=$D$8,ROUND(SUM($G$28:G209),2),IF(A210&gt;$F$8,"",IF(W210&lt;&gt;W209,ROUND(SUM(Y210*$E$12*E209/W210,Z210*$E$12*E209/W209),2),ROUND(E209*$E$12*D210/W209,2))))</f>
        <v/>
      </c>
      <c r="H210" s="173" t="str">
        <f>IF(AND(A209="",A211=""),"",IF(A210="",ROUND(SUM($H$28:H209),2),IF(A210=$D$8,$H$27-ROUND(SUM($H$28:H209),2),ROUND($H$27/$D$8,2))))</f>
        <v/>
      </c>
      <c r="I210" s="173" t="str">
        <f t="shared" si="83"/>
        <v/>
      </c>
      <c r="J210" s="173" t="str">
        <f t="shared" si="84"/>
        <v/>
      </c>
      <c r="K210" s="173" t="str">
        <f t="shared" si="92"/>
        <v/>
      </c>
      <c r="L210" s="173" t="str">
        <f t="shared" si="85"/>
        <v/>
      </c>
      <c r="M210" s="173" t="str">
        <f t="shared" si="87"/>
        <v/>
      </c>
      <c r="N210" s="173" t="str">
        <f t="shared" si="88"/>
        <v/>
      </c>
      <c r="O210" s="173" t="str">
        <f t="shared" si="89"/>
        <v/>
      </c>
      <c r="P210" s="173" t="str">
        <f t="shared" si="81"/>
        <v/>
      </c>
      <c r="Q210" s="173" t="str">
        <f t="shared" si="95"/>
        <v/>
      </c>
      <c r="R210" s="173" t="str">
        <f t="shared" si="86"/>
        <v/>
      </c>
      <c r="S210" s="176" t="str">
        <f>IF(A209=$D$8,XIRR(U$27:U209,C$27:C209),"")</f>
        <v/>
      </c>
      <c r="T210" s="173" t="str">
        <f t="shared" si="71"/>
        <v/>
      </c>
      <c r="U210" s="173">
        <f t="shared" si="79"/>
        <v>0</v>
      </c>
      <c r="V210" s="141" t="e">
        <f t="shared" ca="1" si="72"/>
        <v>#VALUE!</v>
      </c>
      <c r="W210" s="141" t="e">
        <f t="shared" ca="1" si="77"/>
        <v>#VALUE!</v>
      </c>
      <c r="X210" s="141" t="e">
        <f t="shared" ca="1" si="73"/>
        <v>#VALUE!</v>
      </c>
      <c r="Y210" s="177" t="e">
        <f t="shared" ca="1" si="91"/>
        <v>#VALUE!</v>
      </c>
      <c r="Z210" s="178" t="e">
        <f t="shared" ca="1" si="74"/>
        <v>#VALUE!</v>
      </c>
      <c r="AA210" s="141">
        <v>183</v>
      </c>
    </row>
    <row r="211" spans="1:27" x14ac:dyDescent="0.35">
      <c r="A211" s="175" t="str">
        <f t="shared" si="78"/>
        <v/>
      </c>
      <c r="B211" s="172">
        <f t="shared" ca="1" si="75"/>
        <v>50796</v>
      </c>
      <c r="C211" s="172" t="str">
        <f t="shared" ca="1" si="76"/>
        <v xml:space="preserve"> </v>
      </c>
      <c r="D211" s="175" t="str">
        <f t="shared" si="82"/>
        <v/>
      </c>
      <c r="E211" s="173" t="e">
        <f t="shared" si="70"/>
        <v>#VALUE!</v>
      </c>
      <c r="F211" s="173" t="str">
        <f>IF(A210=$D$8,SUM(F$28:F210),IF(A210&gt;$D$8,"",G211+H211))</f>
        <v/>
      </c>
      <c r="G211" s="173" t="str">
        <f>IF(A210=$D$8,ROUND(SUM($G$28:G210),2),IF(A211&gt;$F$8,"",IF(W211&lt;&gt;W210,ROUND(SUM(Y211*$E$12*E210/W211,Z211*$E$12*E210/W210),2),ROUND(E210*$E$12*D211/W210,2))))</f>
        <v/>
      </c>
      <c r="H211" s="173" t="str">
        <f>IF(AND(A210="",A212=""),"",IF(A211="",ROUND(SUM($H$28:H210),2),IF(A211=$D$8,$H$27-ROUND(SUM($H$28:H210),2),ROUND($H$27/$D$8,2))))</f>
        <v/>
      </c>
      <c r="I211" s="173" t="str">
        <f t="shared" si="83"/>
        <v/>
      </c>
      <c r="J211" s="173" t="str">
        <f t="shared" si="84"/>
        <v/>
      </c>
      <c r="K211" s="173" t="str">
        <f t="shared" si="92"/>
        <v/>
      </c>
      <c r="L211" s="173" t="str">
        <f t="shared" si="85"/>
        <v/>
      </c>
      <c r="M211" s="173" t="str">
        <f t="shared" si="87"/>
        <v/>
      </c>
      <c r="N211" s="173" t="str">
        <f t="shared" si="88"/>
        <v/>
      </c>
      <c r="O211" s="173" t="str">
        <f t="shared" si="89"/>
        <v/>
      </c>
      <c r="P211" s="173" t="str">
        <f t="shared" si="81"/>
        <v/>
      </c>
      <c r="Q211" s="173" t="str">
        <f t="shared" si="95"/>
        <v/>
      </c>
      <c r="R211" s="173" t="str">
        <f t="shared" si="86"/>
        <v/>
      </c>
      <c r="S211" s="176" t="str">
        <f>IF(A210=$D$8,XIRR(U$27:U210,C$27:C210),"")</f>
        <v/>
      </c>
      <c r="T211" s="173" t="str">
        <f t="shared" si="71"/>
        <v/>
      </c>
      <c r="U211" s="173">
        <f t="shared" si="79"/>
        <v>0</v>
      </c>
      <c r="V211" s="141" t="e">
        <f t="shared" ca="1" si="72"/>
        <v>#VALUE!</v>
      </c>
      <c r="W211" s="141" t="e">
        <f t="shared" ca="1" si="77"/>
        <v>#VALUE!</v>
      </c>
      <c r="X211" s="141" t="e">
        <f t="shared" ca="1" si="73"/>
        <v>#VALUE!</v>
      </c>
      <c r="Y211" s="177" t="e">
        <f t="shared" ca="1" si="91"/>
        <v>#VALUE!</v>
      </c>
      <c r="Z211" s="178" t="e">
        <f t="shared" ca="1" si="74"/>
        <v>#VALUE!</v>
      </c>
      <c r="AA211" s="141">
        <v>184</v>
      </c>
    </row>
    <row r="212" spans="1:27" x14ac:dyDescent="0.35">
      <c r="A212" s="175" t="str">
        <f t="shared" si="78"/>
        <v/>
      </c>
      <c r="B212" s="172">
        <f t="shared" ca="1" si="75"/>
        <v>50827</v>
      </c>
      <c r="C212" s="172" t="str">
        <f t="shared" ca="1" si="76"/>
        <v xml:space="preserve"> </v>
      </c>
      <c r="D212" s="175" t="str">
        <f t="shared" si="82"/>
        <v/>
      </c>
      <c r="E212" s="173" t="e">
        <f t="shared" si="70"/>
        <v>#VALUE!</v>
      </c>
      <c r="F212" s="173" t="str">
        <f>IF(A211=$D$8,SUM(F$28:F211),IF(A211&gt;$D$8,"",G212+H212))</f>
        <v/>
      </c>
      <c r="G212" s="173" t="str">
        <f>IF(A211=$D$8,ROUND(SUM($G$28:G211),2),IF(A212&gt;$F$8,"",IF(W212&lt;&gt;W211,ROUND(SUM(Y212*$E$12*E211/W212,Z212*$E$12*E211/W211),2),ROUND(E211*$E$12*D212/W211,2))))</f>
        <v/>
      </c>
      <c r="H212" s="173" t="str">
        <f>IF(AND(A211="",A213=""),"",IF(A212="",ROUND(SUM($H$28:H211),2),IF(A212=$D$8,$H$27-ROUND(SUM($H$28:H211),2),ROUND($H$27/$D$8,2))))</f>
        <v/>
      </c>
      <c r="I212" s="173" t="str">
        <f t="shared" si="83"/>
        <v/>
      </c>
      <c r="J212" s="173" t="str">
        <f t="shared" si="84"/>
        <v/>
      </c>
      <c r="K212" s="173" t="str">
        <f t="shared" si="92"/>
        <v/>
      </c>
      <c r="L212" s="173" t="str">
        <f t="shared" si="85"/>
        <v/>
      </c>
      <c r="M212" s="173" t="str">
        <f t="shared" si="87"/>
        <v/>
      </c>
      <c r="N212" s="173" t="str">
        <f t="shared" si="88"/>
        <v/>
      </c>
      <c r="O212" s="173" t="str">
        <f t="shared" si="89"/>
        <v/>
      </c>
      <c r="P212" s="173" t="str">
        <f t="shared" si="81"/>
        <v/>
      </c>
      <c r="Q212" s="173" t="str">
        <f t="shared" si="95"/>
        <v/>
      </c>
      <c r="R212" s="173" t="str">
        <f t="shared" si="86"/>
        <v/>
      </c>
      <c r="S212" s="176" t="str">
        <f>IF(A211=$D$8,XIRR(U$27:U211,C$27:C211),"")</f>
        <v/>
      </c>
      <c r="T212" s="173" t="str">
        <f t="shared" si="71"/>
        <v/>
      </c>
      <c r="U212" s="173">
        <f t="shared" si="79"/>
        <v>0</v>
      </c>
      <c r="V212" s="141" t="e">
        <f t="shared" ca="1" si="72"/>
        <v>#VALUE!</v>
      </c>
      <c r="W212" s="141" t="e">
        <f t="shared" ca="1" si="77"/>
        <v>#VALUE!</v>
      </c>
      <c r="X212" s="141" t="e">
        <f t="shared" ca="1" si="73"/>
        <v>#VALUE!</v>
      </c>
      <c r="Y212" s="177" t="e">
        <f t="shared" ca="1" si="91"/>
        <v>#VALUE!</v>
      </c>
      <c r="Z212" s="178" t="e">
        <f t="shared" ca="1" si="74"/>
        <v>#VALUE!</v>
      </c>
      <c r="AA212" s="141">
        <v>185</v>
      </c>
    </row>
    <row r="213" spans="1:27" x14ac:dyDescent="0.35">
      <c r="A213" s="175" t="str">
        <f t="shared" si="78"/>
        <v/>
      </c>
      <c r="B213" s="172">
        <f t="shared" ca="1" si="75"/>
        <v>50855</v>
      </c>
      <c r="C213" s="172" t="str">
        <f t="shared" ca="1" si="76"/>
        <v xml:space="preserve"> </v>
      </c>
      <c r="D213" s="175" t="str">
        <f t="shared" si="82"/>
        <v/>
      </c>
      <c r="E213" s="173" t="e">
        <f t="shared" si="70"/>
        <v>#VALUE!</v>
      </c>
      <c r="F213" s="173" t="str">
        <f>IF(A212=$D$8,SUM(F$28:F212),IF(A212&gt;$D$8,"",G213+H213))</f>
        <v/>
      </c>
      <c r="G213" s="173" t="str">
        <f>IF(A212=$D$8,ROUND(SUM($G$28:G212),2),IF(A213&gt;$F$8,"",IF(W213&lt;&gt;W212,ROUND(SUM(Y213*$E$12*E212/W213,Z213*$E$12*E212/W212),2),ROUND(E212*$E$12*D213/W212,2))))</f>
        <v/>
      </c>
      <c r="H213" s="173" t="str">
        <f>IF(AND(A212="",A214=""),"",IF(A213="",ROUND(SUM($H$28:H212),2),IF(A213=$D$8,$H$27-ROUND(SUM($H$28:H212),2),ROUND($H$27/$D$8,2))))</f>
        <v/>
      </c>
      <c r="I213" s="173" t="str">
        <f t="shared" si="83"/>
        <v/>
      </c>
      <c r="J213" s="173" t="str">
        <f t="shared" si="84"/>
        <v/>
      </c>
      <c r="K213" s="173" t="str">
        <f t="shared" si="92"/>
        <v/>
      </c>
      <c r="L213" s="173" t="str">
        <f t="shared" si="85"/>
        <v/>
      </c>
      <c r="M213" s="173" t="str">
        <f t="shared" si="87"/>
        <v/>
      </c>
      <c r="N213" s="173" t="str">
        <f t="shared" si="88"/>
        <v/>
      </c>
      <c r="O213" s="173" t="str">
        <f t="shared" si="89"/>
        <v/>
      </c>
      <c r="P213" s="173" t="str">
        <f t="shared" si="81"/>
        <v/>
      </c>
      <c r="Q213" s="173" t="str">
        <f t="shared" si="95"/>
        <v/>
      </c>
      <c r="R213" s="173" t="str">
        <f t="shared" si="86"/>
        <v/>
      </c>
      <c r="S213" s="176" t="str">
        <f>IF(A212=$D$8,XIRR(U$27:U212,C$27:C212),"")</f>
        <v/>
      </c>
      <c r="T213" s="173" t="str">
        <f t="shared" si="71"/>
        <v/>
      </c>
      <c r="U213" s="173">
        <f t="shared" si="79"/>
        <v>0</v>
      </c>
      <c r="V213" s="141" t="e">
        <f t="shared" ca="1" si="72"/>
        <v>#VALUE!</v>
      </c>
      <c r="W213" s="141" t="e">
        <f t="shared" ca="1" si="77"/>
        <v>#VALUE!</v>
      </c>
      <c r="X213" s="141" t="e">
        <f t="shared" ca="1" si="73"/>
        <v>#VALUE!</v>
      </c>
      <c r="Y213" s="177" t="e">
        <f t="shared" ca="1" si="91"/>
        <v>#VALUE!</v>
      </c>
      <c r="Z213" s="178" t="e">
        <f t="shared" ca="1" si="74"/>
        <v>#VALUE!</v>
      </c>
      <c r="AA213" s="141">
        <v>186</v>
      </c>
    </row>
    <row r="214" spans="1:27" x14ac:dyDescent="0.35">
      <c r="A214" s="175" t="str">
        <f t="shared" si="78"/>
        <v/>
      </c>
      <c r="B214" s="172">
        <f t="shared" ca="1" si="75"/>
        <v>50886</v>
      </c>
      <c r="C214" s="172" t="str">
        <f t="shared" ca="1" si="76"/>
        <v xml:space="preserve"> </v>
      </c>
      <c r="D214" s="175" t="str">
        <f t="shared" si="82"/>
        <v/>
      </c>
      <c r="E214" s="173" t="e">
        <f t="shared" si="70"/>
        <v>#VALUE!</v>
      </c>
      <c r="F214" s="173" t="str">
        <f>IF(A213=$D$8,SUM(F$28:F213),IF(A213&gt;$D$8,"",G214+H214))</f>
        <v/>
      </c>
      <c r="G214" s="173" t="str">
        <f>IF(A213=$D$8,ROUND(SUM($G$28:G213),2),IF(A214&gt;$F$8,"",IF(W214&lt;&gt;W213,ROUND(SUM(Y214*$E$12*E213/W214,Z214*$E$12*E213/W213),2),ROUND(E213*$E$12*D214/W213,2))))</f>
        <v/>
      </c>
      <c r="H214" s="173" t="str">
        <f>IF(AND(A213="",A215=""),"",IF(A214="",ROUND(SUM($H$28:H213),2),IF(A214=$D$8,$H$27-ROUND(SUM($H$28:H213),2),ROUND($H$27/$D$8,2))))</f>
        <v/>
      </c>
      <c r="I214" s="173" t="str">
        <f t="shared" si="83"/>
        <v/>
      </c>
      <c r="J214" s="173" t="str">
        <f t="shared" si="84"/>
        <v/>
      </c>
      <c r="K214" s="173" t="str">
        <f t="shared" si="92"/>
        <v/>
      </c>
      <c r="L214" s="173" t="str">
        <f t="shared" si="85"/>
        <v/>
      </c>
      <c r="M214" s="173" t="str">
        <f t="shared" si="87"/>
        <v/>
      </c>
      <c r="N214" s="173" t="str">
        <f t="shared" si="88"/>
        <v/>
      </c>
      <c r="O214" s="173" t="str">
        <f t="shared" si="89"/>
        <v/>
      </c>
      <c r="P214" s="173" t="str">
        <f t="shared" si="81"/>
        <v/>
      </c>
      <c r="Q214" s="173" t="str">
        <f t="shared" si="95"/>
        <v/>
      </c>
      <c r="R214" s="173" t="str">
        <f t="shared" si="86"/>
        <v/>
      </c>
      <c r="S214" s="176" t="str">
        <f>IF(A213=$D$8,XIRR(U$27:U213,C$27:C213),"")</f>
        <v/>
      </c>
      <c r="T214" s="173" t="str">
        <f t="shared" si="71"/>
        <v/>
      </c>
      <c r="U214" s="173">
        <f t="shared" si="79"/>
        <v>0</v>
      </c>
      <c r="V214" s="141" t="e">
        <f t="shared" ca="1" si="72"/>
        <v>#VALUE!</v>
      </c>
      <c r="W214" s="141" t="e">
        <f t="shared" ca="1" si="77"/>
        <v>#VALUE!</v>
      </c>
      <c r="X214" s="141" t="e">
        <f t="shared" ca="1" si="73"/>
        <v>#VALUE!</v>
      </c>
      <c r="Y214" s="177" t="e">
        <f t="shared" ca="1" si="91"/>
        <v>#VALUE!</v>
      </c>
      <c r="Z214" s="178" t="e">
        <f t="shared" ca="1" si="74"/>
        <v>#VALUE!</v>
      </c>
      <c r="AA214" s="141">
        <v>187</v>
      </c>
    </row>
    <row r="215" spans="1:27" x14ac:dyDescent="0.35">
      <c r="A215" s="175" t="str">
        <f t="shared" si="78"/>
        <v/>
      </c>
      <c r="B215" s="172">
        <f t="shared" ca="1" si="75"/>
        <v>50916</v>
      </c>
      <c r="C215" s="172" t="str">
        <f t="shared" ca="1" si="76"/>
        <v xml:space="preserve"> </v>
      </c>
      <c r="D215" s="175" t="str">
        <f t="shared" si="82"/>
        <v/>
      </c>
      <c r="E215" s="173" t="e">
        <f t="shared" si="70"/>
        <v>#VALUE!</v>
      </c>
      <c r="F215" s="173" t="str">
        <f>IF(A214=$D$8,SUM(F$28:F214),IF(A214&gt;$D$8,"",G215+H215))</f>
        <v/>
      </c>
      <c r="G215" s="173" t="str">
        <f>IF(A214=$D$8,ROUND(SUM($G$28:G214),2),IF(A215&gt;$F$8,"",IF(W215&lt;&gt;W214,ROUND(SUM(Y215*$E$12*E214/W215,Z215*$E$12*E214/W214),2),ROUND(E214*$E$12*D215/W214,2))))</f>
        <v/>
      </c>
      <c r="H215" s="173" t="str">
        <f>IF(AND(A214="",A216=""),"",IF(A215="",ROUND(SUM($H$28:H214),2),IF(A215=$D$8,$H$27-ROUND(SUM($H$28:H214),2),ROUND($H$27/$D$8,2))))</f>
        <v/>
      </c>
      <c r="I215" s="173" t="str">
        <f t="shared" si="83"/>
        <v/>
      </c>
      <c r="J215" s="173" t="str">
        <f t="shared" si="84"/>
        <v/>
      </c>
      <c r="K215" s="173" t="str">
        <f t="shared" si="92"/>
        <v/>
      </c>
      <c r="L215" s="173" t="str">
        <f t="shared" si="85"/>
        <v/>
      </c>
      <c r="M215" s="173" t="str">
        <f t="shared" si="87"/>
        <v/>
      </c>
      <c r="N215" s="173" t="str">
        <f t="shared" si="88"/>
        <v/>
      </c>
      <c r="O215" s="173" t="str">
        <f t="shared" si="89"/>
        <v/>
      </c>
      <c r="P215" s="173" t="str">
        <f t="shared" si="81"/>
        <v/>
      </c>
      <c r="Q215" s="173" t="str">
        <f t="shared" si="95"/>
        <v/>
      </c>
      <c r="R215" s="173" t="str">
        <f t="shared" si="86"/>
        <v/>
      </c>
      <c r="S215" s="176" t="str">
        <f>IF(A214=$D$8,XIRR(U$27:U214,C$27:C214),"")</f>
        <v/>
      </c>
      <c r="T215" s="173" t="str">
        <f t="shared" si="71"/>
        <v/>
      </c>
      <c r="U215" s="173">
        <f t="shared" si="79"/>
        <v>0</v>
      </c>
      <c r="V215" s="141" t="e">
        <f t="shared" ca="1" si="72"/>
        <v>#VALUE!</v>
      </c>
      <c r="W215" s="141" t="e">
        <f t="shared" ca="1" si="77"/>
        <v>#VALUE!</v>
      </c>
      <c r="X215" s="141" t="e">
        <f t="shared" ca="1" si="73"/>
        <v>#VALUE!</v>
      </c>
      <c r="Y215" s="177" t="e">
        <f t="shared" ca="1" si="91"/>
        <v>#VALUE!</v>
      </c>
      <c r="Z215" s="178" t="e">
        <f t="shared" ca="1" si="74"/>
        <v>#VALUE!</v>
      </c>
      <c r="AA215" s="141">
        <v>188</v>
      </c>
    </row>
    <row r="216" spans="1:27" x14ac:dyDescent="0.35">
      <c r="A216" s="175" t="str">
        <f t="shared" si="78"/>
        <v/>
      </c>
      <c r="B216" s="172">
        <f t="shared" ca="1" si="75"/>
        <v>50947</v>
      </c>
      <c r="C216" s="172" t="str">
        <f t="shared" ca="1" si="76"/>
        <v xml:space="preserve"> </v>
      </c>
      <c r="D216" s="175" t="str">
        <f t="shared" si="82"/>
        <v/>
      </c>
      <c r="E216" s="173" t="e">
        <f t="shared" si="70"/>
        <v>#VALUE!</v>
      </c>
      <c r="F216" s="173" t="str">
        <f>IF(A215=$D$8,SUM(F$28:F215),IF(A215&gt;$D$8,"",G216+H216))</f>
        <v/>
      </c>
      <c r="G216" s="173" t="str">
        <f>IF(A215=$D$8,ROUND(SUM($G$28:G215),2),IF(A216&gt;$F$8,"",IF(W216&lt;&gt;W215,ROUND(SUM(Y216*$E$12*E215/W216,Z216*$E$12*E215/W215),2),ROUND(E215*$E$12*D216/W215,2))))</f>
        <v/>
      </c>
      <c r="H216" s="173" t="str">
        <f>IF(AND(A215="",A217=""),"",IF(A216="",ROUND(SUM($H$28:H215),2),IF(A216=$D$8,$H$27-ROUND(SUM($H$28:H215),2),ROUND($H$27/$D$8,2))))</f>
        <v/>
      </c>
      <c r="I216" s="173" t="str">
        <f t="shared" si="83"/>
        <v/>
      </c>
      <c r="J216" s="173" t="str">
        <f t="shared" si="84"/>
        <v/>
      </c>
      <c r="K216" s="173" t="str">
        <f t="shared" si="92"/>
        <v/>
      </c>
      <c r="L216" s="173" t="str">
        <f t="shared" si="85"/>
        <v/>
      </c>
      <c r="M216" s="173" t="str">
        <f t="shared" si="87"/>
        <v/>
      </c>
      <c r="N216" s="173" t="str">
        <f t="shared" si="88"/>
        <v/>
      </c>
      <c r="O216" s="173" t="str">
        <f t="shared" si="89"/>
        <v/>
      </c>
      <c r="P216" s="173" t="str">
        <f t="shared" si="81"/>
        <v/>
      </c>
      <c r="Q216" s="173" t="str">
        <f t="shared" si="95"/>
        <v/>
      </c>
      <c r="R216" s="173" t="str">
        <f t="shared" si="86"/>
        <v/>
      </c>
      <c r="S216" s="176" t="str">
        <f>IF(A215=$D$8,XIRR(U$27:U215,C$27:C215),"")</f>
        <v/>
      </c>
      <c r="T216" s="173" t="str">
        <f t="shared" si="71"/>
        <v/>
      </c>
      <c r="U216" s="173">
        <f t="shared" si="79"/>
        <v>0</v>
      </c>
      <c r="V216" s="141" t="e">
        <f t="shared" ca="1" si="72"/>
        <v>#VALUE!</v>
      </c>
      <c r="W216" s="141" t="e">
        <f t="shared" ca="1" si="77"/>
        <v>#VALUE!</v>
      </c>
      <c r="X216" s="141" t="e">
        <f t="shared" ca="1" si="73"/>
        <v>#VALUE!</v>
      </c>
      <c r="Y216" s="177" t="e">
        <f t="shared" ca="1" si="91"/>
        <v>#VALUE!</v>
      </c>
      <c r="Z216" s="178" t="e">
        <f t="shared" ca="1" si="74"/>
        <v>#VALUE!</v>
      </c>
      <c r="AA216" s="141">
        <v>189</v>
      </c>
    </row>
    <row r="217" spans="1:27" x14ac:dyDescent="0.35">
      <c r="A217" s="175" t="str">
        <f t="shared" si="78"/>
        <v/>
      </c>
      <c r="B217" s="172">
        <f t="shared" ca="1" si="75"/>
        <v>50977</v>
      </c>
      <c r="C217" s="172" t="str">
        <f t="shared" ca="1" si="76"/>
        <v xml:space="preserve"> </v>
      </c>
      <c r="D217" s="175" t="str">
        <f t="shared" si="82"/>
        <v/>
      </c>
      <c r="E217" s="173" t="e">
        <f t="shared" si="70"/>
        <v>#VALUE!</v>
      </c>
      <c r="F217" s="173" t="str">
        <f>IF(A216=$D$8,SUM(F$28:F216),IF(A216&gt;$D$8,"",G217+H217))</f>
        <v/>
      </c>
      <c r="G217" s="173" t="str">
        <f>IF(A216=$D$8,ROUND(SUM($G$28:G216),2),IF(A217&gt;$F$8,"",IF(W217&lt;&gt;W216,ROUND(SUM(Y217*$E$12*E216/W217,Z217*$E$12*E216/W216),2),ROUND(E216*$E$12*D217/W216,2))))</f>
        <v/>
      </c>
      <c r="H217" s="173" t="str">
        <f>IF(AND(A216="",A218=""),"",IF(A217="",ROUND(SUM($H$28:H216),2),IF(A217=$D$8,$H$27-ROUND(SUM($H$28:H216),2),ROUND($H$27/$D$8,2))))</f>
        <v/>
      </c>
      <c r="I217" s="173" t="str">
        <f t="shared" si="83"/>
        <v/>
      </c>
      <c r="J217" s="173" t="str">
        <f t="shared" si="84"/>
        <v/>
      </c>
      <c r="K217" s="173" t="str">
        <f t="shared" si="92"/>
        <v/>
      </c>
      <c r="L217" s="173" t="str">
        <f t="shared" si="85"/>
        <v/>
      </c>
      <c r="M217" s="173" t="str">
        <f t="shared" si="87"/>
        <v/>
      </c>
      <c r="N217" s="173" t="str">
        <f t="shared" si="88"/>
        <v/>
      </c>
      <c r="O217" s="173" t="str">
        <f t="shared" si="89"/>
        <v/>
      </c>
      <c r="P217" s="173" t="str">
        <f t="shared" si="81"/>
        <v/>
      </c>
      <c r="Q217" s="173" t="str">
        <f t="shared" si="95"/>
        <v/>
      </c>
      <c r="R217" s="173" t="str">
        <f t="shared" si="86"/>
        <v/>
      </c>
      <c r="S217" s="176" t="str">
        <f>IF(A216=$D$8,XIRR(U$27:U216,C$27:C216),"")</f>
        <v/>
      </c>
      <c r="T217" s="173" t="str">
        <f t="shared" si="71"/>
        <v/>
      </c>
      <c r="U217" s="173">
        <f t="shared" si="79"/>
        <v>0</v>
      </c>
      <c r="V217" s="141" t="e">
        <f t="shared" ca="1" si="72"/>
        <v>#VALUE!</v>
      </c>
      <c r="W217" s="141" t="e">
        <f t="shared" ca="1" si="77"/>
        <v>#VALUE!</v>
      </c>
      <c r="X217" s="141" t="e">
        <f t="shared" ca="1" si="73"/>
        <v>#VALUE!</v>
      </c>
      <c r="Y217" s="177" t="e">
        <f t="shared" ca="1" si="91"/>
        <v>#VALUE!</v>
      </c>
      <c r="Z217" s="178" t="e">
        <f t="shared" ca="1" si="74"/>
        <v>#VALUE!</v>
      </c>
      <c r="AA217" s="141">
        <v>190</v>
      </c>
    </row>
    <row r="218" spans="1:27" x14ac:dyDescent="0.35">
      <c r="A218" s="175" t="str">
        <f t="shared" si="78"/>
        <v/>
      </c>
      <c r="B218" s="172">
        <f t="shared" ca="1" si="75"/>
        <v>51008</v>
      </c>
      <c r="C218" s="172" t="str">
        <f t="shared" ca="1" si="76"/>
        <v xml:space="preserve"> </v>
      </c>
      <c r="D218" s="175" t="str">
        <f t="shared" si="82"/>
        <v/>
      </c>
      <c r="E218" s="173" t="e">
        <f t="shared" si="70"/>
        <v>#VALUE!</v>
      </c>
      <c r="F218" s="173" t="str">
        <f>IF(A217=$D$8,SUM(F$28:F217),IF(A217&gt;$D$8,"",G218+H218))</f>
        <v/>
      </c>
      <c r="G218" s="173" t="str">
        <f>IF(A217=$D$8,ROUND(SUM($G$28:G217),2),IF(A218&gt;$F$8,"",IF(W218&lt;&gt;W217,ROUND(SUM(Y218*$E$12*E217/W218,Z218*$E$12*E217/W217),2),ROUND(E217*$E$12*D218/W217,2))))</f>
        <v/>
      </c>
      <c r="H218" s="173" t="str">
        <f>IF(AND(A217="",A219=""),"",IF(A218="",ROUND(SUM($H$28:H217),2),IF(A218=$D$8,$H$27-ROUND(SUM($H$28:H217),2),ROUND($H$27/$D$8,2))))</f>
        <v/>
      </c>
      <c r="I218" s="173" t="str">
        <f t="shared" si="83"/>
        <v/>
      </c>
      <c r="J218" s="173" t="str">
        <f t="shared" si="84"/>
        <v/>
      </c>
      <c r="K218" s="173" t="str">
        <f t="shared" si="92"/>
        <v/>
      </c>
      <c r="L218" s="173" t="str">
        <f t="shared" si="85"/>
        <v/>
      </c>
      <c r="M218" s="173" t="str">
        <f t="shared" si="87"/>
        <v/>
      </c>
      <c r="N218" s="173" t="str">
        <f t="shared" si="88"/>
        <v/>
      </c>
      <c r="O218" s="173" t="str">
        <f t="shared" si="89"/>
        <v/>
      </c>
      <c r="P218" s="173" t="str">
        <f t="shared" si="81"/>
        <v/>
      </c>
      <c r="Q218" s="173" t="str">
        <f t="shared" si="95"/>
        <v/>
      </c>
      <c r="R218" s="173" t="str">
        <f t="shared" si="86"/>
        <v/>
      </c>
      <c r="S218" s="176" t="str">
        <f>IF(A217=$D$8,XIRR(U$27:U217,C$27:C217),"")</f>
        <v/>
      </c>
      <c r="T218" s="173" t="str">
        <f t="shared" si="71"/>
        <v/>
      </c>
      <c r="U218" s="173">
        <f t="shared" si="79"/>
        <v>0</v>
      </c>
      <c r="V218" s="141" t="e">
        <f t="shared" ca="1" si="72"/>
        <v>#VALUE!</v>
      </c>
      <c r="W218" s="141" t="e">
        <f t="shared" ca="1" si="77"/>
        <v>#VALUE!</v>
      </c>
      <c r="X218" s="141" t="e">
        <f t="shared" ca="1" si="73"/>
        <v>#VALUE!</v>
      </c>
      <c r="Y218" s="177" t="e">
        <f t="shared" ca="1" si="91"/>
        <v>#VALUE!</v>
      </c>
      <c r="Z218" s="178" t="e">
        <f t="shared" ca="1" si="74"/>
        <v>#VALUE!</v>
      </c>
      <c r="AA218" s="141">
        <v>191</v>
      </c>
    </row>
    <row r="219" spans="1:27" x14ac:dyDescent="0.35">
      <c r="A219" s="175" t="str">
        <f t="shared" si="78"/>
        <v/>
      </c>
      <c r="B219" s="172">
        <f t="shared" ca="1" si="75"/>
        <v>51039</v>
      </c>
      <c r="C219" s="172" t="str">
        <f t="shared" ca="1" si="76"/>
        <v xml:space="preserve"> </v>
      </c>
      <c r="D219" s="175" t="str">
        <f t="shared" si="82"/>
        <v/>
      </c>
      <c r="E219" s="173" t="e">
        <f t="shared" si="70"/>
        <v>#VALUE!</v>
      </c>
      <c r="F219" s="173" t="str">
        <f>IF(A218=$D$8,SUM(F$28:F218),IF(A218&gt;$D$8,"",G219+H219))</f>
        <v/>
      </c>
      <c r="G219" s="173" t="str">
        <f>IF(A218=$D$8,ROUND(SUM($G$28:G218),2),IF(A219&gt;$F$8,"",IF(W219&lt;&gt;W218,ROUND(SUM(Y219*$E$12*E218/W219,Z219*$E$12*E218/W218),2),ROUND(E218*$E$12*D219/W218,2))))</f>
        <v/>
      </c>
      <c r="H219" s="173" t="str">
        <f>IF(AND(A218="",A220=""),"",IF(A219="",ROUND(SUM($H$28:H218),2),IF(A219=$D$8,$H$27-ROUND(SUM($H$28:H218),2),ROUND($H$27/$D$8,2))))</f>
        <v/>
      </c>
      <c r="I219" s="173" t="str">
        <f t="shared" si="83"/>
        <v/>
      </c>
      <c r="J219" s="173" t="str">
        <f t="shared" si="84"/>
        <v/>
      </c>
      <c r="K219" s="173" t="str">
        <f t="shared" si="92"/>
        <v/>
      </c>
      <c r="L219" s="173" t="str">
        <f t="shared" si="85"/>
        <v/>
      </c>
      <c r="M219" s="173" t="str">
        <f t="shared" si="87"/>
        <v/>
      </c>
      <c r="N219" s="173" t="str">
        <f t="shared" si="88"/>
        <v/>
      </c>
      <c r="O219" s="173" t="str">
        <f t="shared" si="89"/>
        <v/>
      </c>
      <c r="P219" s="173" t="str">
        <f t="shared" si="81"/>
        <v/>
      </c>
      <c r="Q219" s="173" t="str">
        <f t="shared" si="95"/>
        <v/>
      </c>
      <c r="R219" s="173" t="str">
        <f t="shared" si="86"/>
        <v/>
      </c>
      <c r="S219" s="176" t="str">
        <f>IF(A218=$D$8,XIRR(U$27:U218,C$27:C218),"")</f>
        <v/>
      </c>
      <c r="T219" s="173" t="str">
        <f t="shared" si="71"/>
        <v/>
      </c>
      <c r="U219" s="173">
        <f t="shared" si="79"/>
        <v>0</v>
      </c>
      <c r="V219" s="141" t="e">
        <f t="shared" ca="1" si="72"/>
        <v>#VALUE!</v>
      </c>
      <c r="W219" s="141" t="e">
        <f t="shared" ca="1" si="77"/>
        <v>#VALUE!</v>
      </c>
      <c r="X219" s="141" t="e">
        <f t="shared" ca="1" si="73"/>
        <v>#VALUE!</v>
      </c>
      <c r="Y219" s="177" t="e">
        <f t="shared" ca="1" si="91"/>
        <v>#VALUE!</v>
      </c>
      <c r="Z219" s="178" t="e">
        <f t="shared" ca="1" si="74"/>
        <v>#VALUE!</v>
      </c>
      <c r="AA219" s="141">
        <v>192</v>
      </c>
    </row>
    <row r="220" spans="1:27" x14ac:dyDescent="0.35">
      <c r="A220" s="175" t="str">
        <f t="shared" si="78"/>
        <v/>
      </c>
      <c r="B220" s="172">
        <f t="shared" ca="1" si="75"/>
        <v>51069</v>
      </c>
      <c r="C220" s="172" t="str">
        <f t="shared" ca="1" si="76"/>
        <v xml:space="preserve"> </v>
      </c>
      <c r="D220" s="175" t="str">
        <f t="shared" si="82"/>
        <v/>
      </c>
      <c r="E220" s="173" t="e">
        <f t="shared" ref="E220:E267" si="96">E219-H220</f>
        <v>#VALUE!</v>
      </c>
      <c r="F220" s="173" t="str">
        <f>IF(A219=$D$8,SUM(F$28:F219),IF(A219&gt;$D$8,"",G220+H220))</f>
        <v/>
      </c>
      <c r="G220" s="173" t="str">
        <f>IF(A219=$D$8,ROUND(SUM($G$28:G219),2),IF(A220&gt;$F$8,"",IF(W220&lt;&gt;W219,ROUND(SUM(Y220*$E$12*E219/W220,Z220*$E$12*E219/W219),2),ROUND(E219*$E$12*D220/W219,2))))</f>
        <v/>
      </c>
      <c r="H220" s="173" t="str">
        <f>IF(AND(A219="",A221=""),"",IF(A220="",ROUND(SUM($H$28:H219),2),IF(A220=$D$8,$H$27-ROUND(SUM($H$28:H219),2),ROUND($H$27/$D$8,2))))</f>
        <v/>
      </c>
      <c r="I220" s="173" t="str">
        <f t="shared" si="83"/>
        <v/>
      </c>
      <c r="J220" s="173" t="str">
        <f t="shared" si="84"/>
        <v/>
      </c>
      <c r="K220" s="173" t="str">
        <f>IF($F$8&gt;192,($R$14),IF(A219=$F$8,K208+K196+K184+K172+K160+K148+K136+K124+K112+K100+K88+K76+K64+K52+K40+K27,""))</f>
        <v/>
      </c>
      <c r="L220" s="173" t="str">
        <f t="shared" si="85"/>
        <v/>
      </c>
      <c r="M220" s="173" t="str">
        <f t="shared" si="87"/>
        <v/>
      </c>
      <c r="N220" s="173" t="str">
        <f t="shared" si="88"/>
        <v/>
      </c>
      <c r="O220" s="173" t="str">
        <f t="shared" si="89"/>
        <v/>
      </c>
      <c r="P220" s="173" t="str">
        <f t="shared" si="81"/>
        <v/>
      </c>
      <c r="Q220" s="173" t="str">
        <f>IF($F$8&gt;192,($S$8+$S$10),IF($A219=$F$8,$Q$40+$Q$27+$Q$52+$Q$64+$Q$76+$Q$88+$Q$100+$Q$112+$Q$124+$Q$136+$Q$148+$Q$160+$Q$172+$Q$196+$Q$184+$Q$208,""))</f>
        <v/>
      </c>
      <c r="R220" s="173" t="str">
        <f t="shared" si="86"/>
        <v/>
      </c>
      <c r="S220" s="176" t="str">
        <f>IF(A219=$D$8,XIRR(U$27:U219,C$27:C219),"")</f>
        <v/>
      </c>
      <c r="T220" s="173" t="str">
        <f t="shared" ref="T220:T267" si="97">IF(A219=$D$8,G220+P220+H220+I220+J220+K220+L220+Q220+R220,"")</f>
        <v/>
      </c>
      <c r="U220" s="173">
        <f t="shared" si="79"/>
        <v>0</v>
      </c>
      <c r="V220" s="141" t="e">
        <f t="shared" ref="V220:V268" ca="1" si="98">IF(C220="","",YEAR(C220))</f>
        <v>#VALUE!</v>
      </c>
      <c r="W220" s="141" t="e">
        <f t="shared" ca="1" si="77"/>
        <v>#VALUE!</v>
      </c>
      <c r="X220" s="141" t="e">
        <f t="shared" ref="X220:X267" ca="1" si="99">IF(C220="","",DAY(C220))</f>
        <v>#VALUE!</v>
      </c>
      <c r="Y220" s="177" t="e">
        <f t="shared" ca="1" si="91"/>
        <v>#VALUE!</v>
      </c>
      <c r="Z220" s="178" t="e">
        <f t="shared" ref="Z220:Z267" ca="1" si="100">D220-Y220</f>
        <v>#VALUE!</v>
      </c>
      <c r="AA220" s="141">
        <v>193</v>
      </c>
    </row>
    <row r="221" spans="1:27" x14ac:dyDescent="0.35">
      <c r="A221" s="175" t="str">
        <f t="shared" si="78"/>
        <v/>
      </c>
      <c r="B221" s="172">
        <f t="shared" ref="B221:B267" ca="1" si="101">EDATE($B$27,AA221)</f>
        <v>51100</v>
      </c>
      <c r="C221" s="172" t="str">
        <f t="shared" ref="C221:C266" ca="1" si="102">IF(B221=$D$10,B221-1,(IF(B221&gt;$D$10," ",B221)))</f>
        <v xml:space="preserve"> </v>
      </c>
      <c r="D221" s="175" t="str">
        <f t="shared" si="82"/>
        <v/>
      </c>
      <c r="E221" s="173" t="e">
        <f t="shared" si="96"/>
        <v>#VALUE!</v>
      </c>
      <c r="F221" s="173" t="str">
        <f>IF(A220=$D$8,SUM(F$28:F220),IF(A220&gt;$D$8,"",G221+H221))</f>
        <v/>
      </c>
      <c r="G221" s="173" t="str">
        <f>IF(A220=$D$8,ROUND(SUM($G$28:G220),2),IF(A221&gt;$F$8,"",IF(W221&lt;&gt;W220,ROUND(SUM(Y221*$E$12*E220/W221,Z221*$E$12*E220/W220),2),ROUND(E220*$E$12*D221/W220,2))))</f>
        <v/>
      </c>
      <c r="H221" s="173" t="str">
        <f>IF(AND(A220="",A222=""),"",IF(A221="",ROUND(SUM($H$28:H220),2),IF(A221=$D$8,$H$27-ROUND(SUM($H$28:H220),2),ROUND($H$27/$D$8,2))))</f>
        <v/>
      </c>
      <c r="I221" s="173" t="str">
        <f t="shared" si="83"/>
        <v/>
      </c>
      <c r="J221" s="173" t="str">
        <f t="shared" si="84"/>
        <v/>
      </c>
      <c r="K221" s="173" t="str">
        <f t="shared" si="92"/>
        <v/>
      </c>
      <c r="L221" s="173" t="str">
        <f t="shared" si="85"/>
        <v/>
      </c>
      <c r="M221" s="173" t="str">
        <f t="shared" si="87"/>
        <v/>
      </c>
      <c r="N221" s="173" t="str">
        <f t="shared" si="88"/>
        <v/>
      </c>
      <c r="O221" s="173" t="str">
        <f t="shared" si="89"/>
        <v/>
      </c>
      <c r="P221" s="173" t="str">
        <f t="shared" si="81"/>
        <v/>
      </c>
      <c r="Q221" s="173" t="str">
        <f t="shared" ref="Q221:Q231" si="103">IF(A220=$D$8,$Q$27,"")</f>
        <v/>
      </c>
      <c r="R221" s="173" t="str">
        <f t="shared" si="86"/>
        <v/>
      </c>
      <c r="S221" s="176" t="str">
        <f>IF(A220=$D$8,XIRR(U$27:U220,C$27:C220),"")</f>
        <v/>
      </c>
      <c r="T221" s="173" t="str">
        <f t="shared" si="97"/>
        <v/>
      </c>
      <c r="U221" s="173">
        <f t="shared" si="79"/>
        <v>0</v>
      </c>
      <c r="V221" s="141" t="e">
        <f t="shared" ca="1" si="98"/>
        <v>#VALUE!</v>
      </c>
      <c r="W221" s="141" t="e">
        <f t="shared" ref="W221:W267" ca="1" si="104">IF(OR(V221=2024,V221=2028,V221=2016,V221=2020,V221=2024,V221=2028,V221=2032,V221=2036,V221=2040),366,365)</f>
        <v>#VALUE!</v>
      </c>
      <c r="X221" s="141" t="e">
        <f t="shared" ca="1" si="99"/>
        <v>#VALUE!</v>
      </c>
      <c r="Y221" s="177" t="e">
        <f t="shared" ca="1" si="91"/>
        <v>#VALUE!</v>
      </c>
      <c r="Z221" s="178" t="e">
        <f t="shared" ca="1" si="100"/>
        <v>#VALUE!</v>
      </c>
      <c r="AA221" s="141">
        <v>194</v>
      </c>
    </row>
    <row r="222" spans="1:27" x14ac:dyDescent="0.35">
      <c r="A222" s="175" t="str">
        <f t="shared" ref="A222:A279" si="105">IF(A221&lt;$D$8,A221+1,"")</f>
        <v/>
      </c>
      <c r="B222" s="172">
        <f t="shared" ca="1" si="101"/>
        <v>51130</v>
      </c>
      <c r="C222" s="172" t="str">
        <f t="shared" ca="1" si="102"/>
        <v xml:space="preserve"> </v>
      </c>
      <c r="D222" s="175" t="str">
        <f t="shared" si="82"/>
        <v/>
      </c>
      <c r="E222" s="173" t="e">
        <f t="shared" si="96"/>
        <v>#VALUE!</v>
      </c>
      <c r="F222" s="173" t="str">
        <f>IF(A221=$D$8,SUM(F$28:F221),IF(A221&gt;$D$8,"",G222+H222))</f>
        <v/>
      </c>
      <c r="G222" s="173" t="str">
        <f>IF(A221=$D$8,ROUND(SUM($G$28:G221),2),IF(A222&gt;$F$8,"",IF(W222&lt;&gt;W221,ROUND(SUM(Y222*$E$12*E221/W222,Z222*$E$12*E221/W221),2),ROUND(E221*$E$12*D222/W221,2))))</f>
        <v/>
      </c>
      <c r="H222" s="173" t="str">
        <f>IF(AND(A221="",A223=""),"",IF(A222="",ROUND(SUM($H$28:H221),2),IF(A222=$D$8,$H$27-ROUND(SUM($H$28:H221),2),ROUND($H$27/$D$8,2))))</f>
        <v/>
      </c>
      <c r="I222" s="173" t="str">
        <f t="shared" si="83"/>
        <v/>
      </c>
      <c r="J222" s="173" t="str">
        <f t="shared" si="84"/>
        <v/>
      </c>
      <c r="K222" s="173" t="str">
        <f t="shared" si="92"/>
        <v/>
      </c>
      <c r="L222" s="173" t="str">
        <f t="shared" si="85"/>
        <v/>
      </c>
      <c r="M222" s="173" t="str">
        <f t="shared" si="87"/>
        <v/>
      </c>
      <c r="N222" s="173" t="str">
        <f t="shared" si="88"/>
        <v/>
      </c>
      <c r="O222" s="173" t="str">
        <f t="shared" si="89"/>
        <v/>
      </c>
      <c r="P222" s="173" t="str">
        <f t="shared" si="81"/>
        <v/>
      </c>
      <c r="Q222" s="173" t="str">
        <f t="shared" si="103"/>
        <v/>
      </c>
      <c r="R222" s="173" t="str">
        <f t="shared" si="86"/>
        <v/>
      </c>
      <c r="S222" s="176" t="str">
        <f>IF(A221=$D$8,XIRR(U$27:U221,C$27:C221),"")</f>
        <v/>
      </c>
      <c r="T222" s="173" t="str">
        <f t="shared" si="97"/>
        <v/>
      </c>
      <c r="U222" s="173">
        <f t="shared" ref="U222:U267" si="106">SUM(G222:T222)</f>
        <v>0</v>
      </c>
      <c r="V222" s="141" t="e">
        <f t="shared" ca="1" si="98"/>
        <v>#VALUE!</v>
      </c>
      <c r="W222" s="141" t="e">
        <f t="shared" ca="1" si="104"/>
        <v>#VALUE!</v>
      </c>
      <c r="X222" s="141" t="e">
        <f t="shared" ca="1" si="99"/>
        <v>#VALUE!</v>
      </c>
      <c r="Y222" s="177" t="e">
        <f t="shared" ca="1" si="91"/>
        <v>#VALUE!</v>
      </c>
      <c r="Z222" s="178" t="e">
        <f t="shared" ca="1" si="100"/>
        <v>#VALUE!</v>
      </c>
      <c r="AA222" s="141">
        <v>195</v>
      </c>
    </row>
    <row r="223" spans="1:27" x14ac:dyDescent="0.35">
      <c r="A223" s="175" t="str">
        <f t="shared" si="105"/>
        <v/>
      </c>
      <c r="B223" s="172">
        <f t="shared" ca="1" si="101"/>
        <v>51161</v>
      </c>
      <c r="C223" s="172" t="str">
        <f t="shared" ca="1" si="102"/>
        <v xml:space="preserve"> </v>
      </c>
      <c r="D223" s="175" t="str">
        <f t="shared" si="82"/>
        <v/>
      </c>
      <c r="E223" s="173" t="e">
        <f t="shared" si="96"/>
        <v>#VALUE!</v>
      </c>
      <c r="F223" s="173" t="str">
        <f>IF(A222=$D$8,SUM(F$28:F222),IF(A222&gt;$D$8,"",G223+H223))</f>
        <v/>
      </c>
      <c r="G223" s="173" t="str">
        <f>IF(A222=$D$8,ROUND(SUM($G$28:G222),2),IF(A223&gt;$F$8,"",IF(W223&lt;&gt;W222,ROUND(SUM(Y223*$E$12*E222/W223,Z223*$E$12*E222/W222),2),ROUND(E222*$E$12*D223/W222,2))))</f>
        <v/>
      </c>
      <c r="H223" s="173" t="str">
        <f>IF(AND(A222="",A224=""),"",IF(A223="",ROUND(SUM($H$28:H222),2),IF(A223=$D$8,$H$27-ROUND(SUM($H$28:H222),2),ROUND($H$27/$D$8,2))))</f>
        <v/>
      </c>
      <c r="I223" s="173" t="str">
        <f t="shared" si="83"/>
        <v/>
      </c>
      <c r="J223" s="173" t="str">
        <f t="shared" si="84"/>
        <v/>
      </c>
      <c r="K223" s="173" t="str">
        <f t="shared" si="92"/>
        <v/>
      </c>
      <c r="L223" s="173" t="str">
        <f t="shared" si="85"/>
        <v/>
      </c>
      <c r="M223" s="173" t="str">
        <f t="shared" si="87"/>
        <v/>
      </c>
      <c r="N223" s="173" t="str">
        <f t="shared" si="88"/>
        <v/>
      </c>
      <c r="O223" s="173" t="str">
        <f t="shared" si="89"/>
        <v/>
      </c>
      <c r="P223" s="173" t="str">
        <f t="shared" si="81"/>
        <v/>
      </c>
      <c r="Q223" s="173" t="str">
        <f t="shared" si="103"/>
        <v/>
      </c>
      <c r="R223" s="173" t="str">
        <f t="shared" si="86"/>
        <v/>
      </c>
      <c r="S223" s="176" t="str">
        <f>IF(A222=$D$8,XIRR(U$27:U222,C$27:C222),"")</f>
        <v/>
      </c>
      <c r="T223" s="173" t="str">
        <f t="shared" si="97"/>
        <v/>
      </c>
      <c r="U223" s="173">
        <f t="shared" si="106"/>
        <v>0</v>
      </c>
      <c r="V223" s="141" t="e">
        <f t="shared" ca="1" si="98"/>
        <v>#VALUE!</v>
      </c>
      <c r="W223" s="141" t="e">
        <f t="shared" ca="1" si="104"/>
        <v>#VALUE!</v>
      </c>
      <c r="X223" s="141" t="e">
        <f t="shared" ca="1" si="99"/>
        <v>#VALUE!</v>
      </c>
      <c r="Y223" s="177" t="e">
        <f t="shared" ca="1" si="91"/>
        <v>#VALUE!</v>
      </c>
      <c r="Z223" s="178" t="e">
        <f t="shared" ca="1" si="100"/>
        <v>#VALUE!</v>
      </c>
      <c r="AA223" s="141">
        <v>196</v>
      </c>
    </row>
    <row r="224" spans="1:27" x14ac:dyDescent="0.35">
      <c r="A224" s="175" t="str">
        <f t="shared" si="105"/>
        <v/>
      </c>
      <c r="B224" s="172">
        <f t="shared" ca="1" si="101"/>
        <v>51192</v>
      </c>
      <c r="C224" s="172" t="str">
        <f t="shared" ca="1" si="102"/>
        <v xml:space="preserve"> </v>
      </c>
      <c r="D224" s="175" t="str">
        <f t="shared" si="82"/>
        <v/>
      </c>
      <c r="E224" s="173" t="e">
        <f t="shared" si="96"/>
        <v>#VALUE!</v>
      </c>
      <c r="F224" s="173" t="str">
        <f>IF(A223=$D$8,SUM(F$28:F223),IF(A223&gt;$D$8,"",G224+H224))</f>
        <v/>
      </c>
      <c r="G224" s="173" t="str">
        <f>IF(A223=$D$8,ROUND(SUM($G$28:G223),2),IF(A224&gt;$F$8,"",IF(W224&lt;&gt;W223,ROUND(SUM(Y224*$E$12*E223/W224,Z224*$E$12*E223/W223),2),ROUND(E223*$E$12*D224/W223,2))))</f>
        <v/>
      </c>
      <c r="H224" s="173" t="str">
        <f>IF(AND(A223="",A225=""),"",IF(A224="",ROUND(SUM($H$28:H223),2),IF(A224=$D$8,$H$27-ROUND(SUM($H$28:H223),2),ROUND($H$27/$D$8,2))))</f>
        <v/>
      </c>
      <c r="I224" s="173" t="str">
        <f t="shared" si="83"/>
        <v/>
      </c>
      <c r="J224" s="173" t="str">
        <f t="shared" si="84"/>
        <v/>
      </c>
      <c r="K224" s="173" t="str">
        <f t="shared" si="92"/>
        <v/>
      </c>
      <c r="L224" s="173" t="str">
        <f t="shared" si="85"/>
        <v/>
      </c>
      <c r="M224" s="173" t="str">
        <f t="shared" si="87"/>
        <v/>
      </c>
      <c r="N224" s="173" t="str">
        <f t="shared" si="88"/>
        <v/>
      </c>
      <c r="O224" s="173" t="str">
        <f t="shared" si="89"/>
        <v/>
      </c>
      <c r="P224" s="173" t="str">
        <f t="shared" si="81"/>
        <v/>
      </c>
      <c r="Q224" s="173" t="str">
        <f t="shared" si="103"/>
        <v/>
      </c>
      <c r="R224" s="173" t="str">
        <f t="shared" si="86"/>
        <v/>
      </c>
      <c r="S224" s="176" t="str">
        <f>IF(A223=$D$8,XIRR(U$27:U223,C$27:C223),"")</f>
        <v/>
      </c>
      <c r="T224" s="173" t="str">
        <f t="shared" si="97"/>
        <v/>
      </c>
      <c r="U224" s="173">
        <f t="shared" si="106"/>
        <v>0</v>
      </c>
      <c r="V224" s="141" t="e">
        <f t="shared" ca="1" si="98"/>
        <v>#VALUE!</v>
      </c>
      <c r="W224" s="141" t="e">
        <f t="shared" ca="1" si="104"/>
        <v>#VALUE!</v>
      </c>
      <c r="X224" s="141" t="e">
        <f t="shared" ca="1" si="99"/>
        <v>#VALUE!</v>
      </c>
      <c r="Y224" s="177" t="e">
        <f t="shared" ca="1" si="91"/>
        <v>#VALUE!</v>
      </c>
      <c r="Z224" s="178" t="e">
        <f t="shared" ca="1" si="100"/>
        <v>#VALUE!</v>
      </c>
      <c r="AA224" s="141">
        <v>197</v>
      </c>
    </row>
    <row r="225" spans="1:27" x14ac:dyDescent="0.35">
      <c r="A225" s="175" t="str">
        <f t="shared" si="105"/>
        <v/>
      </c>
      <c r="B225" s="172">
        <f t="shared" ca="1" si="101"/>
        <v>51221</v>
      </c>
      <c r="C225" s="172" t="str">
        <f t="shared" ca="1" si="102"/>
        <v xml:space="preserve"> </v>
      </c>
      <c r="D225" s="175" t="str">
        <f t="shared" si="82"/>
        <v/>
      </c>
      <c r="E225" s="173" t="e">
        <f t="shared" si="96"/>
        <v>#VALUE!</v>
      </c>
      <c r="F225" s="173" t="str">
        <f>IF(A224=$D$8,SUM(F$28:F224),IF(A224&gt;$D$8,"",G225+H225))</f>
        <v/>
      </c>
      <c r="G225" s="173" t="str">
        <f>IF(A224=$D$8,ROUND(SUM($G$28:G224),2),IF(A225&gt;$F$8,"",IF(W225&lt;&gt;W224,ROUND(SUM(Y225*$E$12*E224/W225,Z225*$E$12*E224/W224),2),ROUND(E224*$E$12*D225/W224,2))))</f>
        <v/>
      </c>
      <c r="H225" s="173" t="str">
        <f>IF(AND(A224="",A226=""),"",IF(A225="",ROUND(SUM($H$28:H224),2),IF(A225=$D$8,$H$27-ROUND(SUM($H$28:H224),2),ROUND($H$27/$D$8,2))))</f>
        <v/>
      </c>
      <c r="I225" s="173" t="str">
        <f t="shared" si="83"/>
        <v/>
      </c>
      <c r="J225" s="173" t="str">
        <f t="shared" si="84"/>
        <v/>
      </c>
      <c r="K225" s="173" t="str">
        <f t="shared" si="92"/>
        <v/>
      </c>
      <c r="L225" s="173" t="str">
        <f t="shared" si="85"/>
        <v/>
      </c>
      <c r="M225" s="173" t="str">
        <f t="shared" si="87"/>
        <v/>
      </c>
      <c r="N225" s="173" t="str">
        <f t="shared" si="88"/>
        <v/>
      </c>
      <c r="O225" s="173" t="str">
        <f t="shared" si="89"/>
        <v/>
      </c>
      <c r="P225" s="173" t="str">
        <f t="shared" si="81"/>
        <v/>
      </c>
      <c r="Q225" s="173" t="str">
        <f t="shared" si="103"/>
        <v/>
      </c>
      <c r="R225" s="173" t="str">
        <f t="shared" si="86"/>
        <v/>
      </c>
      <c r="S225" s="176" t="str">
        <f>IF(A224=$D$8,XIRR(U$27:U224,C$27:C224),"")</f>
        <v/>
      </c>
      <c r="T225" s="173" t="str">
        <f t="shared" si="97"/>
        <v/>
      </c>
      <c r="U225" s="173">
        <f t="shared" si="106"/>
        <v>0</v>
      </c>
      <c r="V225" s="141" t="e">
        <f t="shared" ca="1" si="98"/>
        <v>#VALUE!</v>
      </c>
      <c r="W225" s="141" t="e">
        <f t="shared" ca="1" si="104"/>
        <v>#VALUE!</v>
      </c>
      <c r="X225" s="141" t="e">
        <f t="shared" ca="1" si="99"/>
        <v>#VALUE!</v>
      </c>
      <c r="Y225" s="177" t="e">
        <f t="shared" ca="1" si="91"/>
        <v>#VALUE!</v>
      </c>
      <c r="Z225" s="178" t="e">
        <f t="shared" ca="1" si="100"/>
        <v>#VALUE!</v>
      </c>
      <c r="AA225" s="141">
        <v>198</v>
      </c>
    </row>
    <row r="226" spans="1:27" x14ac:dyDescent="0.35">
      <c r="A226" s="175" t="str">
        <f t="shared" si="105"/>
        <v/>
      </c>
      <c r="B226" s="172">
        <f t="shared" ca="1" si="101"/>
        <v>51252</v>
      </c>
      <c r="C226" s="172" t="str">
        <f t="shared" ca="1" si="102"/>
        <v xml:space="preserve"> </v>
      </c>
      <c r="D226" s="175" t="str">
        <f t="shared" si="82"/>
        <v/>
      </c>
      <c r="E226" s="173" t="e">
        <f t="shared" si="96"/>
        <v>#VALUE!</v>
      </c>
      <c r="F226" s="173" t="str">
        <f>IF(A225=$D$8,SUM(F$28:F225),IF(A225&gt;$D$8,"",G226+H226))</f>
        <v/>
      </c>
      <c r="G226" s="173" t="str">
        <f>IF(A225=$D$8,ROUND(SUM($G$28:G225),2),IF(A226&gt;$F$8,"",IF(W226&lt;&gt;W225,ROUND(SUM(Y226*$E$12*E225/W226,Z226*$E$12*E225/W225),2),ROUND(E225*$E$12*D226/W225,2))))</f>
        <v/>
      </c>
      <c r="H226" s="173" t="str">
        <f>IF(AND(A225="",A227=""),"",IF(A226="",ROUND(SUM($H$28:H225),2),IF(A226=$D$8,$H$27-ROUND(SUM($H$28:H225),2),ROUND($H$27/$D$8,2))))</f>
        <v/>
      </c>
      <c r="I226" s="173" t="str">
        <f t="shared" si="83"/>
        <v/>
      </c>
      <c r="J226" s="173" t="str">
        <f t="shared" si="84"/>
        <v/>
      </c>
      <c r="K226" s="173" t="str">
        <f t="shared" si="92"/>
        <v/>
      </c>
      <c r="L226" s="173" t="str">
        <f t="shared" si="85"/>
        <v/>
      </c>
      <c r="M226" s="173" t="str">
        <f t="shared" si="87"/>
        <v/>
      </c>
      <c r="N226" s="173" t="str">
        <f t="shared" si="88"/>
        <v/>
      </c>
      <c r="O226" s="173" t="str">
        <f t="shared" si="89"/>
        <v/>
      </c>
      <c r="P226" s="173" t="str">
        <f t="shared" si="81"/>
        <v/>
      </c>
      <c r="Q226" s="173" t="str">
        <f t="shared" si="103"/>
        <v/>
      </c>
      <c r="R226" s="173" t="str">
        <f t="shared" si="86"/>
        <v/>
      </c>
      <c r="S226" s="176" t="str">
        <f>IF(A225=$D$8,XIRR(U$27:U225,C$27:C225),"")</f>
        <v/>
      </c>
      <c r="T226" s="173" t="str">
        <f t="shared" si="97"/>
        <v/>
      </c>
      <c r="U226" s="173">
        <f t="shared" si="106"/>
        <v>0</v>
      </c>
      <c r="V226" s="141" t="e">
        <f t="shared" ca="1" si="98"/>
        <v>#VALUE!</v>
      </c>
      <c r="W226" s="141" t="e">
        <f t="shared" ca="1" si="104"/>
        <v>#VALUE!</v>
      </c>
      <c r="X226" s="141" t="e">
        <f t="shared" ca="1" si="99"/>
        <v>#VALUE!</v>
      </c>
      <c r="Y226" s="177" t="e">
        <f t="shared" ca="1" si="91"/>
        <v>#VALUE!</v>
      </c>
      <c r="Z226" s="178" t="e">
        <f t="shared" ca="1" si="100"/>
        <v>#VALUE!</v>
      </c>
      <c r="AA226" s="141">
        <v>199</v>
      </c>
    </row>
    <row r="227" spans="1:27" x14ac:dyDescent="0.35">
      <c r="A227" s="175" t="str">
        <f t="shared" si="105"/>
        <v/>
      </c>
      <c r="B227" s="172">
        <f t="shared" ca="1" si="101"/>
        <v>51282</v>
      </c>
      <c r="C227" s="172" t="str">
        <f t="shared" ca="1" si="102"/>
        <v xml:space="preserve"> </v>
      </c>
      <c r="D227" s="175" t="str">
        <f t="shared" si="82"/>
        <v/>
      </c>
      <c r="E227" s="173" t="e">
        <f t="shared" si="96"/>
        <v>#VALUE!</v>
      </c>
      <c r="F227" s="173" t="str">
        <f>IF(A226=$D$8,SUM(F$28:F226),IF(A226&gt;$D$8,"",G227+H227))</f>
        <v/>
      </c>
      <c r="G227" s="173" t="str">
        <f>IF(A226=$D$8,ROUND(SUM($G$28:G226),2),IF(A227&gt;$F$8,"",IF(W227&lt;&gt;W226,ROUND(SUM(Y227*$E$12*E226/W227,Z227*$E$12*E226/W226),2),ROUND(E226*$E$12*D227/W226,2))))</f>
        <v/>
      </c>
      <c r="H227" s="173" t="str">
        <f>IF(AND(A226="",A228=""),"",IF(A227="",ROUND(SUM($H$28:H226),2),IF(A227=$D$8,$H$27-ROUND(SUM($H$28:H226),2),ROUND($H$27/$D$8,2))))</f>
        <v/>
      </c>
      <c r="I227" s="173" t="str">
        <f t="shared" si="83"/>
        <v/>
      </c>
      <c r="J227" s="173" t="str">
        <f t="shared" si="84"/>
        <v/>
      </c>
      <c r="K227" s="173" t="str">
        <f t="shared" si="92"/>
        <v/>
      </c>
      <c r="L227" s="173" t="str">
        <f t="shared" si="85"/>
        <v/>
      </c>
      <c r="M227" s="173" t="str">
        <f t="shared" si="87"/>
        <v/>
      </c>
      <c r="N227" s="173" t="str">
        <f t="shared" si="88"/>
        <v/>
      </c>
      <c r="O227" s="173" t="str">
        <f t="shared" si="89"/>
        <v/>
      </c>
      <c r="P227" s="173" t="str">
        <f t="shared" ref="P227:P268" si="107">IF(A226=$D$8,$P$27,"")</f>
        <v/>
      </c>
      <c r="Q227" s="173" t="str">
        <f t="shared" si="103"/>
        <v/>
      </c>
      <c r="R227" s="173" t="str">
        <f t="shared" si="86"/>
        <v/>
      </c>
      <c r="S227" s="176" t="str">
        <f>IF(A226=$D$8,XIRR(U$27:U226,C$27:C226),"")</f>
        <v/>
      </c>
      <c r="T227" s="173" t="str">
        <f t="shared" si="97"/>
        <v/>
      </c>
      <c r="U227" s="173">
        <f t="shared" si="106"/>
        <v>0</v>
      </c>
      <c r="V227" s="141" t="e">
        <f t="shared" ca="1" si="98"/>
        <v>#VALUE!</v>
      </c>
      <c r="W227" s="141" t="e">
        <f t="shared" ca="1" si="104"/>
        <v>#VALUE!</v>
      </c>
      <c r="X227" s="141" t="e">
        <f t="shared" ca="1" si="99"/>
        <v>#VALUE!</v>
      </c>
      <c r="Y227" s="177" t="e">
        <f t="shared" ca="1" si="91"/>
        <v>#VALUE!</v>
      </c>
      <c r="Z227" s="178" t="e">
        <f t="shared" ca="1" si="100"/>
        <v>#VALUE!</v>
      </c>
      <c r="AA227" s="141">
        <v>200</v>
      </c>
    </row>
    <row r="228" spans="1:27" x14ac:dyDescent="0.35">
      <c r="A228" s="175" t="str">
        <f t="shared" si="105"/>
        <v/>
      </c>
      <c r="B228" s="172">
        <f t="shared" ca="1" si="101"/>
        <v>51313</v>
      </c>
      <c r="C228" s="172" t="str">
        <f t="shared" ca="1" si="102"/>
        <v xml:space="preserve"> </v>
      </c>
      <c r="D228" s="175" t="str">
        <f t="shared" si="82"/>
        <v/>
      </c>
      <c r="E228" s="173" t="e">
        <f t="shared" si="96"/>
        <v>#VALUE!</v>
      </c>
      <c r="F228" s="173" t="str">
        <f>IF(A227=$D$8,SUM(F$28:F227),IF(A227&gt;$D$8,"",G228+H228))</f>
        <v/>
      </c>
      <c r="G228" s="173" t="str">
        <f>IF(A227=$D$8,ROUND(SUM($G$28:G227),2),IF(A228&gt;$F$8,"",IF(W228&lt;&gt;W227,ROUND(SUM(Y228*$E$12*E227/W228,Z228*$E$12*E227/W227),2),ROUND(E227*$E$12*D228/W227,2))))</f>
        <v/>
      </c>
      <c r="H228" s="173" t="str">
        <f>IF(AND(A227="",A229=""),"",IF(A228="",ROUND(SUM($H$28:H227),2),IF(A228=$D$8,$H$27-ROUND(SUM($H$28:H227),2),ROUND($H$27/$D$8,2))))</f>
        <v/>
      </c>
      <c r="I228" s="173" t="str">
        <f t="shared" si="83"/>
        <v/>
      </c>
      <c r="J228" s="173" t="str">
        <f t="shared" si="84"/>
        <v/>
      </c>
      <c r="K228" s="173" t="str">
        <f t="shared" si="92"/>
        <v/>
      </c>
      <c r="L228" s="173" t="str">
        <f t="shared" si="85"/>
        <v/>
      </c>
      <c r="M228" s="173" t="str">
        <f t="shared" si="87"/>
        <v/>
      </c>
      <c r="N228" s="173" t="str">
        <f t="shared" si="88"/>
        <v/>
      </c>
      <c r="O228" s="173" t="str">
        <f t="shared" si="89"/>
        <v/>
      </c>
      <c r="P228" s="173" t="str">
        <f t="shared" si="107"/>
        <v/>
      </c>
      <c r="Q228" s="173" t="str">
        <f t="shared" si="103"/>
        <v/>
      </c>
      <c r="R228" s="173" t="str">
        <f t="shared" si="86"/>
        <v/>
      </c>
      <c r="S228" s="176" t="str">
        <f>IF(A227=$D$8,XIRR(U$27:U227,C$27:C227),"")</f>
        <v/>
      </c>
      <c r="T228" s="173" t="str">
        <f t="shared" si="97"/>
        <v/>
      </c>
      <c r="U228" s="173">
        <f t="shared" si="106"/>
        <v>0</v>
      </c>
      <c r="V228" s="141" t="e">
        <f t="shared" ca="1" si="98"/>
        <v>#VALUE!</v>
      </c>
      <c r="W228" s="141" t="e">
        <f t="shared" ca="1" si="104"/>
        <v>#VALUE!</v>
      </c>
      <c r="X228" s="141" t="e">
        <f t="shared" ca="1" si="99"/>
        <v>#VALUE!</v>
      </c>
      <c r="Y228" s="177" t="e">
        <f t="shared" ca="1" si="91"/>
        <v>#VALUE!</v>
      </c>
      <c r="Z228" s="178" t="e">
        <f t="shared" ca="1" si="100"/>
        <v>#VALUE!</v>
      </c>
      <c r="AA228" s="141">
        <v>201</v>
      </c>
    </row>
    <row r="229" spans="1:27" x14ac:dyDescent="0.35">
      <c r="A229" s="175" t="str">
        <f t="shared" si="105"/>
        <v/>
      </c>
      <c r="B229" s="172">
        <f t="shared" ca="1" si="101"/>
        <v>51343</v>
      </c>
      <c r="C229" s="172" t="str">
        <f t="shared" ca="1" si="102"/>
        <v xml:space="preserve"> </v>
      </c>
      <c r="D229" s="175" t="str">
        <f t="shared" si="82"/>
        <v/>
      </c>
      <c r="E229" s="173" t="e">
        <f t="shared" si="96"/>
        <v>#VALUE!</v>
      </c>
      <c r="F229" s="173" t="str">
        <f>IF(A228=$D$8,SUM(F$28:F228),IF(A228&gt;$D$8,"",G229+H229))</f>
        <v/>
      </c>
      <c r="G229" s="173" t="str">
        <f>IF(A228=$D$8,ROUND(SUM($G$28:G228),2),IF(A229&gt;$F$8,"",IF(W229&lt;&gt;W228,ROUND(SUM(Y229*$E$12*E228/W229,Z229*$E$12*E228/W228),2),ROUND(E228*$E$12*D229/W228,2))))</f>
        <v/>
      </c>
      <c r="H229" s="173" t="str">
        <f>IF(AND(A228="",A230=""),"",IF(A229="",ROUND(SUM($H$28:H228),2),IF(A229=$D$8,$H$27-ROUND(SUM($H$28:H228),2),ROUND($H$27/$D$8,2))))</f>
        <v/>
      </c>
      <c r="I229" s="173" t="str">
        <f t="shared" si="83"/>
        <v/>
      </c>
      <c r="J229" s="173" t="str">
        <f t="shared" si="84"/>
        <v/>
      </c>
      <c r="K229" s="173" t="str">
        <f t="shared" si="92"/>
        <v/>
      </c>
      <c r="L229" s="173" t="str">
        <f t="shared" si="85"/>
        <v/>
      </c>
      <c r="M229" s="173" t="str">
        <f t="shared" si="87"/>
        <v/>
      </c>
      <c r="N229" s="173" t="str">
        <f t="shared" si="88"/>
        <v/>
      </c>
      <c r="O229" s="173" t="str">
        <f t="shared" si="89"/>
        <v/>
      </c>
      <c r="P229" s="173" t="str">
        <f t="shared" si="107"/>
        <v/>
      </c>
      <c r="Q229" s="173" t="str">
        <f t="shared" si="103"/>
        <v/>
      </c>
      <c r="R229" s="173" t="str">
        <f t="shared" si="86"/>
        <v/>
      </c>
      <c r="S229" s="176" t="str">
        <f>IF(A228=$D$8,XIRR(U$27:U228,C$27:C228),"")</f>
        <v/>
      </c>
      <c r="T229" s="173" t="str">
        <f t="shared" si="97"/>
        <v/>
      </c>
      <c r="U229" s="173">
        <f t="shared" si="106"/>
        <v>0</v>
      </c>
      <c r="V229" s="141" t="e">
        <f t="shared" ca="1" si="98"/>
        <v>#VALUE!</v>
      </c>
      <c r="W229" s="141" t="e">
        <f t="shared" ca="1" si="104"/>
        <v>#VALUE!</v>
      </c>
      <c r="X229" s="141" t="e">
        <f t="shared" ca="1" si="99"/>
        <v>#VALUE!</v>
      </c>
      <c r="Y229" s="177" t="e">
        <f t="shared" ca="1" si="91"/>
        <v>#VALUE!</v>
      </c>
      <c r="Z229" s="178" t="e">
        <f t="shared" ca="1" si="100"/>
        <v>#VALUE!</v>
      </c>
      <c r="AA229" s="141">
        <v>202</v>
      </c>
    </row>
    <row r="230" spans="1:27" x14ac:dyDescent="0.35">
      <c r="A230" s="175" t="str">
        <f t="shared" si="105"/>
        <v/>
      </c>
      <c r="B230" s="172">
        <f t="shared" ca="1" si="101"/>
        <v>51374</v>
      </c>
      <c r="C230" s="172" t="str">
        <f t="shared" ca="1" si="102"/>
        <v xml:space="preserve"> </v>
      </c>
      <c r="D230" s="175" t="str">
        <f t="shared" si="82"/>
        <v/>
      </c>
      <c r="E230" s="173" t="e">
        <f t="shared" si="96"/>
        <v>#VALUE!</v>
      </c>
      <c r="F230" s="173" t="str">
        <f>IF(A229=$D$8,SUM(F$28:F229),IF(A229&gt;$D$8,"",G230+H230))</f>
        <v/>
      </c>
      <c r="G230" s="173" t="str">
        <f>IF(A229=$D$8,ROUND(SUM($G$28:G229),2),IF(A230&gt;$F$8,"",IF(W230&lt;&gt;W229,ROUND(SUM(Y230*$E$12*E229/W230,Z230*$E$12*E229/W229),2),ROUND(E229*$E$12*D230/W229,2))))</f>
        <v/>
      </c>
      <c r="H230" s="173" t="str">
        <f>IF(AND(A229="",A231=""),"",IF(A230="",ROUND(SUM($H$28:H229),2),IF(A230=$D$8,$H$27-ROUND(SUM($H$28:H229),2),ROUND($H$27/$D$8,2))))</f>
        <v/>
      </c>
      <c r="I230" s="173" t="str">
        <f t="shared" si="83"/>
        <v/>
      </c>
      <c r="J230" s="173" t="str">
        <f t="shared" si="84"/>
        <v/>
      </c>
      <c r="K230" s="173" t="str">
        <f t="shared" si="92"/>
        <v/>
      </c>
      <c r="L230" s="173" t="str">
        <f t="shared" si="85"/>
        <v/>
      </c>
      <c r="M230" s="173" t="str">
        <f t="shared" si="87"/>
        <v/>
      </c>
      <c r="N230" s="173" t="str">
        <f t="shared" si="88"/>
        <v/>
      </c>
      <c r="O230" s="173" t="str">
        <f t="shared" si="89"/>
        <v/>
      </c>
      <c r="P230" s="173" t="str">
        <f t="shared" si="107"/>
        <v/>
      </c>
      <c r="Q230" s="173" t="str">
        <f t="shared" si="103"/>
        <v/>
      </c>
      <c r="R230" s="173" t="str">
        <f t="shared" si="86"/>
        <v/>
      </c>
      <c r="S230" s="176" t="str">
        <f>IF(A229=$D$8,XIRR(U$27:U229,C$27:C229),"")</f>
        <v/>
      </c>
      <c r="T230" s="173" t="str">
        <f t="shared" si="97"/>
        <v/>
      </c>
      <c r="U230" s="173">
        <f t="shared" si="106"/>
        <v>0</v>
      </c>
      <c r="V230" s="141" t="e">
        <f t="shared" ca="1" si="98"/>
        <v>#VALUE!</v>
      </c>
      <c r="W230" s="141" t="e">
        <f t="shared" ca="1" si="104"/>
        <v>#VALUE!</v>
      </c>
      <c r="X230" s="141" t="e">
        <f t="shared" ca="1" si="99"/>
        <v>#VALUE!</v>
      </c>
      <c r="Y230" s="177" t="e">
        <f t="shared" ca="1" si="91"/>
        <v>#VALUE!</v>
      </c>
      <c r="Z230" s="178" t="e">
        <f t="shared" ca="1" si="100"/>
        <v>#VALUE!</v>
      </c>
      <c r="AA230" s="141">
        <v>203</v>
      </c>
    </row>
    <row r="231" spans="1:27" x14ac:dyDescent="0.35">
      <c r="A231" s="175" t="str">
        <f t="shared" si="105"/>
        <v/>
      </c>
      <c r="B231" s="172">
        <f t="shared" ca="1" si="101"/>
        <v>51405</v>
      </c>
      <c r="C231" s="172" t="str">
        <f t="shared" ca="1" si="102"/>
        <v xml:space="preserve"> </v>
      </c>
      <c r="D231" s="175" t="str">
        <f t="shared" si="82"/>
        <v/>
      </c>
      <c r="E231" s="173" t="e">
        <f t="shared" si="96"/>
        <v>#VALUE!</v>
      </c>
      <c r="F231" s="173" t="str">
        <f>IF(A230=$D$8,SUM(F$28:F230),IF(A230&gt;$D$8,"",G231+H231))</f>
        <v/>
      </c>
      <c r="G231" s="173" t="str">
        <f>IF(A230=$D$8,ROUND(SUM($G$28:G230),2),IF(A231&gt;$F$8,"",IF(W231&lt;&gt;W230,ROUND(SUM(Y231*$E$12*E230/W231,Z231*$E$12*E230/W230),2),ROUND(E230*$E$12*D231/W230,2))))</f>
        <v/>
      </c>
      <c r="H231" s="173" t="str">
        <f>IF(AND(A230="",A232=""),"",IF(A231="",ROUND(SUM($H$28:H230),2),IF(A231=$D$8,$H$27-ROUND(SUM($H$28:H230),2),ROUND($H$27/$D$8,2))))</f>
        <v/>
      </c>
      <c r="I231" s="173" t="str">
        <f t="shared" si="83"/>
        <v/>
      </c>
      <c r="J231" s="173" t="str">
        <f t="shared" si="84"/>
        <v/>
      </c>
      <c r="K231" s="173" t="str">
        <f t="shared" si="92"/>
        <v/>
      </c>
      <c r="L231" s="173" t="str">
        <f t="shared" si="85"/>
        <v/>
      </c>
      <c r="M231" s="173" t="str">
        <f t="shared" si="87"/>
        <v/>
      </c>
      <c r="N231" s="173" t="str">
        <f t="shared" si="88"/>
        <v/>
      </c>
      <c r="O231" s="173" t="str">
        <f t="shared" si="89"/>
        <v/>
      </c>
      <c r="P231" s="173" t="str">
        <f t="shared" si="107"/>
        <v/>
      </c>
      <c r="Q231" s="173" t="str">
        <f t="shared" si="103"/>
        <v/>
      </c>
      <c r="R231" s="173" t="str">
        <f t="shared" si="86"/>
        <v/>
      </c>
      <c r="S231" s="176" t="str">
        <f>IF(A230=$D$8,XIRR(U$27:U230,C$27:C230),"")</f>
        <v/>
      </c>
      <c r="T231" s="173" t="str">
        <f t="shared" si="97"/>
        <v/>
      </c>
      <c r="U231" s="173">
        <f t="shared" si="106"/>
        <v>0</v>
      </c>
      <c r="V231" s="141" t="e">
        <f t="shared" ca="1" si="98"/>
        <v>#VALUE!</v>
      </c>
      <c r="W231" s="141" t="e">
        <f t="shared" ca="1" si="104"/>
        <v>#VALUE!</v>
      </c>
      <c r="X231" s="141" t="e">
        <f t="shared" ca="1" si="99"/>
        <v>#VALUE!</v>
      </c>
      <c r="Y231" s="177" t="e">
        <f t="shared" ca="1" si="91"/>
        <v>#VALUE!</v>
      </c>
      <c r="Z231" s="178" t="e">
        <f t="shared" ca="1" si="100"/>
        <v>#VALUE!</v>
      </c>
      <c r="AA231" s="141">
        <v>204</v>
      </c>
    </row>
    <row r="232" spans="1:27" x14ac:dyDescent="0.35">
      <c r="A232" s="175" t="str">
        <f t="shared" si="105"/>
        <v/>
      </c>
      <c r="B232" s="172">
        <f t="shared" ca="1" si="101"/>
        <v>51435</v>
      </c>
      <c r="C232" s="172" t="str">
        <f t="shared" ca="1" si="102"/>
        <v xml:space="preserve"> </v>
      </c>
      <c r="D232" s="175" t="str">
        <f t="shared" si="82"/>
        <v/>
      </c>
      <c r="E232" s="173" t="e">
        <f t="shared" si="96"/>
        <v>#VALUE!</v>
      </c>
      <c r="F232" s="173" t="str">
        <f>IF(A231=$D$8,SUM(F$28:F231),IF(A231&gt;$D$8,"",G232+H232))</f>
        <v/>
      </c>
      <c r="G232" s="173" t="str">
        <f>IF(A231=$D$8,ROUND(SUM($G$28:G231),2),IF(A232&gt;$F$8,"",IF(W232&lt;&gt;W231,ROUND(SUM(Y232*$E$12*E231/W232,Z232*$E$12*E231/W231),2),ROUND(E231*$E$12*D232/W231,2))))</f>
        <v/>
      </c>
      <c r="H232" s="173" t="str">
        <f>IF(AND(A231="",A233=""),"",IF(A232="",ROUND(SUM($H$28:H231),2),IF(A232=$D$8,$H$27-ROUND(SUM($H$28:H231),2),ROUND($H$27/$D$8,2))))</f>
        <v/>
      </c>
      <c r="I232" s="173" t="str">
        <f t="shared" si="83"/>
        <v/>
      </c>
      <c r="J232" s="173" t="str">
        <f t="shared" si="84"/>
        <v/>
      </c>
      <c r="K232" s="173" t="str">
        <f>IF($F$8&gt;204,($R$14),IF(A231=$F$8,K220+K208+K196+K184+K172+K160+K148+K136+K124+K112+K100+K88+K76+K64+K52+K40+K27,""))</f>
        <v/>
      </c>
      <c r="L232" s="173" t="str">
        <f t="shared" si="85"/>
        <v/>
      </c>
      <c r="M232" s="173" t="str">
        <f t="shared" si="87"/>
        <v/>
      </c>
      <c r="N232" s="173" t="str">
        <f t="shared" si="88"/>
        <v/>
      </c>
      <c r="O232" s="173" t="str">
        <f t="shared" si="89"/>
        <v/>
      </c>
      <c r="P232" s="173" t="str">
        <f t="shared" si="107"/>
        <v/>
      </c>
      <c r="Q232" s="173" t="str">
        <f>IF($F$8&gt;204,($S$8+$S$10),IF($A231=$F$8,$Q$40+$Q$27+$Q$52+$Q$64+$Q$76+$Q$88+$Q$100+$Q$112+$Q$124+$Q$136+$Q$148+$Q$160+$Q$172+$Q$196+$Q$184+$Q$208+$Q$220,""))</f>
        <v/>
      </c>
      <c r="R232" s="173" t="str">
        <f t="shared" si="86"/>
        <v/>
      </c>
      <c r="S232" s="176" t="str">
        <f>IF(A231=$D$8,XIRR(U$27:U231,C$27:C231),"")</f>
        <v/>
      </c>
      <c r="T232" s="173" t="str">
        <f t="shared" si="97"/>
        <v/>
      </c>
      <c r="U232" s="173">
        <f t="shared" si="106"/>
        <v>0</v>
      </c>
      <c r="V232" s="141" t="e">
        <f t="shared" ca="1" si="98"/>
        <v>#VALUE!</v>
      </c>
      <c r="W232" s="141" t="e">
        <f t="shared" ca="1" si="104"/>
        <v>#VALUE!</v>
      </c>
      <c r="X232" s="141" t="e">
        <f t="shared" ca="1" si="99"/>
        <v>#VALUE!</v>
      </c>
      <c r="Y232" s="177" t="e">
        <f t="shared" ca="1" si="91"/>
        <v>#VALUE!</v>
      </c>
      <c r="Z232" s="178" t="e">
        <f t="shared" ca="1" si="100"/>
        <v>#VALUE!</v>
      </c>
      <c r="AA232" s="141">
        <v>205</v>
      </c>
    </row>
    <row r="233" spans="1:27" x14ac:dyDescent="0.35">
      <c r="A233" s="175" t="str">
        <f t="shared" si="105"/>
        <v/>
      </c>
      <c r="B233" s="172">
        <f t="shared" ca="1" si="101"/>
        <v>51466</v>
      </c>
      <c r="C233" s="172" t="str">
        <f t="shared" ca="1" si="102"/>
        <v xml:space="preserve"> </v>
      </c>
      <c r="D233" s="175" t="str">
        <f t="shared" ref="D233:D267" si="108">IF(A233&gt;$D$8,"",C233-C232)</f>
        <v/>
      </c>
      <c r="E233" s="173" t="e">
        <f t="shared" si="96"/>
        <v>#VALUE!</v>
      </c>
      <c r="F233" s="173" t="str">
        <f>IF(A232=$D$8,SUM(F$28:F232),IF(A232&gt;$D$8,"",G233+H233))</f>
        <v/>
      </c>
      <c r="G233" s="173" t="str">
        <f>IF(A232=$D$8,ROUND(SUM($G$28:G232),2),IF(A233&gt;$F$8,"",IF(W233&lt;&gt;W232,ROUND(SUM(Y233*$E$12*E232/W233,Z233*$E$12*E232/W232),2),ROUND(E232*$E$12*D233/W232,2))))</f>
        <v/>
      </c>
      <c r="H233" s="173" t="str">
        <f>IF(AND(A232="",A234=""),"",IF(A233="",ROUND(SUM($H$28:H232),2),IF(A233=$D$8,$H$27-ROUND(SUM($H$28:H232),2),ROUND($H$27/$D$8,2))))</f>
        <v/>
      </c>
      <c r="I233" s="173" t="str">
        <f t="shared" ref="I233:I268" si="109">IF(A232=$F$8,$I$27,"")</f>
        <v/>
      </c>
      <c r="J233" s="173" t="str">
        <f t="shared" ref="J233:J268" si="110">IF(A232=$F$8,$J$27,"")</f>
        <v/>
      </c>
      <c r="K233" s="173" t="str">
        <f t="shared" si="92"/>
        <v/>
      </c>
      <c r="L233" s="173" t="str">
        <f t="shared" ref="L233:L268" si="111">IF(A232=$F$8,$L$27,"")</f>
        <v/>
      </c>
      <c r="M233" s="173" t="str">
        <f t="shared" si="87"/>
        <v/>
      </c>
      <c r="N233" s="173" t="str">
        <f t="shared" si="88"/>
        <v/>
      </c>
      <c r="O233" s="173" t="str">
        <f t="shared" si="89"/>
        <v/>
      </c>
      <c r="P233" s="173" t="str">
        <f t="shared" si="107"/>
        <v/>
      </c>
      <c r="Q233" s="173" t="str">
        <f t="shared" ref="Q233:Q243" si="112">IF(A232=$D$8,$Q$27,"")</f>
        <v/>
      </c>
      <c r="R233" s="173" t="str">
        <f t="shared" ref="R233:R268" si="113">IF(A232=$D$8,$R$27,"")</f>
        <v/>
      </c>
      <c r="S233" s="176" t="str">
        <f>IF(A232=$D$8,XIRR(U$27:U232,C$27:C232),"")</f>
        <v/>
      </c>
      <c r="T233" s="173" t="str">
        <f t="shared" si="97"/>
        <v/>
      </c>
      <c r="U233" s="173">
        <f t="shared" si="106"/>
        <v>0</v>
      </c>
      <c r="V233" s="141" t="e">
        <f t="shared" ca="1" si="98"/>
        <v>#VALUE!</v>
      </c>
      <c r="W233" s="141" t="e">
        <f t="shared" ca="1" si="104"/>
        <v>#VALUE!</v>
      </c>
      <c r="X233" s="141" t="e">
        <f t="shared" ca="1" si="99"/>
        <v>#VALUE!</v>
      </c>
      <c r="Y233" s="177" t="e">
        <f t="shared" ca="1" si="91"/>
        <v>#VALUE!</v>
      </c>
      <c r="Z233" s="178" t="e">
        <f t="shared" ca="1" si="100"/>
        <v>#VALUE!</v>
      </c>
      <c r="AA233" s="141">
        <v>206</v>
      </c>
    </row>
    <row r="234" spans="1:27" x14ac:dyDescent="0.35">
      <c r="A234" s="175" t="str">
        <f t="shared" si="105"/>
        <v/>
      </c>
      <c r="B234" s="172">
        <f t="shared" ca="1" si="101"/>
        <v>51496</v>
      </c>
      <c r="C234" s="172" t="str">
        <f t="shared" ca="1" si="102"/>
        <v xml:space="preserve"> </v>
      </c>
      <c r="D234" s="175" t="str">
        <f t="shared" si="108"/>
        <v/>
      </c>
      <c r="E234" s="173" t="e">
        <f t="shared" si="96"/>
        <v>#VALUE!</v>
      </c>
      <c r="F234" s="173" t="str">
        <f>IF(A233=$D$8,SUM(F$28:F233),IF(A233&gt;$D$8,"",G234+H234))</f>
        <v/>
      </c>
      <c r="G234" s="173" t="str">
        <f>IF(A233=$D$8,ROUND(SUM($G$28:G233),2),IF(A234&gt;$F$8,"",IF(W234&lt;&gt;W233,ROUND(SUM(Y234*$E$12*E233/W234,Z234*$E$12*E233/W233),2),ROUND(E233*$E$12*D234/W233,2))))</f>
        <v/>
      </c>
      <c r="H234" s="173" t="str">
        <f>IF(AND(A233="",A235=""),"",IF(A234="",ROUND(SUM($H$28:H233),2),IF(A234=$D$8,$H$27-ROUND(SUM($H$28:H233),2),ROUND($H$27/$D$8,2))))</f>
        <v/>
      </c>
      <c r="I234" s="173" t="str">
        <f t="shared" si="109"/>
        <v/>
      </c>
      <c r="J234" s="173" t="str">
        <f t="shared" si="110"/>
        <v/>
      </c>
      <c r="K234" s="173" t="str">
        <f t="shared" si="92"/>
        <v/>
      </c>
      <c r="L234" s="173" t="str">
        <f t="shared" si="111"/>
        <v/>
      </c>
      <c r="M234" s="173" t="str">
        <f t="shared" ref="M234:M268" si="114">IF(A233=$F$8,$M$27,"")</f>
        <v/>
      </c>
      <c r="N234" s="173" t="str">
        <f t="shared" ref="N234:N267" si="115">IF(A233=$F$8,$N$27,"")</f>
        <v/>
      </c>
      <c r="O234" s="173" t="str">
        <f t="shared" ref="O234:O267" si="116">IF(A233=$F$8,$O$27,"")</f>
        <v/>
      </c>
      <c r="P234" s="173" t="str">
        <f t="shared" si="107"/>
        <v/>
      </c>
      <c r="Q234" s="173" t="str">
        <f t="shared" si="112"/>
        <v/>
      </c>
      <c r="R234" s="173" t="str">
        <f t="shared" si="113"/>
        <v/>
      </c>
      <c r="S234" s="176" t="str">
        <f>IF(A233=$D$8,XIRR(U$27:U233,C$27:C233),"")</f>
        <v/>
      </c>
      <c r="T234" s="173" t="str">
        <f t="shared" si="97"/>
        <v/>
      </c>
      <c r="U234" s="173">
        <f t="shared" si="106"/>
        <v>0</v>
      </c>
      <c r="V234" s="141" t="e">
        <f t="shared" ca="1" si="98"/>
        <v>#VALUE!</v>
      </c>
      <c r="W234" s="141" t="e">
        <f t="shared" ca="1" si="104"/>
        <v>#VALUE!</v>
      </c>
      <c r="X234" s="141" t="e">
        <f t="shared" ca="1" si="99"/>
        <v>#VALUE!</v>
      </c>
      <c r="Y234" s="177" t="e">
        <f t="shared" ca="1" si="91"/>
        <v>#VALUE!</v>
      </c>
      <c r="Z234" s="178" t="e">
        <f t="shared" ca="1" si="100"/>
        <v>#VALUE!</v>
      </c>
      <c r="AA234" s="141">
        <v>207</v>
      </c>
    </row>
    <row r="235" spans="1:27" x14ac:dyDescent="0.35">
      <c r="A235" s="175" t="str">
        <f t="shared" si="105"/>
        <v/>
      </c>
      <c r="B235" s="172">
        <f t="shared" ca="1" si="101"/>
        <v>51527</v>
      </c>
      <c r="C235" s="172" t="str">
        <f t="shared" ca="1" si="102"/>
        <v xml:space="preserve"> </v>
      </c>
      <c r="D235" s="175" t="str">
        <f t="shared" si="108"/>
        <v/>
      </c>
      <c r="E235" s="173" t="e">
        <f t="shared" si="96"/>
        <v>#VALUE!</v>
      </c>
      <c r="F235" s="173" t="str">
        <f>IF(A234=$D$8,SUM(F$28:F234),IF(A234&gt;$D$8,"",G235+H235))</f>
        <v/>
      </c>
      <c r="G235" s="173" t="str">
        <f>IF(A234=$D$8,ROUND(SUM($G$28:G234),2),IF(A235&gt;$F$8,"",IF(W235&lt;&gt;W234,ROUND(SUM(Y235*$E$12*E234/W235,Z235*$E$12*E234/W234),2),ROUND(E234*$E$12*D235/W234,2))))</f>
        <v/>
      </c>
      <c r="H235" s="173" t="str">
        <f>IF(AND(A234="",A236=""),"",IF(A235="",ROUND(SUM($H$28:H234),2),IF(A235=$D$8,$H$27-ROUND(SUM($H$28:H234),2),ROUND($H$27/$D$8,2))))</f>
        <v/>
      </c>
      <c r="I235" s="173" t="str">
        <f t="shared" si="109"/>
        <v/>
      </c>
      <c r="J235" s="173" t="str">
        <f t="shared" si="110"/>
        <v/>
      </c>
      <c r="K235" s="173" t="str">
        <f t="shared" si="92"/>
        <v/>
      </c>
      <c r="L235" s="173" t="str">
        <f t="shared" si="111"/>
        <v/>
      </c>
      <c r="M235" s="173" t="str">
        <f t="shared" si="114"/>
        <v/>
      </c>
      <c r="N235" s="173" t="str">
        <f t="shared" si="115"/>
        <v/>
      </c>
      <c r="O235" s="173" t="str">
        <f t="shared" si="116"/>
        <v/>
      </c>
      <c r="P235" s="173" t="str">
        <f t="shared" si="107"/>
        <v/>
      </c>
      <c r="Q235" s="173" t="str">
        <f t="shared" si="112"/>
        <v/>
      </c>
      <c r="R235" s="173" t="str">
        <f t="shared" si="113"/>
        <v/>
      </c>
      <c r="S235" s="176" t="str">
        <f>IF(A234=$D$8,XIRR(U$27:U234,C$27:C234),"")</f>
        <v/>
      </c>
      <c r="T235" s="173" t="str">
        <f t="shared" si="97"/>
        <v/>
      </c>
      <c r="U235" s="173">
        <f t="shared" si="106"/>
        <v>0</v>
      </c>
      <c r="V235" s="141" t="e">
        <f t="shared" ca="1" si="98"/>
        <v>#VALUE!</v>
      </c>
      <c r="W235" s="141" t="e">
        <f t="shared" ca="1" si="104"/>
        <v>#VALUE!</v>
      </c>
      <c r="X235" s="141" t="e">
        <f t="shared" ca="1" si="99"/>
        <v>#VALUE!</v>
      </c>
      <c r="Y235" s="177" t="e">
        <f t="shared" ca="1" si="91"/>
        <v>#VALUE!</v>
      </c>
      <c r="Z235" s="178" t="e">
        <f t="shared" ca="1" si="100"/>
        <v>#VALUE!</v>
      </c>
      <c r="AA235" s="141">
        <v>208</v>
      </c>
    </row>
    <row r="236" spans="1:27" x14ac:dyDescent="0.35">
      <c r="A236" s="175" t="str">
        <f t="shared" si="105"/>
        <v/>
      </c>
      <c r="B236" s="172">
        <f t="shared" ca="1" si="101"/>
        <v>51558</v>
      </c>
      <c r="C236" s="172" t="str">
        <f t="shared" ca="1" si="102"/>
        <v xml:space="preserve"> </v>
      </c>
      <c r="D236" s="175" t="str">
        <f t="shared" si="108"/>
        <v/>
      </c>
      <c r="E236" s="173" t="e">
        <f t="shared" si="96"/>
        <v>#VALUE!</v>
      </c>
      <c r="F236" s="173" t="str">
        <f>IF(A235=$D$8,SUM(F$28:F235),IF(A235&gt;$D$8,"",G236+H236))</f>
        <v/>
      </c>
      <c r="G236" s="173" t="str">
        <f>IF(A235=$D$8,ROUND(SUM($G$28:G235),2),IF(A236&gt;$F$8,"",IF(W236&lt;&gt;W235,ROUND(SUM(Y236*$E$12*E235/W236,Z236*$E$12*E235/W235),2),ROUND(E235*$E$12*D236/W235,2))))</f>
        <v/>
      </c>
      <c r="H236" s="173" t="str">
        <f>IF(AND(A235="",A237=""),"",IF(A236="",ROUND(SUM($H$28:H235),2),IF(A236=$D$8,$H$27-ROUND(SUM($H$28:H235),2),ROUND($H$27/$D$8,2))))</f>
        <v/>
      </c>
      <c r="I236" s="173" t="str">
        <f t="shared" si="109"/>
        <v/>
      </c>
      <c r="J236" s="173" t="str">
        <f t="shared" si="110"/>
        <v/>
      </c>
      <c r="K236" s="173" t="str">
        <f t="shared" si="92"/>
        <v/>
      </c>
      <c r="L236" s="173" t="str">
        <f t="shared" si="111"/>
        <v/>
      </c>
      <c r="M236" s="173" t="str">
        <f t="shared" si="114"/>
        <v/>
      </c>
      <c r="N236" s="173" t="str">
        <f t="shared" si="115"/>
        <v/>
      </c>
      <c r="O236" s="173" t="str">
        <f t="shared" si="116"/>
        <v/>
      </c>
      <c r="P236" s="173" t="str">
        <f t="shared" si="107"/>
        <v/>
      </c>
      <c r="Q236" s="173" t="str">
        <f t="shared" si="112"/>
        <v/>
      </c>
      <c r="R236" s="173" t="str">
        <f t="shared" si="113"/>
        <v/>
      </c>
      <c r="S236" s="176" t="str">
        <f>IF(A235=$D$8,XIRR(U$27:U235,C$27:C235),"")</f>
        <v/>
      </c>
      <c r="T236" s="173" t="str">
        <f t="shared" si="97"/>
        <v/>
      </c>
      <c r="U236" s="173">
        <f t="shared" si="106"/>
        <v>0</v>
      </c>
      <c r="V236" s="141" t="e">
        <f t="shared" ca="1" si="98"/>
        <v>#VALUE!</v>
      </c>
      <c r="W236" s="141" t="e">
        <f t="shared" ca="1" si="104"/>
        <v>#VALUE!</v>
      </c>
      <c r="X236" s="141" t="e">
        <f t="shared" ca="1" si="99"/>
        <v>#VALUE!</v>
      </c>
      <c r="Y236" s="177" t="e">
        <f t="shared" ca="1" si="91"/>
        <v>#VALUE!</v>
      </c>
      <c r="Z236" s="178" t="e">
        <f t="shared" ca="1" si="100"/>
        <v>#VALUE!</v>
      </c>
      <c r="AA236" s="141">
        <v>209</v>
      </c>
    </row>
    <row r="237" spans="1:27" x14ac:dyDescent="0.35">
      <c r="A237" s="175" t="str">
        <f t="shared" si="105"/>
        <v/>
      </c>
      <c r="B237" s="172">
        <f t="shared" ca="1" si="101"/>
        <v>51586</v>
      </c>
      <c r="C237" s="172" t="str">
        <f t="shared" ca="1" si="102"/>
        <v xml:space="preserve"> </v>
      </c>
      <c r="D237" s="175" t="str">
        <f t="shared" si="108"/>
        <v/>
      </c>
      <c r="E237" s="173" t="e">
        <f t="shared" si="96"/>
        <v>#VALUE!</v>
      </c>
      <c r="F237" s="173" t="str">
        <f>IF(A236=$D$8,SUM(F$28:F236),IF(A236&gt;$D$8,"",G237+H237))</f>
        <v/>
      </c>
      <c r="G237" s="173" t="str">
        <f>IF(A236=$D$8,ROUND(SUM($G$28:G236),2),IF(A237&gt;$F$8,"",IF(W237&lt;&gt;W236,ROUND(SUM(Y237*$E$12*E236/W237,Z237*$E$12*E236/W236),2),ROUND(E236*$E$12*D237/W236,2))))</f>
        <v/>
      </c>
      <c r="H237" s="173" t="str">
        <f>IF(AND(A236="",A238=""),"",IF(A237="",ROUND(SUM($H$28:H236),2),IF(A237=$D$8,$H$27-ROUND(SUM($H$28:H236),2),ROUND($H$27/$D$8,2))))</f>
        <v/>
      </c>
      <c r="I237" s="173" t="str">
        <f t="shared" si="109"/>
        <v/>
      </c>
      <c r="J237" s="173" t="str">
        <f t="shared" si="110"/>
        <v/>
      </c>
      <c r="K237" s="173" t="str">
        <f t="shared" si="92"/>
        <v/>
      </c>
      <c r="L237" s="173" t="str">
        <f t="shared" si="111"/>
        <v/>
      </c>
      <c r="M237" s="173" t="str">
        <f t="shared" si="114"/>
        <v/>
      </c>
      <c r="N237" s="173" t="str">
        <f t="shared" si="115"/>
        <v/>
      </c>
      <c r="O237" s="173" t="str">
        <f t="shared" si="116"/>
        <v/>
      </c>
      <c r="P237" s="173" t="str">
        <f t="shared" si="107"/>
        <v/>
      </c>
      <c r="Q237" s="173" t="str">
        <f t="shared" si="112"/>
        <v/>
      </c>
      <c r="R237" s="173" t="str">
        <f t="shared" si="113"/>
        <v/>
      </c>
      <c r="S237" s="176" t="str">
        <f>IF(A236=$D$8,XIRR(U$27:U236,C$27:C236),"")</f>
        <v/>
      </c>
      <c r="T237" s="173" t="str">
        <f t="shared" si="97"/>
        <v/>
      </c>
      <c r="U237" s="173">
        <f t="shared" si="106"/>
        <v>0</v>
      </c>
      <c r="V237" s="141" t="e">
        <f t="shared" ca="1" si="98"/>
        <v>#VALUE!</v>
      </c>
      <c r="W237" s="141" t="e">
        <f t="shared" ca="1" si="104"/>
        <v>#VALUE!</v>
      </c>
      <c r="X237" s="141" t="e">
        <f t="shared" ca="1" si="99"/>
        <v>#VALUE!</v>
      </c>
      <c r="Y237" s="177" t="e">
        <f t="shared" ca="1" si="91"/>
        <v>#VALUE!</v>
      </c>
      <c r="Z237" s="178" t="e">
        <f t="shared" ca="1" si="100"/>
        <v>#VALUE!</v>
      </c>
      <c r="AA237" s="141">
        <v>210</v>
      </c>
    </row>
    <row r="238" spans="1:27" x14ac:dyDescent="0.35">
      <c r="A238" s="175" t="str">
        <f t="shared" si="105"/>
        <v/>
      </c>
      <c r="B238" s="172">
        <f t="shared" ca="1" si="101"/>
        <v>51617</v>
      </c>
      <c r="C238" s="172" t="str">
        <f t="shared" ca="1" si="102"/>
        <v xml:space="preserve"> </v>
      </c>
      <c r="D238" s="175" t="str">
        <f t="shared" si="108"/>
        <v/>
      </c>
      <c r="E238" s="173" t="e">
        <f t="shared" si="96"/>
        <v>#VALUE!</v>
      </c>
      <c r="F238" s="173" t="str">
        <f>IF(A237=$D$8,SUM(F$28:F237),IF(A237&gt;$D$8,"",G238+H238))</f>
        <v/>
      </c>
      <c r="G238" s="173" t="str">
        <f>IF(A237=$D$8,ROUND(SUM($G$28:G237),2),IF(A238&gt;$F$8,"",IF(W238&lt;&gt;W237,ROUND(SUM(Y238*$E$12*E237/W238,Z238*$E$12*E237/W237),2),ROUND(E237*$E$12*D238/W237,2))))</f>
        <v/>
      </c>
      <c r="H238" s="173" t="str">
        <f>IF(AND(A237="",A239=""),"",IF(A238="",ROUND(SUM($H$28:H237),2),IF(A238=$D$8,$H$27-ROUND(SUM($H$28:H237),2),ROUND($H$27/$D$8,2))))</f>
        <v/>
      </c>
      <c r="I238" s="173" t="str">
        <f t="shared" si="109"/>
        <v/>
      </c>
      <c r="J238" s="173" t="str">
        <f t="shared" si="110"/>
        <v/>
      </c>
      <c r="K238" s="173" t="str">
        <f t="shared" si="92"/>
        <v/>
      </c>
      <c r="L238" s="173" t="str">
        <f t="shared" si="111"/>
        <v/>
      </c>
      <c r="M238" s="173" t="str">
        <f t="shared" si="114"/>
        <v/>
      </c>
      <c r="N238" s="173" t="str">
        <f t="shared" si="115"/>
        <v/>
      </c>
      <c r="O238" s="173" t="str">
        <f t="shared" si="116"/>
        <v/>
      </c>
      <c r="P238" s="173" t="str">
        <f t="shared" si="107"/>
        <v/>
      </c>
      <c r="Q238" s="173" t="str">
        <f t="shared" si="112"/>
        <v/>
      </c>
      <c r="R238" s="173" t="str">
        <f t="shared" si="113"/>
        <v/>
      </c>
      <c r="S238" s="176" t="str">
        <f>IF(A237=$D$8,XIRR(U$27:U237,C$27:C237),"")</f>
        <v/>
      </c>
      <c r="T238" s="173" t="str">
        <f t="shared" si="97"/>
        <v/>
      </c>
      <c r="U238" s="173">
        <f t="shared" si="106"/>
        <v>0</v>
      </c>
      <c r="V238" s="141" t="e">
        <f t="shared" ca="1" si="98"/>
        <v>#VALUE!</v>
      </c>
      <c r="W238" s="141" t="e">
        <f t="shared" ca="1" si="104"/>
        <v>#VALUE!</v>
      </c>
      <c r="X238" s="141" t="e">
        <f t="shared" ca="1" si="99"/>
        <v>#VALUE!</v>
      </c>
      <c r="Y238" s="177" t="e">
        <f t="shared" ca="1" si="91"/>
        <v>#VALUE!</v>
      </c>
      <c r="Z238" s="178" t="e">
        <f t="shared" ca="1" si="100"/>
        <v>#VALUE!</v>
      </c>
      <c r="AA238" s="141">
        <v>211</v>
      </c>
    </row>
    <row r="239" spans="1:27" x14ac:dyDescent="0.35">
      <c r="A239" s="175" t="str">
        <f t="shared" si="105"/>
        <v/>
      </c>
      <c r="B239" s="172">
        <f t="shared" ca="1" si="101"/>
        <v>51647</v>
      </c>
      <c r="C239" s="172" t="str">
        <f t="shared" ca="1" si="102"/>
        <v xml:space="preserve"> </v>
      </c>
      <c r="D239" s="175" t="str">
        <f t="shared" si="108"/>
        <v/>
      </c>
      <c r="E239" s="173" t="e">
        <f t="shared" si="96"/>
        <v>#VALUE!</v>
      </c>
      <c r="F239" s="173" t="str">
        <f>IF(A238=$D$8,SUM(F$28:F238),IF(A238&gt;$D$8,"",G239+H239))</f>
        <v/>
      </c>
      <c r="G239" s="173" t="str">
        <f>IF(A238=$D$8,ROUND(SUM($G$28:G238),2),IF(A239&gt;$F$8,"",IF(W239&lt;&gt;W238,ROUND(SUM(Y239*$E$12*E238/W239,Z239*$E$12*E238/W238),2),ROUND(E238*$E$12*D239/W238,2))))</f>
        <v/>
      </c>
      <c r="H239" s="173" t="str">
        <f>IF(AND(A238="",A240=""),"",IF(A239="",ROUND(SUM($H$28:H238),2),IF(A239=$D$8,$H$27-ROUND(SUM($H$28:H238),2),ROUND($H$27/$D$8,2))))</f>
        <v/>
      </c>
      <c r="I239" s="173" t="str">
        <f t="shared" si="109"/>
        <v/>
      </c>
      <c r="J239" s="173" t="str">
        <f t="shared" si="110"/>
        <v/>
      </c>
      <c r="K239" s="173" t="str">
        <f t="shared" si="92"/>
        <v/>
      </c>
      <c r="L239" s="173" t="str">
        <f t="shared" si="111"/>
        <v/>
      </c>
      <c r="M239" s="173" t="str">
        <f t="shared" si="114"/>
        <v/>
      </c>
      <c r="N239" s="173" t="str">
        <f t="shared" si="115"/>
        <v/>
      </c>
      <c r="O239" s="173" t="str">
        <f t="shared" si="116"/>
        <v/>
      </c>
      <c r="P239" s="173" t="str">
        <f t="shared" si="107"/>
        <v/>
      </c>
      <c r="Q239" s="173" t="str">
        <f t="shared" si="112"/>
        <v/>
      </c>
      <c r="R239" s="173" t="str">
        <f t="shared" si="113"/>
        <v/>
      </c>
      <c r="S239" s="176" t="str">
        <f>IF(A238=$D$8,XIRR(U$27:U238,C$27:C238),"")</f>
        <v/>
      </c>
      <c r="T239" s="173" t="str">
        <f t="shared" si="97"/>
        <v/>
      </c>
      <c r="U239" s="173">
        <f t="shared" si="106"/>
        <v>0</v>
      </c>
      <c r="V239" s="141" t="e">
        <f t="shared" ca="1" si="98"/>
        <v>#VALUE!</v>
      </c>
      <c r="W239" s="141" t="e">
        <f t="shared" ca="1" si="104"/>
        <v>#VALUE!</v>
      </c>
      <c r="X239" s="141" t="e">
        <f t="shared" ca="1" si="99"/>
        <v>#VALUE!</v>
      </c>
      <c r="Y239" s="177" t="e">
        <f t="shared" ca="1" si="91"/>
        <v>#VALUE!</v>
      </c>
      <c r="Z239" s="178" t="e">
        <f t="shared" ca="1" si="100"/>
        <v>#VALUE!</v>
      </c>
      <c r="AA239" s="141">
        <v>212</v>
      </c>
    </row>
    <row r="240" spans="1:27" x14ac:dyDescent="0.35">
      <c r="A240" s="175" t="str">
        <f t="shared" si="105"/>
        <v/>
      </c>
      <c r="B240" s="172">
        <f t="shared" ca="1" si="101"/>
        <v>51678</v>
      </c>
      <c r="C240" s="172" t="str">
        <f t="shared" ca="1" si="102"/>
        <v xml:space="preserve"> </v>
      </c>
      <c r="D240" s="175" t="str">
        <f t="shared" si="108"/>
        <v/>
      </c>
      <c r="E240" s="173" t="e">
        <f t="shared" si="96"/>
        <v>#VALUE!</v>
      </c>
      <c r="F240" s="173" t="str">
        <f>IF(A239=$D$8,SUM(F$28:F239),IF(A239&gt;$D$8,"",G240+H240))</f>
        <v/>
      </c>
      <c r="G240" s="173" t="str">
        <f>IF(A239=$D$8,ROUND(SUM($G$28:G239),2),IF(A240&gt;$F$8,"",IF(W240&lt;&gt;W239,ROUND(SUM(Y240*$E$12*E239/W240,Z240*$E$12*E239/W239),2),ROUND(E239*$E$12*D240/W239,2))))</f>
        <v/>
      </c>
      <c r="H240" s="173" t="str">
        <f>IF(AND(A239="",A241=""),"",IF(A240="",ROUND(SUM($H$28:H239),2),IF(A240=$D$8,$H$27-ROUND(SUM($H$28:H239),2),ROUND($H$27/$D$8,2))))</f>
        <v/>
      </c>
      <c r="I240" s="173" t="str">
        <f t="shared" si="109"/>
        <v/>
      </c>
      <c r="J240" s="173" t="str">
        <f t="shared" si="110"/>
        <v/>
      </c>
      <c r="K240" s="173" t="str">
        <f t="shared" si="92"/>
        <v/>
      </c>
      <c r="L240" s="173" t="str">
        <f t="shared" si="111"/>
        <v/>
      </c>
      <c r="M240" s="173" t="str">
        <f t="shared" si="114"/>
        <v/>
      </c>
      <c r="N240" s="173" t="str">
        <f t="shared" si="115"/>
        <v/>
      </c>
      <c r="O240" s="173" t="str">
        <f t="shared" si="116"/>
        <v/>
      </c>
      <c r="P240" s="173" t="str">
        <f t="shared" si="107"/>
        <v/>
      </c>
      <c r="Q240" s="173" t="str">
        <f t="shared" si="112"/>
        <v/>
      </c>
      <c r="R240" s="173" t="str">
        <f t="shared" si="113"/>
        <v/>
      </c>
      <c r="S240" s="176" t="str">
        <f>IF(A239=$D$8,XIRR(U$27:U239,C$27:C239),"")</f>
        <v/>
      </c>
      <c r="T240" s="173" t="str">
        <f t="shared" si="97"/>
        <v/>
      </c>
      <c r="U240" s="173">
        <f t="shared" si="106"/>
        <v>0</v>
      </c>
      <c r="V240" s="141" t="e">
        <f t="shared" ca="1" si="98"/>
        <v>#VALUE!</v>
      </c>
      <c r="W240" s="141" t="e">
        <f t="shared" ca="1" si="104"/>
        <v>#VALUE!</v>
      </c>
      <c r="X240" s="141" t="e">
        <f t="shared" ca="1" si="99"/>
        <v>#VALUE!</v>
      </c>
      <c r="Y240" s="177" t="e">
        <f t="shared" ref="Y240:Y267" ca="1" si="117">X240-1</f>
        <v>#VALUE!</v>
      </c>
      <c r="Z240" s="178" t="e">
        <f t="shared" ca="1" si="100"/>
        <v>#VALUE!</v>
      </c>
      <c r="AA240" s="141">
        <v>213</v>
      </c>
    </row>
    <row r="241" spans="1:27" x14ac:dyDescent="0.35">
      <c r="A241" s="175" t="str">
        <f t="shared" si="105"/>
        <v/>
      </c>
      <c r="B241" s="172">
        <f t="shared" ca="1" si="101"/>
        <v>51708</v>
      </c>
      <c r="C241" s="172" t="str">
        <f t="shared" ca="1" si="102"/>
        <v xml:space="preserve"> </v>
      </c>
      <c r="D241" s="175" t="str">
        <f t="shared" si="108"/>
        <v/>
      </c>
      <c r="E241" s="173" t="e">
        <f t="shared" si="96"/>
        <v>#VALUE!</v>
      </c>
      <c r="F241" s="173" t="str">
        <f>IF(A240=$D$8,SUM(F$28:F240),IF(A240&gt;$D$8,"",G241+H241))</f>
        <v/>
      </c>
      <c r="G241" s="173" t="str">
        <f>IF(A240=$D$8,ROUND(SUM($G$28:G240),2),IF(A241&gt;$F$8,"",IF(W241&lt;&gt;W240,ROUND(SUM(Y241*$E$12*E240/W241,Z241*$E$12*E240/W240),2),ROUND(E240*$E$12*D241/W240,2))))</f>
        <v/>
      </c>
      <c r="H241" s="173" t="str">
        <f>IF(AND(A240="",A242=""),"",IF(A241="",ROUND(SUM($H$28:H240),2),IF(A241=$D$8,$H$27-ROUND(SUM($H$28:H240),2),ROUND($H$27/$D$8,2))))</f>
        <v/>
      </c>
      <c r="I241" s="173" t="str">
        <f t="shared" si="109"/>
        <v/>
      </c>
      <c r="J241" s="173" t="str">
        <f t="shared" si="110"/>
        <v/>
      </c>
      <c r="K241" s="173" t="str">
        <f t="shared" ref="K241:K243" si="118">IF(A240=$D$8,$K$27,"")</f>
        <v/>
      </c>
      <c r="L241" s="173" t="str">
        <f t="shared" si="111"/>
        <v/>
      </c>
      <c r="M241" s="173" t="str">
        <f t="shared" si="114"/>
        <v/>
      </c>
      <c r="N241" s="173" t="str">
        <f t="shared" si="115"/>
        <v/>
      </c>
      <c r="O241" s="173" t="str">
        <f t="shared" si="116"/>
        <v/>
      </c>
      <c r="P241" s="173" t="str">
        <f t="shared" si="107"/>
        <v/>
      </c>
      <c r="Q241" s="173" t="str">
        <f t="shared" si="112"/>
        <v/>
      </c>
      <c r="R241" s="173" t="str">
        <f t="shared" si="113"/>
        <v/>
      </c>
      <c r="S241" s="176" t="str">
        <f>IF(A240=$D$8,XIRR(U$27:U240,C$27:C240),"")</f>
        <v/>
      </c>
      <c r="T241" s="173" t="str">
        <f t="shared" si="97"/>
        <v/>
      </c>
      <c r="U241" s="173">
        <f t="shared" si="106"/>
        <v>0</v>
      </c>
      <c r="V241" s="141" t="e">
        <f t="shared" ca="1" si="98"/>
        <v>#VALUE!</v>
      </c>
      <c r="W241" s="141" t="e">
        <f t="shared" ca="1" si="104"/>
        <v>#VALUE!</v>
      </c>
      <c r="X241" s="141" t="e">
        <f t="shared" ca="1" si="99"/>
        <v>#VALUE!</v>
      </c>
      <c r="Y241" s="177" t="e">
        <f t="shared" ca="1" si="117"/>
        <v>#VALUE!</v>
      </c>
      <c r="Z241" s="178" t="e">
        <f t="shared" ca="1" si="100"/>
        <v>#VALUE!</v>
      </c>
      <c r="AA241" s="141">
        <v>214</v>
      </c>
    </row>
    <row r="242" spans="1:27" x14ac:dyDescent="0.35">
      <c r="A242" s="175" t="str">
        <f t="shared" si="105"/>
        <v/>
      </c>
      <c r="B242" s="172">
        <f t="shared" ca="1" si="101"/>
        <v>51739</v>
      </c>
      <c r="C242" s="172" t="str">
        <f t="shared" ca="1" si="102"/>
        <v xml:space="preserve"> </v>
      </c>
      <c r="D242" s="175" t="str">
        <f t="shared" si="108"/>
        <v/>
      </c>
      <c r="E242" s="173" t="e">
        <f t="shared" si="96"/>
        <v>#VALUE!</v>
      </c>
      <c r="F242" s="173" t="str">
        <f>IF(A241=$D$8,SUM(F$28:F241),IF(A241&gt;$D$8,"",G242+H242))</f>
        <v/>
      </c>
      <c r="G242" s="173" t="str">
        <f>IF(A241=$D$8,ROUND(SUM($G$28:G241),2),IF(A242&gt;$F$8,"",IF(W242&lt;&gt;W241,ROUND(SUM(Y242*$E$12*E241/W242,Z242*$E$12*E241/W241),2),ROUND(E241*$E$12*D242/W241,2))))</f>
        <v/>
      </c>
      <c r="H242" s="173" t="str">
        <f>IF(AND(A241="",A243=""),"",IF(A242="",ROUND(SUM($H$28:H241),2),IF(A242=$D$8,$H$27-ROUND(SUM($H$28:H241),2),ROUND($H$27/$D$8,2))))</f>
        <v/>
      </c>
      <c r="I242" s="173" t="str">
        <f t="shared" si="109"/>
        <v/>
      </c>
      <c r="J242" s="173" t="str">
        <f t="shared" si="110"/>
        <v/>
      </c>
      <c r="K242" s="173" t="str">
        <f t="shared" si="118"/>
        <v/>
      </c>
      <c r="L242" s="173" t="str">
        <f t="shared" si="111"/>
        <v/>
      </c>
      <c r="M242" s="173" t="str">
        <f t="shared" si="114"/>
        <v/>
      </c>
      <c r="N242" s="173" t="str">
        <f t="shared" si="115"/>
        <v/>
      </c>
      <c r="O242" s="173" t="str">
        <f t="shared" si="116"/>
        <v/>
      </c>
      <c r="P242" s="173" t="str">
        <f t="shared" si="107"/>
        <v/>
      </c>
      <c r="Q242" s="173" t="str">
        <f t="shared" si="112"/>
        <v/>
      </c>
      <c r="R242" s="173" t="str">
        <f t="shared" si="113"/>
        <v/>
      </c>
      <c r="S242" s="176" t="str">
        <f>IF(A241=$D$8,XIRR(U$27:U241,C$27:C241),"")</f>
        <v/>
      </c>
      <c r="T242" s="173" t="str">
        <f t="shared" si="97"/>
        <v/>
      </c>
      <c r="U242" s="173">
        <f t="shared" si="106"/>
        <v>0</v>
      </c>
      <c r="V242" s="141" t="e">
        <f t="shared" ca="1" si="98"/>
        <v>#VALUE!</v>
      </c>
      <c r="W242" s="141" t="e">
        <f t="shared" ca="1" si="104"/>
        <v>#VALUE!</v>
      </c>
      <c r="X242" s="141" t="e">
        <f t="shared" ca="1" si="99"/>
        <v>#VALUE!</v>
      </c>
      <c r="Y242" s="177" t="e">
        <f t="shared" ca="1" si="117"/>
        <v>#VALUE!</v>
      </c>
      <c r="Z242" s="178" t="e">
        <f t="shared" ca="1" si="100"/>
        <v>#VALUE!</v>
      </c>
      <c r="AA242" s="141">
        <v>215</v>
      </c>
    </row>
    <row r="243" spans="1:27" x14ac:dyDescent="0.35">
      <c r="A243" s="175" t="str">
        <f t="shared" si="105"/>
        <v/>
      </c>
      <c r="B243" s="172">
        <f t="shared" ca="1" si="101"/>
        <v>51770</v>
      </c>
      <c r="C243" s="172" t="str">
        <f t="shared" ca="1" si="102"/>
        <v xml:space="preserve"> </v>
      </c>
      <c r="D243" s="175" t="str">
        <f t="shared" si="108"/>
        <v/>
      </c>
      <c r="E243" s="173" t="e">
        <f t="shared" si="96"/>
        <v>#VALUE!</v>
      </c>
      <c r="F243" s="173" t="str">
        <f>IF(A242=$D$8,SUM(F$28:F242),IF(A242&gt;$D$8,"",G243+H243))</f>
        <v/>
      </c>
      <c r="G243" s="173" t="str">
        <f>IF(A242=$D$8,ROUND(SUM($G$28:G242),2),IF(A243&gt;$F$8,"",IF(W243&lt;&gt;W242,ROUND(SUM(Y243*$E$12*E242/W243,Z243*$E$12*E242/W242),2),ROUND(E242*$E$12*D243/W242,2))))</f>
        <v/>
      </c>
      <c r="H243" s="173" t="str">
        <f>IF(AND(A242="",A244=""),"",IF(A243="",ROUND(SUM($H$28:H242),2),IF(A243=$D$8,$H$27-ROUND(SUM($H$28:H242),2),ROUND($H$27/$D$8,2))))</f>
        <v/>
      </c>
      <c r="I243" s="173" t="str">
        <f t="shared" si="109"/>
        <v/>
      </c>
      <c r="J243" s="173" t="str">
        <f t="shared" si="110"/>
        <v/>
      </c>
      <c r="K243" s="173" t="str">
        <f t="shared" si="118"/>
        <v/>
      </c>
      <c r="L243" s="173" t="str">
        <f t="shared" si="111"/>
        <v/>
      </c>
      <c r="M243" s="173" t="str">
        <f t="shared" si="114"/>
        <v/>
      </c>
      <c r="N243" s="173" t="str">
        <f t="shared" si="115"/>
        <v/>
      </c>
      <c r="O243" s="173" t="str">
        <f t="shared" si="116"/>
        <v/>
      </c>
      <c r="P243" s="173" t="str">
        <f t="shared" si="107"/>
        <v/>
      </c>
      <c r="Q243" s="173" t="str">
        <f t="shared" si="112"/>
        <v/>
      </c>
      <c r="R243" s="173" t="str">
        <f t="shared" si="113"/>
        <v/>
      </c>
      <c r="S243" s="176" t="str">
        <f>IF(A242=$D$8,XIRR(U$27:U242,C$27:C242),"")</f>
        <v/>
      </c>
      <c r="T243" s="173" t="str">
        <f t="shared" si="97"/>
        <v/>
      </c>
      <c r="U243" s="173">
        <f t="shared" si="106"/>
        <v>0</v>
      </c>
      <c r="V243" s="141" t="e">
        <f t="shared" ca="1" si="98"/>
        <v>#VALUE!</v>
      </c>
      <c r="W243" s="141" t="e">
        <f t="shared" ca="1" si="104"/>
        <v>#VALUE!</v>
      </c>
      <c r="X243" s="141" t="e">
        <f t="shared" ca="1" si="99"/>
        <v>#VALUE!</v>
      </c>
      <c r="Y243" s="177" t="e">
        <f t="shared" ca="1" si="117"/>
        <v>#VALUE!</v>
      </c>
      <c r="Z243" s="178" t="e">
        <f t="shared" ca="1" si="100"/>
        <v>#VALUE!</v>
      </c>
      <c r="AA243" s="141">
        <v>216</v>
      </c>
    </row>
    <row r="244" spans="1:27" x14ac:dyDescent="0.35">
      <c r="A244" s="175" t="str">
        <f t="shared" si="105"/>
        <v/>
      </c>
      <c r="B244" s="172">
        <f t="shared" ca="1" si="101"/>
        <v>51800</v>
      </c>
      <c r="C244" s="172" t="str">
        <f t="shared" ca="1" si="102"/>
        <v xml:space="preserve"> </v>
      </c>
      <c r="D244" s="175" t="str">
        <f t="shared" si="108"/>
        <v/>
      </c>
      <c r="E244" s="173" t="e">
        <f t="shared" si="96"/>
        <v>#VALUE!</v>
      </c>
      <c r="F244" s="173" t="str">
        <f>IF(A243=$D$8,SUM(F$28:F243),IF(A243&gt;$D$8,"",G244+H244))</f>
        <v/>
      </c>
      <c r="G244" s="173" t="str">
        <f>IF(A243=$D$8,ROUND(SUM($G$28:G243),2),IF(A244&gt;$F$8,"",IF(W244&lt;&gt;W243,ROUND(SUM(Y244*$E$12*E243/W244,Z244*$E$12*E243/W243),2),ROUND(E243*$E$12*D244/W243,2))))</f>
        <v/>
      </c>
      <c r="H244" s="173" t="str">
        <f>IF(AND(A243="",A245=""),"",IF(A244="",ROUND(SUM($H$28:H243),2),IF(A244=$D$8,$H$27-ROUND(SUM($H$28:H243),2),ROUND($H$27/$D$8,2))))</f>
        <v/>
      </c>
      <c r="I244" s="173" t="str">
        <f t="shared" si="109"/>
        <v/>
      </c>
      <c r="J244" s="173" t="str">
        <f t="shared" si="110"/>
        <v/>
      </c>
      <c r="K244" s="173" t="str">
        <f>IF($F$8&gt;216,($R$14),IF(A243=$F$8,K232+K220+K208+K196+K184+K172+K160+K148+K136+K124+K112+K100+K88+K76+K64+K52+K40+K27,""))</f>
        <v/>
      </c>
      <c r="L244" s="173" t="str">
        <f t="shared" si="111"/>
        <v/>
      </c>
      <c r="M244" s="173" t="str">
        <f t="shared" si="114"/>
        <v/>
      </c>
      <c r="N244" s="173" t="str">
        <f t="shared" si="115"/>
        <v/>
      </c>
      <c r="O244" s="173" t="str">
        <f t="shared" si="116"/>
        <v/>
      </c>
      <c r="P244" s="173" t="str">
        <f t="shared" si="107"/>
        <v/>
      </c>
      <c r="Q244" s="173" t="str">
        <f>IF($F$8&gt;216,($S$8+$S$10),IF($A243=$F$8,$Q$40+$Q$27+$Q$52+$Q$64+$Q$76+$Q$88+$Q$100+$Q$112+$Q$124+$Q$136+$Q$148+$Q$160+$Q$172+$Q$196+$Q$184+$Q$208+$Q$220+$Q$232,""))</f>
        <v/>
      </c>
      <c r="R244" s="173" t="str">
        <f t="shared" si="113"/>
        <v/>
      </c>
      <c r="S244" s="176" t="str">
        <f>IF(A243=$D$8,XIRR(U$27:U243,C$27:C243),"")</f>
        <v/>
      </c>
      <c r="T244" s="173" t="str">
        <f t="shared" si="97"/>
        <v/>
      </c>
      <c r="U244" s="173">
        <f t="shared" si="106"/>
        <v>0</v>
      </c>
      <c r="V244" s="141" t="e">
        <f t="shared" ca="1" si="98"/>
        <v>#VALUE!</v>
      </c>
      <c r="W244" s="141" t="e">
        <f t="shared" ca="1" si="104"/>
        <v>#VALUE!</v>
      </c>
      <c r="X244" s="141" t="e">
        <f t="shared" ca="1" si="99"/>
        <v>#VALUE!</v>
      </c>
      <c r="Y244" s="177" t="e">
        <f t="shared" ca="1" si="117"/>
        <v>#VALUE!</v>
      </c>
      <c r="Z244" s="178" t="e">
        <f t="shared" ca="1" si="100"/>
        <v>#VALUE!</v>
      </c>
      <c r="AA244" s="141">
        <v>217</v>
      </c>
    </row>
    <row r="245" spans="1:27" x14ac:dyDescent="0.35">
      <c r="A245" s="175" t="str">
        <f t="shared" si="105"/>
        <v/>
      </c>
      <c r="B245" s="172">
        <f t="shared" ca="1" si="101"/>
        <v>51831</v>
      </c>
      <c r="C245" s="172" t="str">
        <f t="shared" ca="1" si="102"/>
        <v xml:space="preserve"> </v>
      </c>
      <c r="D245" s="175" t="str">
        <f t="shared" si="108"/>
        <v/>
      </c>
      <c r="E245" s="173" t="e">
        <f t="shared" si="96"/>
        <v>#VALUE!</v>
      </c>
      <c r="F245" s="173" t="str">
        <f>IF(A244=$D$8,SUM(F$28:F244),IF(A244&gt;$D$8,"",G245+H245))</f>
        <v/>
      </c>
      <c r="G245" s="173" t="str">
        <f>IF(A244=$D$8,ROUND(SUM($G$28:G244),2),IF(A245&gt;$F$8,"",IF(W245&lt;&gt;W244,ROUND(SUM(Y245*$E$12*E244/W245,Z245*$E$12*E244/W244),2),ROUND(E244*$E$12*D245/W244,2))))</f>
        <v/>
      </c>
      <c r="H245" s="173" t="str">
        <f>IF(AND(A244="",A246=""),"",IF(A245="",ROUND(SUM($H$28:H244),2),IF(A245=$D$8,$H$27-ROUND(SUM($H$28:H244),2),ROUND($H$27/$D$8,2))))</f>
        <v/>
      </c>
      <c r="I245" s="173" t="str">
        <f t="shared" si="109"/>
        <v/>
      </c>
      <c r="J245" s="173" t="str">
        <f t="shared" si="110"/>
        <v/>
      </c>
      <c r="K245" s="173" t="str">
        <f t="shared" ref="K245:K267" si="119">IF(A244=$D$8,$K$27,"")</f>
        <v/>
      </c>
      <c r="L245" s="173" t="str">
        <f t="shared" si="111"/>
        <v/>
      </c>
      <c r="M245" s="173" t="str">
        <f t="shared" si="114"/>
        <v/>
      </c>
      <c r="N245" s="173" t="str">
        <f t="shared" si="115"/>
        <v/>
      </c>
      <c r="O245" s="173" t="str">
        <f t="shared" si="116"/>
        <v/>
      </c>
      <c r="P245" s="173" t="str">
        <f t="shared" si="107"/>
        <v/>
      </c>
      <c r="Q245" s="173" t="str">
        <f t="shared" ref="Q245:Q255" si="120">IF(A244=$D$8,$Q$27,"")</f>
        <v/>
      </c>
      <c r="R245" s="173" t="str">
        <f t="shared" si="113"/>
        <v/>
      </c>
      <c r="S245" s="176" t="str">
        <f>IF(A244=$D$8,XIRR(U$27:U244,C$27:C244),"")</f>
        <v/>
      </c>
      <c r="T245" s="173" t="str">
        <f t="shared" si="97"/>
        <v/>
      </c>
      <c r="U245" s="173">
        <f t="shared" si="106"/>
        <v>0</v>
      </c>
      <c r="V245" s="141" t="e">
        <f t="shared" ca="1" si="98"/>
        <v>#VALUE!</v>
      </c>
      <c r="W245" s="141" t="e">
        <f t="shared" ca="1" si="104"/>
        <v>#VALUE!</v>
      </c>
      <c r="X245" s="141" t="e">
        <f t="shared" ca="1" si="99"/>
        <v>#VALUE!</v>
      </c>
      <c r="Y245" s="177" t="e">
        <f t="shared" ca="1" si="117"/>
        <v>#VALUE!</v>
      </c>
      <c r="Z245" s="178" t="e">
        <f t="shared" ca="1" si="100"/>
        <v>#VALUE!</v>
      </c>
      <c r="AA245" s="141">
        <v>218</v>
      </c>
    </row>
    <row r="246" spans="1:27" x14ac:dyDescent="0.35">
      <c r="A246" s="175" t="str">
        <f t="shared" si="105"/>
        <v/>
      </c>
      <c r="B246" s="172">
        <f t="shared" ca="1" si="101"/>
        <v>51861</v>
      </c>
      <c r="C246" s="172" t="str">
        <f t="shared" ca="1" si="102"/>
        <v xml:space="preserve"> </v>
      </c>
      <c r="D246" s="175" t="str">
        <f t="shared" si="108"/>
        <v/>
      </c>
      <c r="E246" s="173" t="e">
        <f t="shared" si="96"/>
        <v>#VALUE!</v>
      </c>
      <c r="F246" s="173" t="str">
        <f>IF(A245=$D$8,SUM(F$28:F245),IF(A245&gt;$D$8,"",G246+H246))</f>
        <v/>
      </c>
      <c r="G246" s="173" t="str">
        <f>IF(A245=$D$8,ROUND(SUM($G$28:G245),2),IF(A246&gt;$F$8,"",IF(W246&lt;&gt;W245,ROUND(SUM(Y246*$E$12*E245/W246,Z246*$E$12*E245/W245),2),ROUND(E245*$E$12*D246/W245,2))))</f>
        <v/>
      </c>
      <c r="H246" s="173" t="str">
        <f>IF(AND(A245="",A247=""),"",IF(A246="",ROUND(SUM($H$28:H245),2),IF(A246=$D$8,$H$27-ROUND(SUM($H$28:H245),2),ROUND($H$27/$D$8,2))))</f>
        <v/>
      </c>
      <c r="I246" s="173" t="str">
        <f t="shared" si="109"/>
        <v/>
      </c>
      <c r="J246" s="173" t="str">
        <f t="shared" si="110"/>
        <v/>
      </c>
      <c r="K246" s="173" t="str">
        <f t="shared" si="119"/>
        <v/>
      </c>
      <c r="L246" s="173" t="str">
        <f t="shared" si="111"/>
        <v/>
      </c>
      <c r="M246" s="173" t="str">
        <f t="shared" si="114"/>
        <v/>
      </c>
      <c r="N246" s="173" t="str">
        <f t="shared" si="115"/>
        <v/>
      </c>
      <c r="O246" s="173" t="str">
        <f t="shared" si="116"/>
        <v/>
      </c>
      <c r="P246" s="173" t="str">
        <f t="shared" si="107"/>
        <v/>
      </c>
      <c r="Q246" s="173" t="str">
        <f t="shared" si="120"/>
        <v/>
      </c>
      <c r="R246" s="173" t="str">
        <f t="shared" si="113"/>
        <v/>
      </c>
      <c r="S246" s="176" t="str">
        <f>IF(A245=$D$8,XIRR(U$27:U245,C$27:C245),"")</f>
        <v/>
      </c>
      <c r="T246" s="173" t="str">
        <f t="shared" si="97"/>
        <v/>
      </c>
      <c r="U246" s="173">
        <f t="shared" si="106"/>
        <v>0</v>
      </c>
      <c r="V246" s="141" t="e">
        <f t="shared" ca="1" si="98"/>
        <v>#VALUE!</v>
      </c>
      <c r="W246" s="141" t="e">
        <f t="shared" ca="1" si="104"/>
        <v>#VALUE!</v>
      </c>
      <c r="X246" s="141" t="e">
        <f t="shared" ca="1" si="99"/>
        <v>#VALUE!</v>
      </c>
      <c r="Y246" s="177" t="e">
        <f t="shared" ca="1" si="117"/>
        <v>#VALUE!</v>
      </c>
      <c r="Z246" s="178" t="e">
        <f t="shared" ca="1" si="100"/>
        <v>#VALUE!</v>
      </c>
      <c r="AA246" s="141">
        <v>219</v>
      </c>
    </row>
    <row r="247" spans="1:27" x14ac:dyDescent="0.35">
      <c r="A247" s="175" t="str">
        <f t="shared" si="105"/>
        <v/>
      </c>
      <c r="B247" s="172">
        <f t="shared" ca="1" si="101"/>
        <v>51892</v>
      </c>
      <c r="C247" s="172" t="str">
        <f t="shared" ca="1" si="102"/>
        <v xml:space="preserve"> </v>
      </c>
      <c r="D247" s="175" t="str">
        <f t="shared" si="108"/>
        <v/>
      </c>
      <c r="E247" s="173" t="e">
        <f t="shared" si="96"/>
        <v>#VALUE!</v>
      </c>
      <c r="F247" s="173" t="str">
        <f>IF(A246=$D$8,SUM(F$28:F246),IF(A246&gt;$D$8,"",G247+H247))</f>
        <v/>
      </c>
      <c r="G247" s="173" t="str">
        <f>IF(A246=$D$8,ROUND(SUM($G$28:G246),2),IF(A247&gt;$F$8,"",IF(W247&lt;&gt;W246,ROUND(SUM(Y247*$E$12*E246/W247,Z247*$E$12*E246/W246),2),ROUND(E246*$E$12*D247/W246,2))))</f>
        <v/>
      </c>
      <c r="H247" s="173" t="str">
        <f>IF(AND(A246="",A248=""),"",IF(A247="",ROUND(SUM($H$28:H246),2),IF(A247=$D$8,$H$27-ROUND(SUM($H$28:H246),2),ROUND($H$27/$D$8,2))))</f>
        <v/>
      </c>
      <c r="I247" s="173" t="str">
        <f t="shared" si="109"/>
        <v/>
      </c>
      <c r="J247" s="173" t="str">
        <f t="shared" si="110"/>
        <v/>
      </c>
      <c r="K247" s="173" t="str">
        <f t="shared" si="119"/>
        <v/>
      </c>
      <c r="L247" s="173" t="str">
        <f t="shared" si="111"/>
        <v/>
      </c>
      <c r="M247" s="173" t="str">
        <f t="shared" si="114"/>
        <v/>
      </c>
      <c r="N247" s="173" t="str">
        <f t="shared" si="115"/>
        <v/>
      </c>
      <c r="O247" s="173" t="str">
        <f t="shared" si="116"/>
        <v/>
      </c>
      <c r="P247" s="173" t="str">
        <f t="shared" si="107"/>
        <v/>
      </c>
      <c r="Q247" s="173" t="str">
        <f t="shared" si="120"/>
        <v/>
      </c>
      <c r="R247" s="173" t="str">
        <f t="shared" si="113"/>
        <v/>
      </c>
      <c r="S247" s="176" t="str">
        <f>IF(A246=$D$8,XIRR(U$27:U246,C$27:C246),"")</f>
        <v/>
      </c>
      <c r="T247" s="173" t="str">
        <f t="shared" si="97"/>
        <v/>
      </c>
      <c r="U247" s="173">
        <f t="shared" si="106"/>
        <v>0</v>
      </c>
      <c r="V247" s="141" t="e">
        <f t="shared" ca="1" si="98"/>
        <v>#VALUE!</v>
      </c>
      <c r="W247" s="141" t="e">
        <f t="shared" ca="1" si="104"/>
        <v>#VALUE!</v>
      </c>
      <c r="X247" s="141" t="e">
        <f t="shared" ca="1" si="99"/>
        <v>#VALUE!</v>
      </c>
      <c r="Y247" s="177" t="e">
        <f t="shared" ca="1" si="117"/>
        <v>#VALUE!</v>
      </c>
      <c r="Z247" s="178" t="e">
        <f t="shared" ca="1" si="100"/>
        <v>#VALUE!</v>
      </c>
      <c r="AA247" s="141">
        <v>220</v>
      </c>
    </row>
    <row r="248" spans="1:27" x14ac:dyDescent="0.35">
      <c r="A248" s="175" t="str">
        <f t="shared" si="105"/>
        <v/>
      </c>
      <c r="B248" s="172">
        <f t="shared" ca="1" si="101"/>
        <v>51923</v>
      </c>
      <c r="C248" s="172" t="str">
        <f t="shared" ca="1" si="102"/>
        <v xml:space="preserve"> </v>
      </c>
      <c r="D248" s="175" t="str">
        <f t="shared" si="108"/>
        <v/>
      </c>
      <c r="E248" s="173" t="e">
        <f t="shared" si="96"/>
        <v>#VALUE!</v>
      </c>
      <c r="F248" s="173" t="str">
        <f>IF(A247=$D$8,SUM(F$28:F247),IF(A247&gt;$D$8,"",G248+H248))</f>
        <v/>
      </c>
      <c r="G248" s="173" t="str">
        <f>IF(A247=$D$8,ROUND(SUM($G$28:G247),2),IF(A248&gt;$F$8,"",IF(W248&lt;&gt;W247,ROUND(SUM(Y248*$E$12*E247/W248,Z248*$E$12*E247/W247),2),ROUND(E247*$E$12*D248/W247,2))))</f>
        <v/>
      </c>
      <c r="H248" s="173" t="str">
        <f>IF(AND(A247="",A249=""),"",IF(A248="",ROUND(SUM($H$28:H247),2),IF(A248=$D$8,$H$27-ROUND(SUM($H$28:H247),2),ROUND($H$27/$D$8,2))))</f>
        <v/>
      </c>
      <c r="I248" s="173" t="str">
        <f t="shared" si="109"/>
        <v/>
      </c>
      <c r="J248" s="173" t="str">
        <f t="shared" si="110"/>
        <v/>
      </c>
      <c r="K248" s="173" t="str">
        <f t="shared" si="119"/>
        <v/>
      </c>
      <c r="L248" s="173" t="str">
        <f t="shared" si="111"/>
        <v/>
      </c>
      <c r="M248" s="173" t="str">
        <f t="shared" si="114"/>
        <v/>
      </c>
      <c r="N248" s="173" t="str">
        <f t="shared" si="115"/>
        <v/>
      </c>
      <c r="O248" s="173" t="str">
        <f t="shared" si="116"/>
        <v/>
      </c>
      <c r="P248" s="173" t="str">
        <f t="shared" si="107"/>
        <v/>
      </c>
      <c r="Q248" s="173" t="str">
        <f t="shared" si="120"/>
        <v/>
      </c>
      <c r="R248" s="173" t="str">
        <f t="shared" si="113"/>
        <v/>
      </c>
      <c r="S248" s="176" t="str">
        <f>IF(A247=$D$8,XIRR(U$27:U247,C$27:C247),"")</f>
        <v/>
      </c>
      <c r="T248" s="173" t="str">
        <f t="shared" si="97"/>
        <v/>
      </c>
      <c r="U248" s="173">
        <f t="shared" si="106"/>
        <v>0</v>
      </c>
      <c r="V248" s="141" t="e">
        <f t="shared" ca="1" si="98"/>
        <v>#VALUE!</v>
      </c>
      <c r="W248" s="141" t="e">
        <f t="shared" ca="1" si="104"/>
        <v>#VALUE!</v>
      </c>
      <c r="X248" s="141" t="e">
        <f t="shared" ca="1" si="99"/>
        <v>#VALUE!</v>
      </c>
      <c r="Y248" s="177" t="e">
        <f t="shared" ca="1" si="117"/>
        <v>#VALUE!</v>
      </c>
      <c r="Z248" s="178" t="e">
        <f t="shared" ca="1" si="100"/>
        <v>#VALUE!</v>
      </c>
      <c r="AA248" s="141">
        <v>221</v>
      </c>
    </row>
    <row r="249" spans="1:27" x14ac:dyDescent="0.35">
      <c r="A249" s="175" t="str">
        <f t="shared" si="105"/>
        <v/>
      </c>
      <c r="B249" s="172">
        <f t="shared" ca="1" si="101"/>
        <v>51951</v>
      </c>
      <c r="C249" s="172" t="str">
        <f t="shared" ca="1" si="102"/>
        <v xml:space="preserve"> </v>
      </c>
      <c r="D249" s="175" t="str">
        <f t="shared" si="108"/>
        <v/>
      </c>
      <c r="E249" s="173" t="e">
        <f t="shared" si="96"/>
        <v>#VALUE!</v>
      </c>
      <c r="F249" s="173" t="str">
        <f>IF(A248=$D$8,SUM(F$28:F248),IF(A248&gt;$D$8,"",G249+H249))</f>
        <v/>
      </c>
      <c r="G249" s="173" t="str">
        <f>IF(A248=$D$8,ROUND(SUM($G$28:G248),2),IF(A249&gt;$F$8,"",IF(W249&lt;&gt;W248,ROUND(SUM(Y249*$E$12*E248/W249,Z249*$E$12*E248/W248),2),ROUND(E248*$E$12*D249/W248,2))))</f>
        <v/>
      </c>
      <c r="H249" s="173" t="str">
        <f>IF(AND(A248="",A250=""),"",IF(A249="",ROUND(SUM($H$28:H248),2),IF(A249=$D$8,$H$27-ROUND(SUM($H$28:H248),2),ROUND($H$27/$D$8,2))))</f>
        <v/>
      </c>
      <c r="I249" s="173" t="str">
        <f t="shared" si="109"/>
        <v/>
      </c>
      <c r="J249" s="173" t="str">
        <f t="shared" si="110"/>
        <v/>
      </c>
      <c r="K249" s="173" t="str">
        <f t="shared" si="119"/>
        <v/>
      </c>
      <c r="L249" s="173" t="str">
        <f t="shared" si="111"/>
        <v/>
      </c>
      <c r="M249" s="173" t="str">
        <f t="shared" si="114"/>
        <v/>
      </c>
      <c r="N249" s="173" t="str">
        <f t="shared" si="115"/>
        <v/>
      </c>
      <c r="O249" s="173" t="str">
        <f t="shared" si="116"/>
        <v/>
      </c>
      <c r="P249" s="173" t="str">
        <f t="shared" si="107"/>
        <v/>
      </c>
      <c r="Q249" s="173" t="str">
        <f t="shared" si="120"/>
        <v/>
      </c>
      <c r="R249" s="173" t="str">
        <f t="shared" si="113"/>
        <v/>
      </c>
      <c r="S249" s="176" t="str">
        <f>IF(A248=$D$8,XIRR(U$27:U248,C$27:C248),"")</f>
        <v/>
      </c>
      <c r="T249" s="173" t="str">
        <f t="shared" si="97"/>
        <v/>
      </c>
      <c r="U249" s="173">
        <f t="shared" si="106"/>
        <v>0</v>
      </c>
      <c r="V249" s="141" t="e">
        <f t="shared" ca="1" si="98"/>
        <v>#VALUE!</v>
      </c>
      <c r="W249" s="141" t="e">
        <f t="shared" ca="1" si="104"/>
        <v>#VALUE!</v>
      </c>
      <c r="X249" s="141" t="e">
        <f t="shared" ca="1" si="99"/>
        <v>#VALUE!</v>
      </c>
      <c r="Y249" s="177" t="e">
        <f t="shared" ca="1" si="117"/>
        <v>#VALUE!</v>
      </c>
      <c r="Z249" s="178" t="e">
        <f t="shared" ca="1" si="100"/>
        <v>#VALUE!</v>
      </c>
      <c r="AA249" s="141">
        <v>222</v>
      </c>
    </row>
    <row r="250" spans="1:27" x14ac:dyDescent="0.35">
      <c r="A250" s="175" t="str">
        <f t="shared" si="105"/>
        <v/>
      </c>
      <c r="B250" s="172">
        <f t="shared" ca="1" si="101"/>
        <v>51982</v>
      </c>
      <c r="C250" s="172" t="str">
        <f t="shared" ca="1" si="102"/>
        <v xml:space="preserve"> </v>
      </c>
      <c r="D250" s="175" t="str">
        <f t="shared" si="108"/>
        <v/>
      </c>
      <c r="E250" s="173" t="e">
        <f t="shared" si="96"/>
        <v>#VALUE!</v>
      </c>
      <c r="F250" s="173" t="str">
        <f>IF(A249=$D$8,SUM(F$28:F249),IF(A249&gt;$D$8,"",G250+H250))</f>
        <v/>
      </c>
      <c r="G250" s="173" t="str">
        <f>IF(A249=$D$8,ROUND(SUM($G$28:G249),2),IF(A250&gt;$F$8,"",IF(W250&lt;&gt;W249,ROUND(SUM(Y250*$E$12*E249/W250,Z250*$E$12*E249/W249),2),ROUND(E249*$E$12*D250/W249,2))))</f>
        <v/>
      </c>
      <c r="H250" s="173" t="str">
        <f>IF(AND(A249="",A251=""),"",IF(A250="",ROUND(SUM($H$28:H249),2),IF(A250=$D$8,$H$27-ROUND(SUM($H$28:H249),2),ROUND($H$27/$D$8,2))))</f>
        <v/>
      </c>
      <c r="I250" s="173" t="str">
        <f t="shared" si="109"/>
        <v/>
      </c>
      <c r="J250" s="173" t="str">
        <f t="shared" si="110"/>
        <v/>
      </c>
      <c r="K250" s="173" t="str">
        <f t="shared" si="119"/>
        <v/>
      </c>
      <c r="L250" s="173" t="str">
        <f t="shared" si="111"/>
        <v/>
      </c>
      <c r="M250" s="173" t="str">
        <f t="shared" si="114"/>
        <v/>
      </c>
      <c r="N250" s="173" t="str">
        <f t="shared" si="115"/>
        <v/>
      </c>
      <c r="O250" s="173" t="str">
        <f t="shared" si="116"/>
        <v/>
      </c>
      <c r="P250" s="173" t="str">
        <f t="shared" si="107"/>
        <v/>
      </c>
      <c r="Q250" s="173" t="str">
        <f t="shared" si="120"/>
        <v/>
      </c>
      <c r="R250" s="173" t="str">
        <f t="shared" si="113"/>
        <v/>
      </c>
      <c r="S250" s="176" t="str">
        <f>IF(A249=$D$8,XIRR(U$27:U249,C$27:C249),"")</f>
        <v/>
      </c>
      <c r="T250" s="173" t="str">
        <f t="shared" si="97"/>
        <v/>
      </c>
      <c r="U250" s="173">
        <f t="shared" si="106"/>
        <v>0</v>
      </c>
      <c r="V250" s="141" t="e">
        <f t="shared" ca="1" si="98"/>
        <v>#VALUE!</v>
      </c>
      <c r="W250" s="141" t="e">
        <f t="shared" ca="1" si="104"/>
        <v>#VALUE!</v>
      </c>
      <c r="X250" s="141" t="e">
        <f t="shared" ca="1" si="99"/>
        <v>#VALUE!</v>
      </c>
      <c r="Y250" s="177" t="e">
        <f t="shared" ca="1" si="117"/>
        <v>#VALUE!</v>
      </c>
      <c r="Z250" s="178" t="e">
        <f t="shared" ca="1" si="100"/>
        <v>#VALUE!</v>
      </c>
      <c r="AA250" s="141">
        <v>223</v>
      </c>
    </row>
    <row r="251" spans="1:27" x14ac:dyDescent="0.35">
      <c r="A251" s="175" t="str">
        <f t="shared" si="105"/>
        <v/>
      </c>
      <c r="B251" s="172">
        <f t="shared" ca="1" si="101"/>
        <v>52012</v>
      </c>
      <c r="C251" s="172" t="str">
        <f t="shared" ca="1" si="102"/>
        <v xml:space="preserve"> </v>
      </c>
      <c r="D251" s="175" t="str">
        <f t="shared" si="108"/>
        <v/>
      </c>
      <c r="E251" s="173" t="e">
        <f t="shared" si="96"/>
        <v>#VALUE!</v>
      </c>
      <c r="F251" s="173" t="str">
        <f>IF(A250=$D$8,SUM(F$28:F250),IF(A250&gt;$D$8,"",G251+H251))</f>
        <v/>
      </c>
      <c r="G251" s="173" t="str">
        <f>IF(A250=$D$8,ROUND(SUM($G$28:G250),2),IF(A251&gt;$F$8,"",IF(W251&lt;&gt;W250,ROUND(SUM(Y251*$E$12*E250/W251,Z251*$E$12*E250/W250),2),ROUND(E250*$E$12*D251/W250,2))))</f>
        <v/>
      </c>
      <c r="H251" s="173" t="str">
        <f>IF(AND(A250="",A252=""),"",IF(A251="",ROUND(SUM($H$28:H250),2),IF(A251=$D$8,$H$27-ROUND(SUM($H$28:H250),2),ROUND($H$27/$D$8,2))))</f>
        <v/>
      </c>
      <c r="I251" s="173" t="str">
        <f t="shared" si="109"/>
        <v/>
      </c>
      <c r="J251" s="173" t="str">
        <f t="shared" si="110"/>
        <v/>
      </c>
      <c r="K251" s="173" t="str">
        <f t="shared" si="119"/>
        <v/>
      </c>
      <c r="L251" s="173" t="str">
        <f t="shared" si="111"/>
        <v/>
      </c>
      <c r="M251" s="173" t="str">
        <f t="shared" si="114"/>
        <v/>
      </c>
      <c r="N251" s="173" t="str">
        <f t="shared" si="115"/>
        <v/>
      </c>
      <c r="O251" s="173" t="str">
        <f t="shared" si="116"/>
        <v/>
      </c>
      <c r="P251" s="173" t="str">
        <f t="shared" si="107"/>
        <v/>
      </c>
      <c r="Q251" s="173" t="str">
        <f t="shared" si="120"/>
        <v/>
      </c>
      <c r="R251" s="173" t="str">
        <f t="shared" si="113"/>
        <v/>
      </c>
      <c r="S251" s="176" t="str">
        <f>IF(A250=$D$8,XIRR(U$27:U250,C$27:C250),"")</f>
        <v/>
      </c>
      <c r="T251" s="173" t="str">
        <f t="shared" si="97"/>
        <v/>
      </c>
      <c r="U251" s="173">
        <f t="shared" si="106"/>
        <v>0</v>
      </c>
      <c r="V251" s="141" t="e">
        <f t="shared" ca="1" si="98"/>
        <v>#VALUE!</v>
      </c>
      <c r="W251" s="141" t="e">
        <f t="shared" ca="1" si="104"/>
        <v>#VALUE!</v>
      </c>
      <c r="X251" s="141" t="e">
        <f t="shared" ca="1" si="99"/>
        <v>#VALUE!</v>
      </c>
      <c r="Y251" s="177" t="e">
        <f t="shared" ca="1" si="117"/>
        <v>#VALUE!</v>
      </c>
      <c r="Z251" s="178" t="e">
        <f t="shared" ca="1" si="100"/>
        <v>#VALUE!</v>
      </c>
      <c r="AA251" s="141">
        <v>224</v>
      </c>
    </row>
    <row r="252" spans="1:27" x14ac:dyDescent="0.35">
      <c r="A252" s="175" t="str">
        <f t="shared" si="105"/>
        <v/>
      </c>
      <c r="B252" s="172">
        <f t="shared" ca="1" si="101"/>
        <v>52043</v>
      </c>
      <c r="C252" s="172" t="str">
        <f t="shared" ca="1" si="102"/>
        <v xml:space="preserve"> </v>
      </c>
      <c r="D252" s="175" t="str">
        <f t="shared" si="108"/>
        <v/>
      </c>
      <c r="E252" s="173" t="e">
        <f t="shared" si="96"/>
        <v>#VALUE!</v>
      </c>
      <c r="F252" s="173" t="str">
        <f>IF(A251=$D$8,SUM(F$28:F251),IF(A251&gt;$D$8,"",G252+H252))</f>
        <v/>
      </c>
      <c r="G252" s="173" t="str">
        <f>IF(A251=$D$8,ROUND(SUM($G$28:G251),2),IF(A252&gt;$F$8,"",IF(W252&lt;&gt;W251,ROUND(SUM(Y252*$E$12*E251/W252,Z252*$E$12*E251/W251),2),ROUND(E251*$E$12*D252/W251,2))))</f>
        <v/>
      </c>
      <c r="H252" s="173" t="str">
        <f>IF(AND(A251="",A253=""),"",IF(A252="",ROUND(SUM($H$28:H251),2),IF(A252=$D$8,$H$27-ROUND(SUM($H$28:H251),2),ROUND($H$27/$D$8,2))))</f>
        <v/>
      </c>
      <c r="I252" s="173" t="str">
        <f t="shared" si="109"/>
        <v/>
      </c>
      <c r="J252" s="173" t="str">
        <f t="shared" si="110"/>
        <v/>
      </c>
      <c r="K252" s="173" t="str">
        <f t="shared" si="119"/>
        <v/>
      </c>
      <c r="L252" s="173" t="str">
        <f t="shared" si="111"/>
        <v/>
      </c>
      <c r="M252" s="173" t="str">
        <f t="shared" si="114"/>
        <v/>
      </c>
      <c r="N252" s="173" t="str">
        <f t="shared" si="115"/>
        <v/>
      </c>
      <c r="O252" s="173" t="str">
        <f t="shared" si="116"/>
        <v/>
      </c>
      <c r="P252" s="173" t="str">
        <f t="shared" si="107"/>
        <v/>
      </c>
      <c r="Q252" s="173" t="str">
        <f t="shared" si="120"/>
        <v/>
      </c>
      <c r="R252" s="173" t="str">
        <f t="shared" si="113"/>
        <v/>
      </c>
      <c r="S252" s="176" t="str">
        <f>IF(A251=$D$8,XIRR(U$27:U251,C$27:C251),"")</f>
        <v/>
      </c>
      <c r="T252" s="173" t="str">
        <f t="shared" si="97"/>
        <v/>
      </c>
      <c r="U252" s="173">
        <f t="shared" si="106"/>
        <v>0</v>
      </c>
      <c r="V252" s="141" t="e">
        <f t="shared" ca="1" si="98"/>
        <v>#VALUE!</v>
      </c>
      <c r="W252" s="141" t="e">
        <f t="shared" ca="1" si="104"/>
        <v>#VALUE!</v>
      </c>
      <c r="X252" s="141" t="e">
        <f t="shared" ca="1" si="99"/>
        <v>#VALUE!</v>
      </c>
      <c r="Y252" s="177" t="e">
        <f t="shared" ca="1" si="117"/>
        <v>#VALUE!</v>
      </c>
      <c r="Z252" s="178" t="e">
        <f t="shared" ca="1" si="100"/>
        <v>#VALUE!</v>
      </c>
      <c r="AA252" s="141">
        <v>225</v>
      </c>
    </row>
    <row r="253" spans="1:27" x14ac:dyDescent="0.35">
      <c r="A253" s="175" t="str">
        <f t="shared" si="105"/>
        <v/>
      </c>
      <c r="B253" s="172">
        <f t="shared" ca="1" si="101"/>
        <v>52073</v>
      </c>
      <c r="C253" s="172" t="str">
        <f t="shared" ca="1" si="102"/>
        <v xml:space="preserve"> </v>
      </c>
      <c r="D253" s="175" t="str">
        <f t="shared" si="108"/>
        <v/>
      </c>
      <c r="E253" s="173" t="e">
        <f t="shared" si="96"/>
        <v>#VALUE!</v>
      </c>
      <c r="F253" s="173" t="str">
        <f>IF(A252=$D$8,SUM(F$28:F252),IF(A252&gt;$D$8,"",G253+H253))</f>
        <v/>
      </c>
      <c r="G253" s="173" t="str">
        <f>IF(A252=$D$8,ROUND(SUM($G$28:G252),2),IF(A253&gt;$F$8,"",IF(W253&lt;&gt;W252,ROUND(SUM(Y253*$E$12*E252/W253,Z253*$E$12*E252/W252),2),ROUND(E252*$E$12*D253/W252,2))))</f>
        <v/>
      </c>
      <c r="H253" s="173" t="str">
        <f>IF(AND(A252="",A254=""),"",IF(A253="",ROUND(SUM($H$28:H252),2),IF(A253=$D$8,$H$27-ROUND(SUM($H$28:H252),2),ROUND($H$27/$D$8,2))))</f>
        <v/>
      </c>
      <c r="I253" s="173" t="str">
        <f t="shared" si="109"/>
        <v/>
      </c>
      <c r="J253" s="173" t="str">
        <f t="shared" si="110"/>
        <v/>
      </c>
      <c r="K253" s="173" t="str">
        <f t="shared" si="119"/>
        <v/>
      </c>
      <c r="L253" s="173" t="str">
        <f t="shared" si="111"/>
        <v/>
      </c>
      <c r="M253" s="173" t="str">
        <f t="shared" si="114"/>
        <v/>
      </c>
      <c r="N253" s="173" t="str">
        <f t="shared" si="115"/>
        <v/>
      </c>
      <c r="O253" s="173" t="str">
        <f t="shared" si="116"/>
        <v/>
      </c>
      <c r="P253" s="173" t="str">
        <f t="shared" si="107"/>
        <v/>
      </c>
      <c r="Q253" s="173" t="str">
        <f t="shared" si="120"/>
        <v/>
      </c>
      <c r="R253" s="173" t="str">
        <f t="shared" si="113"/>
        <v/>
      </c>
      <c r="S253" s="176" t="str">
        <f>IF(A252=$D$8,XIRR(U$27:U252,C$27:C252),"")</f>
        <v/>
      </c>
      <c r="T253" s="173" t="str">
        <f t="shared" si="97"/>
        <v/>
      </c>
      <c r="U253" s="173">
        <f t="shared" si="106"/>
        <v>0</v>
      </c>
      <c r="V253" s="141" t="e">
        <f t="shared" ca="1" si="98"/>
        <v>#VALUE!</v>
      </c>
      <c r="W253" s="141" t="e">
        <f t="shared" ca="1" si="104"/>
        <v>#VALUE!</v>
      </c>
      <c r="X253" s="141" t="e">
        <f t="shared" ca="1" si="99"/>
        <v>#VALUE!</v>
      </c>
      <c r="Y253" s="177" t="e">
        <f t="shared" ca="1" si="117"/>
        <v>#VALUE!</v>
      </c>
      <c r="Z253" s="178" t="e">
        <f t="shared" ca="1" si="100"/>
        <v>#VALUE!</v>
      </c>
      <c r="AA253" s="141">
        <v>226</v>
      </c>
    </row>
    <row r="254" spans="1:27" x14ac:dyDescent="0.35">
      <c r="A254" s="175" t="str">
        <f t="shared" si="105"/>
        <v/>
      </c>
      <c r="B254" s="172">
        <f t="shared" ca="1" si="101"/>
        <v>52104</v>
      </c>
      <c r="C254" s="172" t="str">
        <f t="shared" ca="1" si="102"/>
        <v xml:space="preserve"> </v>
      </c>
      <c r="D254" s="175" t="str">
        <f t="shared" si="108"/>
        <v/>
      </c>
      <c r="E254" s="173" t="e">
        <f t="shared" si="96"/>
        <v>#VALUE!</v>
      </c>
      <c r="F254" s="173" t="str">
        <f>IF(A253=$D$8,SUM(F$28:F253),IF(A253&gt;$D$8,"",G254+H254))</f>
        <v/>
      </c>
      <c r="G254" s="173" t="str">
        <f>IF(A253=$D$8,ROUND(SUM($G$28:G253),2),IF(A254&gt;$F$8,"",IF(W254&lt;&gt;W253,ROUND(SUM(Y254*$E$12*E253/W254,Z254*$E$12*E253/W253),2),ROUND(E253*$E$12*D254/W253,2))))</f>
        <v/>
      </c>
      <c r="H254" s="173" t="str">
        <f>IF(AND(A253="",A255=""),"",IF(A254="",ROUND(SUM($H$28:H253),2),IF(A254=$D$8,$H$27-ROUND(SUM($H$28:H253),2),ROUND($H$27/$D$8,2))))</f>
        <v/>
      </c>
      <c r="I254" s="173" t="str">
        <f t="shared" si="109"/>
        <v/>
      </c>
      <c r="J254" s="173" t="str">
        <f t="shared" si="110"/>
        <v/>
      </c>
      <c r="K254" s="173" t="str">
        <f t="shared" si="119"/>
        <v/>
      </c>
      <c r="L254" s="173" t="str">
        <f t="shared" si="111"/>
        <v/>
      </c>
      <c r="M254" s="173" t="str">
        <f t="shared" si="114"/>
        <v/>
      </c>
      <c r="N254" s="173" t="str">
        <f t="shared" si="115"/>
        <v/>
      </c>
      <c r="O254" s="173" t="str">
        <f t="shared" si="116"/>
        <v/>
      </c>
      <c r="P254" s="173" t="str">
        <f t="shared" si="107"/>
        <v/>
      </c>
      <c r="Q254" s="173" t="str">
        <f t="shared" si="120"/>
        <v/>
      </c>
      <c r="R254" s="173" t="str">
        <f t="shared" si="113"/>
        <v/>
      </c>
      <c r="S254" s="176" t="str">
        <f>IF(A253=$D$8,XIRR(U$27:U253,C$27:C253),"")</f>
        <v/>
      </c>
      <c r="T254" s="173" t="str">
        <f t="shared" si="97"/>
        <v/>
      </c>
      <c r="U254" s="173">
        <f t="shared" si="106"/>
        <v>0</v>
      </c>
      <c r="V254" s="141" t="e">
        <f t="shared" ca="1" si="98"/>
        <v>#VALUE!</v>
      </c>
      <c r="W254" s="141" t="e">
        <f t="shared" ca="1" si="104"/>
        <v>#VALUE!</v>
      </c>
      <c r="X254" s="141" t="e">
        <f t="shared" ca="1" si="99"/>
        <v>#VALUE!</v>
      </c>
      <c r="Y254" s="177" t="e">
        <f t="shared" ca="1" si="117"/>
        <v>#VALUE!</v>
      </c>
      <c r="Z254" s="178" t="e">
        <f t="shared" ca="1" si="100"/>
        <v>#VALUE!</v>
      </c>
      <c r="AA254" s="141">
        <v>227</v>
      </c>
    </row>
    <row r="255" spans="1:27" x14ac:dyDescent="0.35">
      <c r="A255" s="175" t="str">
        <f t="shared" si="105"/>
        <v/>
      </c>
      <c r="B255" s="172">
        <f t="shared" ca="1" si="101"/>
        <v>52135</v>
      </c>
      <c r="C255" s="172" t="str">
        <f t="shared" ca="1" si="102"/>
        <v xml:space="preserve"> </v>
      </c>
      <c r="D255" s="175" t="str">
        <f t="shared" si="108"/>
        <v/>
      </c>
      <c r="E255" s="173" t="e">
        <f t="shared" si="96"/>
        <v>#VALUE!</v>
      </c>
      <c r="F255" s="173" t="str">
        <f>IF(A254=$D$8,SUM(F$28:F254),IF(A254&gt;$D$8,"",G255+H255))</f>
        <v/>
      </c>
      <c r="G255" s="173" t="str">
        <f>IF(A254=$D$8,ROUND(SUM($G$28:G254),2),IF(A255&gt;$F$8,"",IF(W255&lt;&gt;W254,ROUND(SUM(Y255*$E$12*E254/W255,Z255*$E$12*E254/W254),2),ROUND(E254*$E$12*D255/W254,2))))</f>
        <v/>
      </c>
      <c r="H255" s="173" t="str">
        <f>IF(AND(A254="",A256=""),"",IF(A255="",ROUND(SUM($H$28:H254),2),IF(A255=$D$8,$H$27-ROUND(SUM($H$28:H254),2),ROUND($H$27/$D$8,2))))</f>
        <v/>
      </c>
      <c r="I255" s="173" t="str">
        <f t="shared" si="109"/>
        <v/>
      </c>
      <c r="J255" s="173" t="str">
        <f t="shared" si="110"/>
        <v/>
      </c>
      <c r="K255" s="173" t="str">
        <f t="shared" si="119"/>
        <v/>
      </c>
      <c r="L255" s="173" t="str">
        <f t="shared" si="111"/>
        <v/>
      </c>
      <c r="M255" s="173" t="str">
        <f t="shared" si="114"/>
        <v/>
      </c>
      <c r="N255" s="173" t="str">
        <f t="shared" si="115"/>
        <v/>
      </c>
      <c r="O255" s="173" t="str">
        <f t="shared" si="116"/>
        <v/>
      </c>
      <c r="P255" s="173" t="str">
        <f t="shared" si="107"/>
        <v/>
      </c>
      <c r="Q255" s="173" t="str">
        <f t="shared" si="120"/>
        <v/>
      </c>
      <c r="R255" s="173" t="str">
        <f t="shared" si="113"/>
        <v/>
      </c>
      <c r="S255" s="176" t="str">
        <f>IF(A254=$D$8,XIRR(U$27:U254,C$27:C254),"")</f>
        <v/>
      </c>
      <c r="T255" s="173" t="str">
        <f t="shared" si="97"/>
        <v/>
      </c>
      <c r="U255" s="173">
        <f t="shared" si="106"/>
        <v>0</v>
      </c>
      <c r="V255" s="141" t="e">
        <f t="shared" ca="1" si="98"/>
        <v>#VALUE!</v>
      </c>
      <c r="W255" s="141" t="e">
        <f t="shared" ca="1" si="104"/>
        <v>#VALUE!</v>
      </c>
      <c r="X255" s="141" t="e">
        <f t="shared" ca="1" si="99"/>
        <v>#VALUE!</v>
      </c>
      <c r="Y255" s="177" t="e">
        <f t="shared" ca="1" si="117"/>
        <v>#VALUE!</v>
      </c>
      <c r="Z255" s="178" t="e">
        <f t="shared" ca="1" si="100"/>
        <v>#VALUE!</v>
      </c>
      <c r="AA255" s="141">
        <v>228</v>
      </c>
    </row>
    <row r="256" spans="1:27" x14ac:dyDescent="0.35">
      <c r="A256" s="175" t="str">
        <f t="shared" si="105"/>
        <v/>
      </c>
      <c r="B256" s="172">
        <f t="shared" ca="1" si="101"/>
        <v>52165</v>
      </c>
      <c r="C256" s="172" t="str">
        <f t="shared" ca="1" si="102"/>
        <v xml:space="preserve"> </v>
      </c>
      <c r="D256" s="175" t="str">
        <f t="shared" si="108"/>
        <v/>
      </c>
      <c r="E256" s="173" t="e">
        <f t="shared" si="96"/>
        <v>#VALUE!</v>
      </c>
      <c r="F256" s="173" t="str">
        <f>IF(A255=$D$8,SUM(F$28:F255),IF(A255&gt;$D$8,"",G256+H256))</f>
        <v/>
      </c>
      <c r="G256" s="173" t="str">
        <f>IF(A255=$D$8,ROUND(SUM($G$28:G255),2),IF(A256&gt;$F$8,"",IF(W256&lt;&gt;W255,ROUND(SUM(Y256*$E$12*E255/W256,Z256*$E$12*E255/W255),2),ROUND(E255*$E$12*D256/W255,2))))</f>
        <v/>
      </c>
      <c r="H256" s="173" t="str">
        <f>IF(AND(A255="",A257=""),"",IF(A256="",ROUND(SUM($H$28:H255),2),IF(A256=$D$8,$H$27-ROUND(SUM($H$28:H255),2),ROUND($H$27/$D$8,2))))</f>
        <v/>
      </c>
      <c r="I256" s="173" t="str">
        <f t="shared" si="109"/>
        <v/>
      </c>
      <c r="J256" s="173" t="str">
        <f t="shared" si="110"/>
        <v/>
      </c>
      <c r="K256" s="173" t="str">
        <f>IF($F$8&gt;228,($R$14),IF(A255=$F$8,K244+K232+K220+K208+K196+K184+K172+K160+K148+K136+K124+K112+K100+K88+K76+K64+K52+K40+K27,""))</f>
        <v/>
      </c>
      <c r="L256" s="173" t="str">
        <f t="shared" si="111"/>
        <v/>
      </c>
      <c r="M256" s="173" t="str">
        <f t="shared" si="114"/>
        <v/>
      </c>
      <c r="N256" s="173" t="str">
        <f t="shared" si="115"/>
        <v/>
      </c>
      <c r="O256" s="173" t="str">
        <f t="shared" si="116"/>
        <v/>
      </c>
      <c r="P256" s="173" t="str">
        <f t="shared" si="107"/>
        <v/>
      </c>
      <c r="Q256" s="173" t="str">
        <f>IF($F$8&gt;228,($S$8+$S$10),IF($A255=$F$8,$Q$40+$Q$27+$Q$52+$Q$64+$Q$76+$Q$88+$Q$100+$Q$112+$Q$124+$Q$136+$Q$148+$Q$160+$Q$172+$Q$196+$Q$184+$Q$208+$Q$220+$Q$232+$Q$244,""))</f>
        <v/>
      </c>
      <c r="R256" s="173" t="str">
        <f t="shared" si="113"/>
        <v/>
      </c>
      <c r="S256" s="176" t="str">
        <f>IF(A255=$D$8,XIRR(U$27:U255,C$27:C255),"")</f>
        <v/>
      </c>
      <c r="T256" s="173" t="str">
        <f t="shared" si="97"/>
        <v/>
      </c>
      <c r="U256" s="173">
        <f t="shared" si="106"/>
        <v>0</v>
      </c>
      <c r="V256" s="141" t="e">
        <f t="shared" ca="1" si="98"/>
        <v>#VALUE!</v>
      </c>
      <c r="W256" s="141" t="e">
        <f t="shared" ca="1" si="104"/>
        <v>#VALUE!</v>
      </c>
      <c r="X256" s="141" t="e">
        <f t="shared" ca="1" si="99"/>
        <v>#VALUE!</v>
      </c>
      <c r="Y256" s="177" t="e">
        <f t="shared" ca="1" si="117"/>
        <v>#VALUE!</v>
      </c>
      <c r="Z256" s="178" t="e">
        <f t="shared" ca="1" si="100"/>
        <v>#VALUE!</v>
      </c>
      <c r="AA256" s="141">
        <v>229</v>
      </c>
    </row>
    <row r="257" spans="1:27" x14ac:dyDescent="0.35">
      <c r="A257" s="175" t="str">
        <f t="shared" si="105"/>
        <v/>
      </c>
      <c r="B257" s="172">
        <f t="shared" ca="1" si="101"/>
        <v>52196</v>
      </c>
      <c r="C257" s="172" t="str">
        <f t="shared" ca="1" si="102"/>
        <v xml:space="preserve"> </v>
      </c>
      <c r="D257" s="175" t="str">
        <f t="shared" si="108"/>
        <v/>
      </c>
      <c r="E257" s="173" t="e">
        <f t="shared" si="96"/>
        <v>#VALUE!</v>
      </c>
      <c r="F257" s="173" t="str">
        <f>IF(A256=$D$8,SUM(F$28:F256),IF(A256&gt;$D$8,"",G257+H257))</f>
        <v/>
      </c>
      <c r="G257" s="173" t="str">
        <f>IF(A256=$D$8,ROUND(SUM($G$28:G256),2),IF(A257&gt;$F$8,"",IF(W257&lt;&gt;W256,ROUND(SUM(Y257*$E$12*E256/W257,Z257*$E$12*E256/W256),2),ROUND(E256*$E$12*D257/W256,2))))</f>
        <v/>
      </c>
      <c r="H257" s="173" t="str">
        <f>IF(AND(A256="",A258=""),"",IF(A257="",ROUND(SUM($H$28:H256),2),IF(A257=$D$8,$H$27-ROUND(SUM($H$28:H256),2),ROUND($H$27/$D$8,2))))</f>
        <v/>
      </c>
      <c r="I257" s="173" t="str">
        <f t="shared" si="109"/>
        <v/>
      </c>
      <c r="J257" s="173" t="str">
        <f t="shared" si="110"/>
        <v/>
      </c>
      <c r="K257" s="173" t="str">
        <f t="shared" si="119"/>
        <v/>
      </c>
      <c r="L257" s="173" t="str">
        <f t="shared" si="111"/>
        <v/>
      </c>
      <c r="M257" s="173" t="str">
        <f t="shared" si="114"/>
        <v/>
      </c>
      <c r="N257" s="173" t="str">
        <f t="shared" si="115"/>
        <v/>
      </c>
      <c r="O257" s="173" t="str">
        <f t="shared" si="116"/>
        <v/>
      </c>
      <c r="P257" s="173" t="str">
        <f t="shared" si="107"/>
        <v/>
      </c>
      <c r="Q257" s="173" t="str">
        <f t="shared" ref="Q257:Q267" si="121">IF(A256=$D$8,$Q$27,"")</f>
        <v/>
      </c>
      <c r="R257" s="173" t="str">
        <f t="shared" si="113"/>
        <v/>
      </c>
      <c r="S257" s="176" t="str">
        <f>IF(A256=$D$8,XIRR(U$27:U256,C$27:C256),"")</f>
        <v/>
      </c>
      <c r="T257" s="173" t="str">
        <f t="shared" si="97"/>
        <v/>
      </c>
      <c r="U257" s="173">
        <f t="shared" si="106"/>
        <v>0</v>
      </c>
      <c r="V257" s="141" t="e">
        <f t="shared" ca="1" si="98"/>
        <v>#VALUE!</v>
      </c>
      <c r="W257" s="141" t="e">
        <f t="shared" ca="1" si="104"/>
        <v>#VALUE!</v>
      </c>
      <c r="X257" s="141" t="e">
        <f t="shared" ca="1" si="99"/>
        <v>#VALUE!</v>
      </c>
      <c r="Y257" s="177" t="e">
        <f t="shared" ca="1" si="117"/>
        <v>#VALUE!</v>
      </c>
      <c r="Z257" s="178" t="e">
        <f t="shared" ca="1" si="100"/>
        <v>#VALUE!</v>
      </c>
      <c r="AA257" s="141">
        <v>230</v>
      </c>
    </row>
    <row r="258" spans="1:27" x14ac:dyDescent="0.35">
      <c r="A258" s="175" t="str">
        <f t="shared" si="105"/>
        <v/>
      </c>
      <c r="B258" s="172">
        <f t="shared" ca="1" si="101"/>
        <v>52226</v>
      </c>
      <c r="C258" s="172" t="str">
        <f t="shared" ca="1" si="102"/>
        <v xml:space="preserve"> </v>
      </c>
      <c r="D258" s="175" t="str">
        <f t="shared" si="108"/>
        <v/>
      </c>
      <c r="E258" s="173" t="e">
        <f t="shared" si="96"/>
        <v>#VALUE!</v>
      </c>
      <c r="F258" s="173" t="str">
        <f>IF(A257=$D$8,SUM(F$28:F257),IF(A257&gt;$D$8,"",G258+H258))</f>
        <v/>
      </c>
      <c r="G258" s="173" t="str">
        <f>IF(A257=$D$8,ROUND(SUM($G$28:G257),2),IF(A258&gt;$F$8,"",IF(W258&lt;&gt;W257,ROUND(SUM(Y258*$E$12*E257/W258,Z258*$E$12*E257/W257),2),ROUND(E257*$E$12*D258/W257,2))))</f>
        <v/>
      </c>
      <c r="H258" s="173" t="str">
        <f>IF(AND(A257="",A259=""),"",IF(A258="",ROUND(SUM($H$28:H257),2),IF(A258=$D$8,$H$27-ROUND(SUM($H$28:H257),2),ROUND($H$27/$D$8,2))))</f>
        <v/>
      </c>
      <c r="I258" s="173" t="str">
        <f t="shared" si="109"/>
        <v/>
      </c>
      <c r="J258" s="173" t="str">
        <f t="shared" si="110"/>
        <v/>
      </c>
      <c r="K258" s="173" t="str">
        <f t="shared" si="119"/>
        <v/>
      </c>
      <c r="L258" s="173" t="str">
        <f t="shared" si="111"/>
        <v/>
      </c>
      <c r="M258" s="173" t="str">
        <f t="shared" si="114"/>
        <v/>
      </c>
      <c r="N258" s="173" t="str">
        <f t="shared" si="115"/>
        <v/>
      </c>
      <c r="O258" s="173" t="str">
        <f t="shared" si="116"/>
        <v/>
      </c>
      <c r="P258" s="173" t="str">
        <f t="shared" si="107"/>
        <v/>
      </c>
      <c r="Q258" s="173" t="str">
        <f t="shared" si="121"/>
        <v/>
      </c>
      <c r="R258" s="173" t="str">
        <f t="shared" si="113"/>
        <v/>
      </c>
      <c r="S258" s="176" t="str">
        <f>IF(A257=$D$8,XIRR(U$27:U257,C$27:C257),"")</f>
        <v/>
      </c>
      <c r="T258" s="173" t="str">
        <f t="shared" si="97"/>
        <v/>
      </c>
      <c r="U258" s="173">
        <f t="shared" si="106"/>
        <v>0</v>
      </c>
      <c r="V258" s="141" t="e">
        <f t="shared" ca="1" si="98"/>
        <v>#VALUE!</v>
      </c>
      <c r="W258" s="141" t="e">
        <f t="shared" ca="1" si="104"/>
        <v>#VALUE!</v>
      </c>
      <c r="X258" s="141" t="e">
        <f t="shared" ca="1" si="99"/>
        <v>#VALUE!</v>
      </c>
      <c r="Y258" s="177" t="e">
        <f t="shared" ca="1" si="117"/>
        <v>#VALUE!</v>
      </c>
      <c r="Z258" s="178" t="e">
        <f t="shared" ca="1" si="100"/>
        <v>#VALUE!</v>
      </c>
      <c r="AA258" s="141">
        <v>231</v>
      </c>
    </row>
    <row r="259" spans="1:27" x14ac:dyDescent="0.35">
      <c r="A259" s="175" t="str">
        <f t="shared" si="105"/>
        <v/>
      </c>
      <c r="B259" s="172">
        <f t="shared" ca="1" si="101"/>
        <v>52257</v>
      </c>
      <c r="C259" s="172" t="str">
        <f t="shared" ca="1" si="102"/>
        <v xml:space="preserve"> </v>
      </c>
      <c r="D259" s="175" t="str">
        <f t="shared" si="108"/>
        <v/>
      </c>
      <c r="E259" s="173" t="e">
        <f t="shared" si="96"/>
        <v>#VALUE!</v>
      </c>
      <c r="F259" s="173" t="str">
        <f>IF(A258=$D$8,SUM(F$28:F258),IF(A258&gt;$D$8,"",G259+H259))</f>
        <v/>
      </c>
      <c r="G259" s="173" t="str">
        <f>IF(A258=$D$8,ROUND(SUM($G$28:G258),2),IF(A259&gt;$F$8,"",IF(W259&lt;&gt;W258,ROUND(SUM(Y259*$E$12*E258/W259,Z259*$E$12*E258/W258),2),ROUND(E258*$E$12*D259/W258,2))))</f>
        <v/>
      </c>
      <c r="H259" s="173" t="str">
        <f>IF(AND(A258="",A260=""),"",IF(A259="",ROUND(SUM($H$28:H258),2),IF(A259=$D$8,$H$27-ROUND(SUM($H$28:H258),2),ROUND($H$27/$D$8,2))))</f>
        <v/>
      </c>
      <c r="I259" s="173" t="str">
        <f t="shared" si="109"/>
        <v/>
      </c>
      <c r="J259" s="173" t="str">
        <f t="shared" si="110"/>
        <v/>
      </c>
      <c r="K259" s="173" t="str">
        <f t="shared" si="119"/>
        <v/>
      </c>
      <c r="L259" s="173" t="str">
        <f t="shared" si="111"/>
        <v/>
      </c>
      <c r="M259" s="173" t="str">
        <f t="shared" si="114"/>
        <v/>
      </c>
      <c r="N259" s="173" t="str">
        <f t="shared" si="115"/>
        <v/>
      </c>
      <c r="O259" s="173" t="str">
        <f t="shared" si="116"/>
        <v/>
      </c>
      <c r="P259" s="173" t="str">
        <f t="shared" si="107"/>
        <v/>
      </c>
      <c r="Q259" s="173" t="str">
        <f t="shared" si="121"/>
        <v/>
      </c>
      <c r="R259" s="173" t="str">
        <f t="shared" si="113"/>
        <v/>
      </c>
      <c r="S259" s="176" t="str">
        <f>IF(A258=$D$8,XIRR(U$27:U258,C$27:C258),"")</f>
        <v/>
      </c>
      <c r="T259" s="173" t="str">
        <f t="shared" si="97"/>
        <v/>
      </c>
      <c r="U259" s="173">
        <f t="shared" si="106"/>
        <v>0</v>
      </c>
      <c r="V259" s="141" t="e">
        <f t="shared" ca="1" si="98"/>
        <v>#VALUE!</v>
      </c>
      <c r="W259" s="141" t="e">
        <f t="shared" ca="1" si="104"/>
        <v>#VALUE!</v>
      </c>
      <c r="X259" s="141" t="e">
        <f t="shared" ca="1" si="99"/>
        <v>#VALUE!</v>
      </c>
      <c r="Y259" s="177" t="e">
        <f t="shared" ca="1" si="117"/>
        <v>#VALUE!</v>
      </c>
      <c r="Z259" s="178" t="e">
        <f t="shared" ca="1" si="100"/>
        <v>#VALUE!</v>
      </c>
      <c r="AA259" s="141">
        <v>232</v>
      </c>
    </row>
    <row r="260" spans="1:27" x14ac:dyDescent="0.35">
      <c r="A260" s="175" t="str">
        <f t="shared" si="105"/>
        <v/>
      </c>
      <c r="B260" s="172">
        <f t="shared" ca="1" si="101"/>
        <v>52288</v>
      </c>
      <c r="C260" s="172" t="str">
        <f t="shared" ca="1" si="102"/>
        <v xml:space="preserve"> </v>
      </c>
      <c r="D260" s="175" t="str">
        <f t="shared" si="108"/>
        <v/>
      </c>
      <c r="E260" s="173" t="e">
        <f t="shared" si="96"/>
        <v>#VALUE!</v>
      </c>
      <c r="F260" s="173" t="str">
        <f>IF(A259=$D$8,SUM(F$28:F259),IF(A259&gt;$D$8,"",G260+H260))</f>
        <v/>
      </c>
      <c r="G260" s="173" t="str">
        <f>IF(A259=$D$8,ROUND(SUM($G$28:G259),2),IF(A260&gt;$F$8,"",IF(W260&lt;&gt;W259,ROUND(SUM(Y260*$E$12*E259/W260,Z260*$E$12*E259/W259),2),ROUND(E259*$E$12*D260/W259,2))))</f>
        <v/>
      </c>
      <c r="H260" s="173" t="str">
        <f>IF(AND(A259="",A261=""),"",IF(A260="",ROUND(SUM($H$28:H259),2),IF(A260=$D$8,$H$27-ROUND(SUM($H$28:H259),2),ROUND($H$27/$D$8,2))))</f>
        <v/>
      </c>
      <c r="I260" s="173" t="str">
        <f t="shared" si="109"/>
        <v/>
      </c>
      <c r="J260" s="173" t="str">
        <f t="shared" si="110"/>
        <v/>
      </c>
      <c r="K260" s="173" t="str">
        <f t="shared" si="119"/>
        <v/>
      </c>
      <c r="L260" s="173" t="str">
        <f t="shared" si="111"/>
        <v/>
      </c>
      <c r="M260" s="173" t="str">
        <f t="shared" si="114"/>
        <v/>
      </c>
      <c r="N260" s="173" t="str">
        <f t="shared" si="115"/>
        <v/>
      </c>
      <c r="O260" s="173" t="str">
        <f t="shared" si="116"/>
        <v/>
      </c>
      <c r="P260" s="173" t="str">
        <f t="shared" si="107"/>
        <v/>
      </c>
      <c r="Q260" s="173" t="str">
        <f t="shared" si="121"/>
        <v/>
      </c>
      <c r="R260" s="173" t="str">
        <f t="shared" si="113"/>
        <v/>
      </c>
      <c r="S260" s="176" t="str">
        <f>IF(A259=$D$8,XIRR(U$27:U259,C$27:C259),"")</f>
        <v/>
      </c>
      <c r="T260" s="173" t="str">
        <f t="shared" si="97"/>
        <v/>
      </c>
      <c r="U260" s="173">
        <f t="shared" si="106"/>
        <v>0</v>
      </c>
      <c r="V260" s="141" t="e">
        <f t="shared" ca="1" si="98"/>
        <v>#VALUE!</v>
      </c>
      <c r="W260" s="141" t="e">
        <f t="shared" ca="1" si="104"/>
        <v>#VALUE!</v>
      </c>
      <c r="X260" s="141" t="e">
        <f t="shared" ca="1" si="99"/>
        <v>#VALUE!</v>
      </c>
      <c r="Y260" s="177" t="e">
        <f t="shared" ca="1" si="117"/>
        <v>#VALUE!</v>
      </c>
      <c r="Z260" s="178" t="e">
        <f t="shared" ca="1" si="100"/>
        <v>#VALUE!</v>
      </c>
      <c r="AA260" s="141">
        <v>233</v>
      </c>
    </row>
    <row r="261" spans="1:27" x14ac:dyDescent="0.35">
      <c r="A261" s="175" t="str">
        <f t="shared" si="105"/>
        <v/>
      </c>
      <c r="B261" s="172">
        <f t="shared" ca="1" si="101"/>
        <v>52316</v>
      </c>
      <c r="C261" s="172" t="str">
        <f t="shared" ca="1" si="102"/>
        <v xml:space="preserve"> </v>
      </c>
      <c r="D261" s="175" t="str">
        <f t="shared" si="108"/>
        <v/>
      </c>
      <c r="E261" s="173" t="e">
        <f t="shared" si="96"/>
        <v>#VALUE!</v>
      </c>
      <c r="F261" s="173" t="str">
        <f>IF(A260=$D$8,SUM(F$28:F260),IF(A260&gt;$D$8,"",G261+H261))</f>
        <v/>
      </c>
      <c r="G261" s="173" t="str">
        <f>IF(A260=$D$8,ROUND(SUM($G$28:G260),2),IF(A261&gt;$F$8,"",IF(W261&lt;&gt;W260,ROUND(SUM(Y261*$E$12*E260/W261,Z261*$E$12*E260/W260),2),ROUND(E260*$E$12*D261/W260,2))))</f>
        <v/>
      </c>
      <c r="H261" s="173" t="str">
        <f>IF(AND(A260="",A262=""),"",IF(A261="",ROUND(SUM($H$28:H260),2),IF(A261=$D$8,$H$27-ROUND(SUM($H$28:H260),2),ROUND($H$27/$D$8,2))))</f>
        <v/>
      </c>
      <c r="I261" s="173" t="str">
        <f t="shared" si="109"/>
        <v/>
      </c>
      <c r="J261" s="173" t="str">
        <f t="shared" si="110"/>
        <v/>
      </c>
      <c r="K261" s="173" t="str">
        <f t="shared" si="119"/>
        <v/>
      </c>
      <c r="L261" s="173" t="str">
        <f t="shared" si="111"/>
        <v/>
      </c>
      <c r="M261" s="173" t="str">
        <f t="shared" si="114"/>
        <v/>
      </c>
      <c r="N261" s="173" t="str">
        <f t="shared" si="115"/>
        <v/>
      </c>
      <c r="O261" s="173" t="str">
        <f t="shared" si="116"/>
        <v/>
      </c>
      <c r="P261" s="173" t="str">
        <f t="shared" si="107"/>
        <v/>
      </c>
      <c r="Q261" s="173" t="str">
        <f t="shared" si="121"/>
        <v/>
      </c>
      <c r="R261" s="173" t="str">
        <f t="shared" si="113"/>
        <v/>
      </c>
      <c r="S261" s="176" t="str">
        <f>IF(A260=$D$8,XIRR(U$27:U260,C$27:C260),"")</f>
        <v/>
      </c>
      <c r="T261" s="173" t="str">
        <f t="shared" si="97"/>
        <v/>
      </c>
      <c r="U261" s="173">
        <f t="shared" si="106"/>
        <v>0</v>
      </c>
      <c r="V261" s="141" t="e">
        <f t="shared" ca="1" si="98"/>
        <v>#VALUE!</v>
      </c>
      <c r="W261" s="141" t="e">
        <f t="shared" ca="1" si="104"/>
        <v>#VALUE!</v>
      </c>
      <c r="X261" s="141" t="e">
        <f t="shared" ca="1" si="99"/>
        <v>#VALUE!</v>
      </c>
      <c r="Y261" s="177" t="e">
        <f t="shared" ca="1" si="117"/>
        <v>#VALUE!</v>
      </c>
      <c r="Z261" s="178" t="e">
        <f t="shared" ca="1" si="100"/>
        <v>#VALUE!</v>
      </c>
      <c r="AA261" s="141">
        <v>234</v>
      </c>
    </row>
    <row r="262" spans="1:27" x14ac:dyDescent="0.35">
      <c r="A262" s="175" t="str">
        <f t="shared" si="105"/>
        <v/>
      </c>
      <c r="B262" s="172">
        <f t="shared" ca="1" si="101"/>
        <v>52347</v>
      </c>
      <c r="C262" s="172" t="str">
        <f t="shared" ca="1" si="102"/>
        <v xml:space="preserve"> </v>
      </c>
      <c r="D262" s="175" t="str">
        <f t="shared" si="108"/>
        <v/>
      </c>
      <c r="E262" s="173" t="e">
        <f t="shared" si="96"/>
        <v>#VALUE!</v>
      </c>
      <c r="F262" s="173" t="str">
        <f>IF(A261=$D$8,SUM(F$28:F261),IF(A261&gt;$D$8,"",G262+H262))</f>
        <v/>
      </c>
      <c r="G262" s="173" t="str">
        <f>IF(A261=$D$8,ROUND(SUM($G$28:G261),2),IF(A262&gt;$F$8,"",IF(W262&lt;&gt;W261,ROUND(SUM(Y262*$E$12*E261/W262,Z262*$E$12*E261/W261),2),ROUND(E261*$E$12*D262/W261,2))))</f>
        <v/>
      </c>
      <c r="H262" s="173" t="str">
        <f>IF(AND(A261="",A263=""),"",IF(A262="",ROUND(SUM($H$28:H261),2),IF(A262=$D$8,$H$27-ROUND(SUM($H$28:H261),2),ROUND($H$27/$D$8,2))))</f>
        <v/>
      </c>
      <c r="I262" s="173" t="str">
        <f t="shared" si="109"/>
        <v/>
      </c>
      <c r="J262" s="173" t="str">
        <f t="shared" si="110"/>
        <v/>
      </c>
      <c r="K262" s="173" t="str">
        <f t="shared" si="119"/>
        <v/>
      </c>
      <c r="L262" s="173" t="str">
        <f t="shared" si="111"/>
        <v/>
      </c>
      <c r="M262" s="173" t="str">
        <f t="shared" si="114"/>
        <v/>
      </c>
      <c r="N262" s="173" t="str">
        <f t="shared" si="115"/>
        <v/>
      </c>
      <c r="O262" s="173" t="str">
        <f t="shared" si="116"/>
        <v/>
      </c>
      <c r="P262" s="173" t="str">
        <f t="shared" si="107"/>
        <v/>
      </c>
      <c r="Q262" s="173" t="str">
        <f t="shared" si="121"/>
        <v/>
      </c>
      <c r="R262" s="173" t="str">
        <f t="shared" si="113"/>
        <v/>
      </c>
      <c r="S262" s="176" t="str">
        <f>IF(A261=$D$8,XIRR(U$27:U261,C$27:C261),"")</f>
        <v/>
      </c>
      <c r="T262" s="173" t="str">
        <f t="shared" si="97"/>
        <v/>
      </c>
      <c r="U262" s="173">
        <f t="shared" si="106"/>
        <v>0</v>
      </c>
      <c r="V262" s="141" t="e">
        <f t="shared" ca="1" si="98"/>
        <v>#VALUE!</v>
      </c>
      <c r="W262" s="141" t="e">
        <f t="shared" ca="1" si="104"/>
        <v>#VALUE!</v>
      </c>
      <c r="X262" s="141" t="e">
        <f t="shared" ca="1" si="99"/>
        <v>#VALUE!</v>
      </c>
      <c r="Y262" s="177" t="e">
        <f t="shared" ca="1" si="117"/>
        <v>#VALUE!</v>
      </c>
      <c r="Z262" s="178" t="e">
        <f t="shared" ca="1" si="100"/>
        <v>#VALUE!</v>
      </c>
      <c r="AA262" s="141">
        <v>235</v>
      </c>
    </row>
    <row r="263" spans="1:27" x14ac:dyDescent="0.35">
      <c r="A263" s="175" t="str">
        <f t="shared" si="105"/>
        <v/>
      </c>
      <c r="B263" s="172">
        <f t="shared" ca="1" si="101"/>
        <v>52377</v>
      </c>
      <c r="C263" s="172" t="str">
        <f t="shared" ca="1" si="102"/>
        <v xml:space="preserve"> </v>
      </c>
      <c r="D263" s="175" t="str">
        <f t="shared" si="108"/>
        <v/>
      </c>
      <c r="E263" s="173" t="e">
        <f t="shared" si="96"/>
        <v>#VALUE!</v>
      </c>
      <c r="F263" s="173" t="str">
        <f>IF(A262=$D$8,SUM(F$28:F262),IF(A262&gt;$D$8,"",G263+H263))</f>
        <v/>
      </c>
      <c r="G263" s="173" t="str">
        <f>IF(A262=$D$8,ROUND(SUM($G$28:G262),2),IF(A263&gt;$F$8,"",IF(W263&lt;&gt;W262,ROUND(SUM(Y263*$E$12*E262/W263,Z263*$E$12*E262/W262),2),ROUND(E262*$E$12*D263/W262,2))))</f>
        <v/>
      </c>
      <c r="H263" s="173" t="str">
        <f>IF(AND(A262="",A264=""),"",IF(A263="",ROUND(SUM($H$28:H262),2),IF(A263=$D$8,$H$27-ROUND(SUM($H$28:H262),2),ROUND($H$27/$D$8,2))))</f>
        <v/>
      </c>
      <c r="I263" s="173" t="str">
        <f t="shared" si="109"/>
        <v/>
      </c>
      <c r="J263" s="173" t="str">
        <f t="shared" si="110"/>
        <v/>
      </c>
      <c r="K263" s="173" t="str">
        <f t="shared" si="119"/>
        <v/>
      </c>
      <c r="L263" s="173" t="str">
        <f t="shared" si="111"/>
        <v/>
      </c>
      <c r="M263" s="173" t="str">
        <f t="shared" si="114"/>
        <v/>
      </c>
      <c r="N263" s="173" t="str">
        <f t="shared" si="115"/>
        <v/>
      </c>
      <c r="O263" s="173" t="str">
        <f t="shared" si="116"/>
        <v/>
      </c>
      <c r="P263" s="173" t="str">
        <f t="shared" si="107"/>
        <v/>
      </c>
      <c r="Q263" s="173" t="str">
        <f t="shared" si="121"/>
        <v/>
      </c>
      <c r="R263" s="173" t="str">
        <f t="shared" si="113"/>
        <v/>
      </c>
      <c r="S263" s="176" t="str">
        <f>IF(A262=$D$8,XIRR(U$27:U262,C$27:C262),"")</f>
        <v/>
      </c>
      <c r="T263" s="173" t="str">
        <f t="shared" si="97"/>
        <v/>
      </c>
      <c r="U263" s="173">
        <f t="shared" si="106"/>
        <v>0</v>
      </c>
      <c r="V263" s="141" t="e">
        <f t="shared" ca="1" si="98"/>
        <v>#VALUE!</v>
      </c>
      <c r="W263" s="141" t="e">
        <f t="shared" ca="1" si="104"/>
        <v>#VALUE!</v>
      </c>
      <c r="X263" s="141" t="e">
        <f t="shared" ca="1" si="99"/>
        <v>#VALUE!</v>
      </c>
      <c r="Y263" s="177" t="e">
        <f t="shared" ca="1" si="117"/>
        <v>#VALUE!</v>
      </c>
      <c r="Z263" s="178" t="e">
        <f t="shared" ca="1" si="100"/>
        <v>#VALUE!</v>
      </c>
      <c r="AA263" s="141">
        <v>236</v>
      </c>
    </row>
    <row r="264" spans="1:27" x14ac:dyDescent="0.35">
      <c r="A264" s="175" t="str">
        <f t="shared" si="105"/>
        <v/>
      </c>
      <c r="B264" s="172">
        <f t="shared" ca="1" si="101"/>
        <v>52408</v>
      </c>
      <c r="C264" s="172" t="str">
        <f t="shared" ca="1" si="102"/>
        <v xml:space="preserve"> </v>
      </c>
      <c r="D264" s="175" t="str">
        <f t="shared" si="108"/>
        <v/>
      </c>
      <c r="E264" s="173" t="e">
        <f t="shared" si="96"/>
        <v>#VALUE!</v>
      </c>
      <c r="F264" s="173" t="str">
        <f>IF(A263=$D$8,SUM(F$28:F263),IF(A263&gt;$D$8,"",G264+H264))</f>
        <v/>
      </c>
      <c r="G264" s="173" t="str">
        <f>IF(A263=$D$8,ROUND(SUM($G$28:G263),2),IF(A264&gt;$F$8,"",IF(W264&lt;&gt;W263,ROUND(SUM(Y264*$E$12*E263/W264,Z264*$E$12*E263/W263),2),ROUND(E263*$E$12*D264/W263,2))))</f>
        <v/>
      </c>
      <c r="H264" s="173" t="str">
        <f>IF(AND(A263="",A265=""),"",IF(A264="",ROUND(SUM($H$28:H263),2),IF(A264=$D$8,$H$27-ROUND(SUM($H$28:H263),2),ROUND($H$27/$D$8,2))))</f>
        <v/>
      </c>
      <c r="I264" s="173" t="str">
        <f t="shared" si="109"/>
        <v/>
      </c>
      <c r="J264" s="173" t="str">
        <f t="shared" si="110"/>
        <v/>
      </c>
      <c r="K264" s="173" t="str">
        <f t="shared" si="119"/>
        <v/>
      </c>
      <c r="L264" s="173" t="str">
        <f t="shared" si="111"/>
        <v/>
      </c>
      <c r="M264" s="173" t="str">
        <f t="shared" si="114"/>
        <v/>
      </c>
      <c r="N264" s="173" t="str">
        <f t="shared" si="115"/>
        <v/>
      </c>
      <c r="O264" s="173" t="str">
        <f t="shared" si="116"/>
        <v/>
      </c>
      <c r="P264" s="173" t="str">
        <f t="shared" si="107"/>
        <v/>
      </c>
      <c r="Q264" s="173" t="str">
        <f t="shared" si="121"/>
        <v/>
      </c>
      <c r="R264" s="173" t="str">
        <f t="shared" si="113"/>
        <v/>
      </c>
      <c r="S264" s="176" t="str">
        <f>IF(A263=$D$8,XIRR(U$27:U263,C$27:C263),"")</f>
        <v/>
      </c>
      <c r="T264" s="173" t="str">
        <f t="shared" si="97"/>
        <v/>
      </c>
      <c r="U264" s="173">
        <f t="shared" si="106"/>
        <v>0</v>
      </c>
      <c r="V264" s="141" t="e">
        <f t="shared" ca="1" si="98"/>
        <v>#VALUE!</v>
      </c>
      <c r="W264" s="141" t="e">
        <f t="shared" ca="1" si="104"/>
        <v>#VALUE!</v>
      </c>
      <c r="X264" s="141" t="e">
        <f t="shared" ca="1" si="99"/>
        <v>#VALUE!</v>
      </c>
      <c r="Y264" s="177" t="e">
        <f t="shared" ca="1" si="117"/>
        <v>#VALUE!</v>
      </c>
      <c r="Z264" s="178" t="e">
        <f t="shared" ca="1" si="100"/>
        <v>#VALUE!</v>
      </c>
      <c r="AA264" s="141">
        <v>237</v>
      </c>
    </row>
    <row r="265" spans="1:27" x14ac:dyDescent="0.35">
      <c r="A265" s="175" t="str">
        <f t="shared" si="105"/>
        <v/>
      </c>
      <c r="B265" s="172">
        <f t="shared" ca="1" si="101"/>
        <v>52438</v>
      </c>
      <c r="C265" s="172" t="str">
        <f t="shared" ca="1" si="102"/>
        <v xml:space="preserve"> </v>
      </c>
      <c r="D265" s="175" t="str">
        <f t="shared" si="108"/>
        <v/>
      </c>
      <c r="E265" s="173" t="e">
        <f t="shared" si="96"/>
        <v>#VALUE!</v>
      </c>
      <c r="F265" s="173" t="str">
        <f>IF(A264=$D$8,SUM(F$28:F264),IF(A264&gt;$D$8,"",G265+H265))</f>
        <v/>
      </c>
      <c r="G265" s="173" t="str">
        <f>IF(A264=$D$8,ROUND(SUM($G$28:G264),2),IF(A265&gt;$F$8,"",IF(W265&lt;&gt;W264,ROUND(SUM(Y265*$E$12*E264/W265,Z265*$E$12*E264/W264),2),ROUND(E264*$E$12*D265/W264,2))))</f>
        <v/>
      </c>
      <c r="H265" s="173" t="str">
        <f>IF(AND(A264="",A266=""),"",IF(A265="",ROUND(SUM($H$28:H264),2),IF(A265=$D$8,$H$27-ROUND(SUM($H$28:H264),2),ROUND($H$27/$D$8,2))))</f>
        <v/>
      </c>
      <c r="I265" s="173" t="str">
        <f t="shared" si="109"/>
        <v/>
      </c>
      <c r="J265" s="173" t="str">
        <f t="shared" si="110"/>
        <v/>
      </c>
      <c r="K265" s="173" t="str">
        <f t="shared" si="119"/>
        <v/>
      </c>
      <c r="L265" s="173" t="str">
        <f t="shared" si="111"/>
        <v/>
      </c>
      <c r="M265" s="173" t="str">
        <f t="shared" si="114"/>
        <v/>
      </c>
      <c r="N265" s="173" t="str">
        <f t="shared" si="115"/>
        <v/>
      </c>
      <c r="O265" s="173" t="str">
        <f t="shared" si="116"/>
        <v/>
      </c>
      <c r="P265" s="173" t="str">
        <f t="shared" si="107"/>
        <v/>
      </c>
      <c r="Q265" s="173" t="str">
        <f t="shared" si="121"/>
        <v/>
      </c>
      <c r="R265" s="173" t="str">
        <f t="shared" si="113"/>
        <v/>
      </c>
      <c r="S265" s="176" t="str">
        <f>IF(A264=$D$8,XIRR(U$27:U264,C$27:C264),"")</f>
        <v/>
      </c>
      <c r="T265" s="173" t="str">
        <f t="shared" si="97"/>
        <v/>
      </c>
      <c r="U265" s="173">
        <f t="shared" si="106"/>
        <v>0</v>
      </c>
      <c r="V265" s="141" t="e">
        <f t="shared" ca="1" si="98"/>
        <v>#VALUE!</v>
      </c>
      <c r="W265" s="141" t="e">
        <f t="shared" ca="1" si="104"/>
        <v>#VALUE!</v>
      </c>
      <c r="X265" s="141" t="e">
        <f t="shared" ca="1" si="99"/>
        <v>#VALUE!</v>
      </c>
      <c r="Y265" s="177" t="e">
        <f t="shared" ca="1" si="117"/>
        <v>#VALUE!</v>
      </c>
      <c r="Z265" s="178" t="e">
        <f t="shared" ca="1" si="100"/>
        <v>#VALUE!</v>
      </c>
      <c r="AA265" s="141">
        <v>238</v>
      </c>
    </row>
    <row r="266" spans="1:27" x14ac:dyDescent="0.35">
      <c r="A266" s="175" t="str">
        <f t="shared" si="105"/>
        <v/>
      </c>
      <c r="B266" s="172">
        <f t="shared" ca="1" si="101"/>
        <v>52469</v>
      </c>
      <c r="C266" s="172" t="str">
        <f t="shared" ca="1" si="102"/>
        <v xml:space="preserve"> </v>
      </c>
      <c r="D266" s="175" t="str">
        <f t="shared" si="108"/>
        <v/>
      </c>
      <c r="E266" s="173" t="e">
        <f t="shared" si="96"/>
        <v>#VALUE!</v>
      </c>
      <c r="F266" s="173" t="str">
        <f>IF(A265=$D$8,SUM(F$28:F265),IF(A265&gt;$D$8,"",G266+H266))</f>
        <v/>
      </c>
      <c r="G266" s="173" t="str">
        <f>IF(A265=$D$8,ROUND(SUM($G$28:G265),2),IF(A266&gt;$F$8,"",IF(W266&lt;&gt;W265,ROUND(SUM(Y266*$E$12*E265/W266,Z266*$E$12*E265/W265),2),ROUND(E265*$E$12*D266/W265,2))))</f>
        <v/>
      </c>
      <c r="H266" s="173" t="str">
        <f>IF(AND(A265="",A267=""),"",IF(A266="",ROUND(SUM($H$28:H265),2),IF(A266=$D$8,$H$27-ROUND(SUM($H$28:H265),2),ROUND($H$27/$D$8,2))))</f>
        <v/>
      </c>
      <c r="I266" s="173" t="str">
        <f t="shared" si="109"/>
        <v/>
      </c>
      <c r="J266" s="173" t="str">
        <f t="shared" si="110"/>
        <v/>
      </c>
      <c r="K266" s="173" t="str">
        <f t="shared" si="119"/>
        <v/>
      </c>
      <c r="L266" s="173" t="str">
        <f t="shared" si="111"/>
        <v/>
      </c>
      <c r="M266" s="173" t="str">
        <f t="shared" si="114"/>
        <v/>
      </c>
      <c r="N266" s="173" t="str">
        <f t="shared" si="115"/>
        <v/>
      </c>
      <c r="O266" s="173" t="str">
        <f t="shared" si="116"/>
        <v/>
      </c>
      <c r="P266" s="173" t="str">
        <f t="shared" si="107"/>
        <v/>
      </c>
      <c r="Q266" s="173" t="str">
        <f t="shared" si="121"/>
        <v/>
      </c>
      <c r="R266" s="173" t="str">
        <f t="shared" si="113"/>
        <v/>
      </c>
      <c r="S266" s="176" t="str">
        <f>IF(A265=$D$8,XIRR(U$27:U265,C$27:C265),"")</f>
        <v/>
      </c>
      <c r="T266" s="173" t="str">
        <f t="shared" si="97"/>
        <v/>
      </c>
      <c r="U266" s="173">
        <f t="shared" si="106"/>
        <v>0</v>
      </c>
      <c r="V266" s="141" t="e">
        <f t="shared" ca="1" si="98"/>
        <v>#VALUE!</v>
      </c>
      <c r="W266" s="141" t="e">
        <f t="shared" ca="1" si="104"/>
        <v>#VALUE!</v>
      </c>
      <c r="X266" s="141" t="e">
        <f t="shared" ca="1" si="99"/>
        <v>#VALUE!</v>
      </c>
      <c r="Y266" s="177" t="e">
        <f t="shared" ca="1" si="117"/>
        <v>#VALUE!</v>
      </c>
      <c r="Z266" s="178" t="e">
        <f t="shared" ca="1" si="100"/>
        <v>#VALUE!</v>
      </c>
      <c r="AA266" s="141">
        <v>239</v>
      </c>
    </row>
    <row r="267" spans="1:27" x14ac:dyDescent="0.35">
      <c r="A267" s="175" t="str">
        <f t="shared" si="105"/>
        <v/>
      </c>
      <c r="B267" s="172">
        <f t="shared" ca="1" si="101"/>
        <v>52500</v>
      </c>
      <c r="C267" s="172" t="str">
        <f t="shared" ref="C267" ca="1" si="122">IF(B267=$D$10,B267-1,(IF(B267&gt;$D$10," ",B267)))</f>
        <v xml:space="preserve"> </v>
      </c>
      <c r="D267" s="175" t="str">
        <f t="shared" si="108"/>
        <v/>
      </c>
      <c r="E267" s="173" t="e">
        <f t="shared" si="96"/>
        <v>#VALUE!</v>
      </c>
      <c r="F267" s="173" t="str">
        <f>IF(A266=$D$8,SUM(F$28:F266),IF(A266&gt;$D$8,"",G267+H267))</f>
        <v/>
      </c>
      <c r="G267" s="173" t="str">
        <f>IF(A266=$D$8,ROUND(SUM($G$28:G266),2),IF(A267&gt;$F$8,"",IF(W267&lt;&gt;W266,ROUND(SUM(Y267*$E$12*E266/W267,Z267*$E$12*E266/W266),2),ROUND(E266*$E$12*D267/W266,2))))</f>
        <v/>
      </c>
      <c r="H267" s="173" t="str">
        <f>IF(AND(A266="",A268=""),"",IF(A267="",ROUND(SUM($H$28:H266),2),IF(A267=$D$8,$H$27-ROUND(SUM($H$28:H266),2),ROUND($H$27/$D$8,2))))</f>
        <v/>
      </c>
      <c r="I267" s="173" t="str">
        <f t="shared" si="109"/>
        <v/>
      </c>
      <c r="J267" s="173" t="str">
        <f t="shared" si="110"/>
        <v/>
      </c>
      <c r="K267" s="173" t="str">
        <f t="shared" si="119"/>
        <v/>
      </c>
      <c r="L267" s="173" t="str">
        <f t="shared" si="111"/>
        <v/>
      </c>
      <c r="M267" s="173" t="str">
        <f t="shared" si="114"/>
        <v/>
      </c>
      <c r="N267" s="173" t="str">
        <f t="shared" si="115"/>
        <v/>
      </c>
      <c r="O267" s="173" t="str">
        <f t="shared" si="116"/>
        <v/>
      </c>
      <c r="P267" s="173" t="str">
        <f t="shared" si="107"/>
        <v/>
      </c>
      <c r="Q267" s="173" t="str">
        <f t="shared" si="121"/>
        <v/>
      </c>
      <c r="R267" s="173" t="str">
        <f t="shared" si="113"/>
        <v/>
      </c>
      <c r="S267" s="176" t="str">
        <f>IF(A266=$D$8,XIRR(U$27:U266,C$27:C266),"")</f>
        <v/>
      </c>
      <c r="T267" s="173" t="str">
        <f t="shared" si="97"/>
        <v/>
      </c>
      <c r="U267" s="173">
        <f t="shared" si="106"/>
        <v>0</v>
      </c>
      <c r="V267" s="141" t="e">
        <f t="shared" ca="1" si="98"/>
        <v>#VALUE!</v>
      </c>
      <c r="W267" s="141" t="e">
        <f t="shared" ca="1" si="104"/>
        <v>#VALUE!</v>
      </c>
      <c r="X267" s="141" t="e">
        <f t="shared" ca="1" si="99"/>
        <v>#VALUE!</v>
      </c>
      <c r="Y267" s="177" t="e">
        <f t="shared" ca="1" si="117"/>
        <v>#VALUE!</v>
      </c>
      <c r="Z267" s="178" t="e">
        <f t="shared" ca="1" si="100"/>
        <v>#VALUE!</v>
      </c>
      <c r="AA267" s="141">
        <v>240</v>
      </c>
    </row>
    <row r="268" spans="1:27" x14ac:dyDescent="0.35">
      <c r="A268" s="175" t="str">
        <f t="shared" si="105"/>
        <v/>
      </c>
      <c r="E268" s="173" t="str">
        <f>IF(A268&gt;$D$8,"",E267-#REF!)</f>
        <v/>
      </c>
      <c r="F268" s="173" t="str">
        <f>IF(A267=$D$8,SUM(F$28:F267),IF(A267&gt;$D$8,"",G268+H268))</f>
        <v/>
      </c>
      <c r="G268" s="173" t="str">
        <f>IF(A267=$D$8,ROUND(SUM($G$28:G267),2),IF(A268&gt;$F$8,"",IF(W268&lt;&gt;W267,ROUND(SUM(Y268*$F$15*E267/W268,Z268*$F$15*E267/W267),2),ROUND(E267*$F$15*D268/W267,2))))</f>
        <v/>
      </c>
      <c r="H268" s="173" t="str">
        <f>IF(AND(A267="",A269=""),"",IF(A268="",ROUND(SUM($H$28:H267),2),IF(A268=$D$8,$H$27-ROUND(SUM($H$28:H267),2),ROUND($H$27/$D$8,2))))</f>
        <v/>
      </c>
      <c r="I268" s="173" t="str">
        <f t="shared" si="109"/>
        <v/>
      </c>
      <c r="J268" s="173" t="str">
        <f t="shared" si="110"/>
        <v/>
      </c>
      <c r="K268" s="174" t="str">
        <f>IF($F$8&gt;240,($S$8+$S$10),IF($A$267=$F$8,$K$27*$H$8,""))</f>
        <v/>
      </c>
      <c r="L268" s="173" t="str">
        <f t="shared" si="111"/>
        <v/>
      </c>
      <c r="M268" s="173" t="str">
        <f t="shared" si="114"/>
        <v/>
      </c>
      <c r="N268" s="173" t="str">
        <f t="shared" ref="N268" si="123">IF(A267=$F$8,$N$27,"")</f>
        <v/>
      </c>
      <c r="O268" s="173" t="str">
        <f t="shared" ref="O268" si="124">IF(A267=$F$8,$O$27,"")</f>
        <v/>
      </c>
      <c r="P268" s="173" t="str">
        <f t="shared" si="107"/>
        <v/>
      </c>
      <c r="Q268" s="173" t="str">
        <f>IF($F$8&gt;240,($R$14),IF(A267=$F$8,Q256+Q244+Q232+Q220+Q208+Q196+Q184+Q172+Q160+Q148+Q136+Q124+Q112+Q100+Q88+Q76+Q64+Q52+Q40+Q27,""))</f>
        <v/>
      </c>
      <c r="R268" s="173" t="str">
        <f t="shared" si="113"/>
        <v/>
      </c>
      <c r="S268" s="176" t="str">
        <f>IF(A267=$D$8,XIRR(U$27:U267,C$27:C267),"")</f>
        <v/>
      </c>
      <c r="T268" s="173" t="str">
        <f>IF(A267=$D$8,G268+P268+H268+I268+J268+K268+L268+Q268+R268,"")</f>
        <v/>
      </c>
      <c r="U268" s="173"/>
      <c r="V268" s="141" t="str">
        <f t="shared" si="98"/>
        <v/>
      </c>
      <c r="AA268" s="141">
        <v>241</v>
      </c>
    </row>
    <row r="269" spans="1:27" x14ac:dyDescent="0.35">
      <c r="A269" s="175" t="str">
        <f t="shared" si="105"/>
        <v/>
      </c>
      <c r="AA269" s="141">
        <v>242</v>
      </c>
    </row>
    <row r="270" spans="1:27" x14ac:dyDescent="0.35">
      <c r="A270" s="175" t="str">
        <f t="shared" si="105"/>
        <v/>
      </c>
      <c r="AA270" s="141">
        <v>243</v>
      </c>
    </row>
    <row r="271" spans="1:27" x14ac:dyDescent="0.35">
      <c r="A271" s="175" t="str">
        <f t="shared" si="105"/>
        <v/>
      </c>
      <c r="AA271" s="141">
        <v>244</v>
      </c>
    </row>
    <row r="272" spans="1:27" x14ac:dyDescent="0.35">
      <c r="A272" s="175" t="str">
        <f t="shared" si="105"/>
        <v/>
      </c>
      <c r="AA272" s="141">
        <v>245</v>
      </c>
    </row>
    <row r="273" spans="1:27" x14ac:dyDescent="0.35">
      <c r="A273" s="175" t="str">
        <f t="shared" si="105"/>
        <v/>
      </c>
      <c r="AA273" s="141">
        <v>246</v>
      </c>
    </row>
    <row r="274" spans="1:27" x14ac:dyDescent="0.35">
      <c r="A274" s="175" t="str">
        <f t="shared" si="105"/>
        <v/>
      </c>
      <c r="AA274" s="141">
        <v>247</v>
      </c>
    </row>
    <row r="275" spans="1:27" x14ac:dyDescent="0.35">
      <c r="A275" s="175" t="str">
        <f t="shared" si="105"/>
        <v/>
      </c>
      <c r="AA275" s="141">
        <v>248</v>
      </c>
    </row>
    <row r="276" spans="1:27" x14ac:dyDescent="0.35">
      <c r="A276" s="175" t="str">
        <f t="shared" si="105"/>
        <v/>
      </c>
      <c r="AA276" s="141">
        <v>249</v>
      </c>
    </row>
    <row r="277" spans="1:27" x14ac:dyDescent="0.35">
      <c r="A277" s="175" t="str">
        <f t="shared" si="105"/>
        <v/>
      </c>
      <c r="AA277" s="141">
        <v>250</v>
      </c>
    </row>
    <row r="278" spans="1:27" x14ac:dyDescent="0.35">
      <c r="A278" s="175" t="str">
        <f t="shared" si="105"/>
        <v/>
      </c>
      <c r="AA278" s="141">
        <v>251</v>
      </c>
    </row>
    <row r="279" spans="1:27" x14ac:dyDescent="0.35">
      <c r="A279" s="175" t="str">
        <f t="shared" si="105"/>
        <v/>
      </c>
      <c r="AA279" s="141">
        <v>252</v>
      </c>
    </row>
  </sheetData>
  <protectedRanges>
    <protectedRange password="C797" sqref="E89:H268 D28:D267 A28:B28 A29:A279 B29:B267" name="Диапазон1"/>
    <protectedRange password="C797" sqref="P28:R30 P101:Q111 P100 P113:Q123 P112 P125:Q135 P124 P137:Q147 P136 P149:Q159 P148 P161:Q171 P160 P173:Q183 P172 P185:Q195 P184 P197:Q207 P196 P209:Q219 P208 P221:Q231 P220 P233:Q243 P232 P245:Q255 P244 P257:Q267 P256 P268 K89:K99 K101:K111 K113:K123 K125:K135 K137:K147 K149:K159 K161:K171 K173:K183 K185:K195 K197:K207 K209:K219 K221:K231 K233:K243 K245:K255 K257:K267 R31:R268 P31:Q99" name="Диапазон1_2"/>
    <protectedRange password="C797" sqref="U27" name="Диапазон1_1_1"/>
    <protectedRange password="C797" sqref="U28:U268" name="Диапазон1_2_1"/>
    <protectedRange password="C797" sqref="C28" name="Диапазон1_3"/>
    <protectedRange password="C797" sqref="C29:C267" name="Диапазон1_4"/>
    <protectedRange password="C797" sqref="D27 A27:B27" name="Диапазон1_7"/>
    <protectedRange password="C797" sqref="S22:T26 A22:E26 F25:F26 F22:H22 P22:P26 G26:H26" name="Диапазон1_1_2"/>
    <protectedRange password="C797" sqref="P27:R27" name="Диапазон1_2_3"/>
    <protectedRange password="C797" sqref="C27" name="Диапазон1_3_2"/>
    <protectedRange password="C797" sqref="K32" name="Диапазон1_2_4"/>
    <protectedRange password="C797" sqref="L32:L39 L41:L51 L53:L63 L65:L75 L77:L87" name="Диапазон1_2_2_1"/>
    <protectedRange password="C797" sqref="H27:H28 E27:F88 H30:H88" name="Диапазон1_5"/>
    <protectedRange password="C797" sqref="G27:G29" name="Диапазон1_5_1"/>
    <protectedRange password="C797" sqref="H29" name="Диапазон1_7_1"/>
    <protectedRange password="C797" sqref="G23 G25" name="Диапазон1_1"/>
    <protectedRange password="C797" sqref="H23:H25" name="Диапазон1_1_2_1"/>
  </protectedRanges>
  <mergeCells count="39">
    <mergeCell ref="T22:T25"/>
    <mergeCell ref="F22:F25"/>
    <mergeCell ref="I23:R23"/>
    <mergeCell ref="H23:H25"/>
    <mergeCell ref="G22:R22"/>
    <mergeCell ref="G23:G25"/>
    <mergeCell ref="I24:L24"/>
    <mergeCell ref="M24:N24"/>
    <mergeCell ref="O24:R24"/>
    <mergeCell ref="D22:D25"/>
    <mergeCell ref="C22:C25"/>
    <mergeCell ref="A22:A25"/>
    <mergeCell ref="E22:E25"/>
    <mergeCell ref="R11:S11"/>
    <mergeCell ref="I14:I15"/>
    <mergeCell ref="R12:S12"/>
    <mergeCell ref="R13:S13"/>
    <mergeCell ref="R14:S14"/>
    <mergeCell ref="J11:Q11"/>
    <mergeCell ref="S22:S25"/>
    <mergeCell ref="J17:Q17"/>
    <mergeCell ref="R17:S17"/>
    <mergeCell ref="I16:I17"/>
    <mergeCell ref="A1:U1"/>
    <mergeCell ref="U22:U25"/>
    <mergeCell ref="I3:Q3"/>
    <mergeCell ref="R3:S3"/>
    <mergeCell ref="I4:Q4"/>
    <mergeCell ref="R4:S4"/>
    <mergeCell ref="R5:S5"/>
    <mergeCell ref="J6:S6"/>
    <mergeCell ref="R7:S7"/>
    <mergeCell ref="J9:Q9"/>
    <mergeCell ref="R9:S9"/>
    <mergeCell ref="J10:Q10"/>
    <mergeCell ref="D11:F11"/>
    <mergeCell ref="R15:S15"/>
    <mergeCell ref="M15:Q15"/>
    <mergeCell ref="M14:Q14"/>
  </mergeCells>
  <dataValidations count="1">
    <dataValidation type="list" allowBlank="1" showInputMessage="1" showErrorMessage="1" sqref="U8:V8" xr:uid="{00000000-0002-0000-0100-000000000000}">
      <formula1>$X$8:$X$9</formula1>
    </dataValidation>
  </dataValidations>
  <pageMargins left="0.23622047244094491" right="0.23622047244094491" top="0.74803149606299213" bottom="0.74803149606299213" header="0.31496062992125984" footer="0.31496062992125984"/>
  <pageSetup paperSize="9" scale="68" fitToHeight="0" orientation="portrait" r:id="rId1"/>
  <ignoredErrors>
    <ignoredError sqref="H9 F3 D9"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C63"/>
  <sheetViews>
    <sheetView topLeftCell="A40" workbookViewId="0">
      <selection activeCell="C25" sqref="C25"/>
    </sheetView>
  </sheetViews>
  <sheetFormatPr defaultColWidth="9.1796875" defaultRowHeight="14.5" x14ac:dyDescent="0.35"/>
  <cols>
    <col min="1" max="1" width="45.54296875" customWidth="1"/>
    <col min="2" max="2" width="7.453125" customWidth="1"/>
    <col min="3" max="3" width="60.81640625" customWidth="1"/>
  </cols>
  <sheetData>
    <row r="1" spans="1:3" ht="15" thickBot="1" x14ac:dyDescent="0.4">
      <c r="A1" s="373" t="s">
        <v>0</v>
      </c>
      <c r="B1" s="374"/>
      <c r="C1" s="374"/>
    </row>
    <row r="2" spans="1:3" ht="15" customHeight="1" x14ac:dyDescent="0.35">
      <c r="A2" s="371" t="s">
        <v>1</v>
      </c>
      <c r="B2" s="376" t="s">
        <v>95</v>
      </c>
      <c r="C2" s="377"/>
    </row>
    <row r="3" spans="1:3" x14ac:dyDescent="0.35">
      <c r="A3" s="372"/>
      <c r="B3" s="378"/>
      <c r="C3" s="379"/>
    </row>
    <row r="4" spans="1:3" ht="15" thickBot="1" x14ac:dyDescent="0.4">
      <c r="A4" s="375"/>
      <c r="B4" s="350" t="s">
        <v>2</v>
      </c>
      <c r="C4" s="351"/>
    </row>
    <row r="5" spans="1:3" ht="15" customHeight="1" x14ac:dyDescent="0.35">
      <c r="A5" s="371" t="s">
        <v>3</v>
      </c>
      <c r="B5" s="376" t="s">
        <v>4</v>
      </c>
      <c r="C5" s="377"/>
    </row>
    <row r="6" spans="1:3" x14ac:dyDescent="0.35">
      <c r="A6" s="372"/>
      <c r="B6" s="380" t="s">
        <v>5</v>
      </c>
      <c r="C6" s="381"/>
    </row>
    <row r="7" spans="1:3" ht="15" thickBot="1" x14ac:dyDescent="0.4">
      <c r="A7" s="375"/>
      <c r="B7" s="382"/>
      <c r="C7" s="383"/>
    </row>
    <row r="8" spans="1:3" x14ac:dyDescent="0.35">
      <c r="A8" s="384" t="s">
        <v>6</v>
      </c>
      <c r="B8" s="386" t="s">
        <v>7</v>
      </c>
      <c r="C8" s="387"/>
    </row>
    <row r="9" spans="1:3" ht="15" thickBot="1" x14ac:dyDescent="0.4">
      <c r="A9" s="385"/>
      <c r="B9" s="388" t="s">
        <v>96</v>
      </c>
      <c r="C9" s="389"/>
    </row>
    <row r="10" spans="1:3" ht="15" thickBot="1" x14ac:dyDescent="0.4">
      <c r="A10" s="14" t="s">
        <v>8</v>
      </c>
      <c r="B10" s="355" t="s">
        <v>9</v>
      </c>
      <c r="C10" s="356"/>
    </row>
    <row r="11" spans="1:3" ht="15" thickBot="1" x14ac:dyDescent="0.4">
      <c r="A11" s="14" t="s">
        <v>10</v>
      </c>
      <c r="B11" s="355" t="s">
        <v>11</v>
      </c>
      <c r="C11" s="356"/>
    </row>
    <row r="12" spans="1:3" ht="15" thickBot="1" x14ac:dyDescent="0.4">
      <c r="A12" s="14" t="s">
        <v>12</v>
      </c>
      <c r="B12" s="355" t="s">
        <v>13</v>
      </c>
      <c r="C12" s="356"/>
    </row>
    <row r="13" spans="1:3" ht="15.75" customHeight="1" thickBot="1" x14ac:dyDescent="0.4">
      <c r="A13" s="360" t="s">
        <v>14</v>
      </c>
      <c r="B13" s="361"/>
      <c r="C13" s="362"/>
    </row>
    <row r="14" spans="1:3" ht="15.75" customHeight="1" thickBot="1" x14ac:dyDescent="0.4">
      <c r="A14" s="360" t="s">
        <v>15</v>
      </c>
      <c r="B14" s="361"/>
      <c r="C14" s="362"/>
    </row>
    <row r="15" spans="1:3" ht="15" thickBot="1" x14ac:dyDescent="0.4">
      <c r="A15" s="14" t="s">
        <v>16</v>
      </c>
      <c r="B15" s="355" t="s">
        <v>78</v>
      </c>
      <c r="C15" s="356"/>
    </row>
    <row r="16" spans="1:3" ht="15" thickBot="1" x14ac:dyDescent="0.4">
      <c r="A16" s="14" t="s">
        <v>17</v>
      </c>
      <c r="B16" s="367">
        <f>'графік із підвищеною %'!F7</f>
        <v>750000</v>
      </c>
      <c r="C16" s="368"/>
    </row>
    <row r="17" spans="1:3" ht="15" thickBot="1" x14ac:dyDescent="0.4">
      <c r="A17" s="14" t="s">
        <v>77</v>
      </c>
      <c r="B17" s="355">
        <f>'графік із підвищеною %'!F8</f>
        <v>60</v>
      </c>
      <c r="C17" s="356"/>
    </row>
    <row r="18" spans="1:3" ht="15" thickBot="1" x14ac:dyDescent="0.4">
      <c r="A18" s="113" t="s">
        <v>18</v>
      </c>
      <c r="B18" s="348" t="s">
        <v>98</v>
      </c>
      <c r="C18" s="349"/>
    </row>
    <row r="19" spans="1:3" ht="13.5" customHeight="1" thickBot="1" x14ac:dyDescent="0.4">
      <c r="A19" s="118" t="s">
        <v>19</v>
      </c>
      <c r="B19" s="357" t="s">
        <v>99</v>
      </c>
      <c r="C19" s="356"/>
    </row>
    <row r="20" spans="1:3" ht="15" thickBot="1" x14ac:dyDescent="0.4">
      <c r="A20" s="1" t="s">
        <v>20</v>
      </c>
      <c r="B20" s="355" t="s">
        <v>116</v>
      </c>
      <c r="C20" s="356"/>
    </row>
    <row r="21" spans="1:3" ht="15" thickBot="1" x14ac:dyDescent="0.4">
      <c r="A21" s="1" t="s">
        <v>21</v>
      </c>
      <c r="B21" s="355" t="s">
        <v>22</v>
      </c>
      <c r="C21" s="356"/>
    </row>
    <row r="22" spans="1:3" ht="20.25" customHeight="1" x14ac:dyDescent="0.35">
      <c r="A22" s="371" t="s">
        <v>23</v>
      </c>
      <c r="B22" s="348" t="s">
        <v>100</v>
      </c>
      <c r="C22" s="349"/>
    </row>
    <row r="23" spans="1:3" ht="15" thickBot="1" x14ac:dyDescent="0.4">
      <c r="A23" s="372"/>
      <c r="B23" s="350"/>
      <c r="C23" s="351"/>
    </row>
    <row r="24" spans="1:3" ht="19.5" customHeight="1" thickBot="1" x14ac:dyDescent="0.4">
      <c r="A24" s="360" t="s">
        <v>24</v>
      </c>
      <c r="B24" s="361"/>
      <c r="C24" s="362"/>
    </row>
    <row r="25" spans="1:3" ht="19.5" customHeight="1" thickBot="1" x14ac:dyDescent="0.4">
      <c r="A25" s="116" t="s">
        <v>25</v>
      </c>
      <c r="B25" s="117">
        <f>'графік із підвищеною %'!F9</f>
        <v>0.2999</v>
      </c>
      <c r="C25" s="119" t="s">
        <v>118</v>
      </c>
    </row>
    <row r="26" spans="1:3" ht="15" thickBot="1" x14ac:dyDescent="0.4">
      <c r="A26" s="1" t="s">
        <v>26</v>
      </c>
      <c r="B26" s="350" t="s">
        <v>113</v>
      </c>
      <c r="C26" s="351"/>
    </row>
    <row r="27" spans="1:3" ht="21" customHeight="1" thickBot="1" x14ac:dyDescent="0.4">
      <c r="A27" s="1" t="s">
        <v>27</v>
      </c>
      <c r="B27" s="355" t="s">
        <v>114</v>
      </c>
      <c r="C27" s="356"/>
    </row>
    <row r="28" spans="1:3" ht="23.5" thickBot="1" x14ac:dyDescent="0.4">
      <c r="A28" s="1" t="s">
        <v>28</v>
      </c>
      <c r="B28" s="355" t="s">
        <v>29</v>
      </c>
      <c r="C28" s="356"/>
    </row>
    <row r="29" spans="1:3" ht="15" thickBot="1" x14ac:dyDescent="0.4">
      <c r="A29" s="1" t="s">
        <v>94</v>
      </c>
      <c r="B29" s="364">
        <f>'графік із підвищеною %'!K7</f>
        <v>0</v>
      </c>
      <c r="C29" s="365"/>
    </row>
    <row r="30" spans="1:3" ht="15" thickBot="1" x14ac:dyDescent="0.4">
      <c r="A30" s="1" t="s">
        <v>30</v>
      </c>
      <c r="B30" s="366">
        <v>0</v>
      </c>
      <c r="C30" s="356"/>
    </row>
    <row r="31" spans="1:3" ht="26.25" customHeight="1" thickBot="1" x14ac:dyDescent="0.4">
      <c r="A31" s="116" t="s">
        <v>31</v>
      </c>
      <c r="B31" s="367">
        <f>'графік із підвищеною %'!K9</f>
        <v>0</v>
      </c>
      <c r="C31" s="356"/>
    </row>
    <row r="32" spans="1:3" ht="15" hidden="1" thickBot="1" x14ac:dyDescent="0.4">
      <c r="A32" s="1"/>
      <c r="B32" s="2"/>
    </row>
    <row r="33" spans="1:3" ht="15" thickBot="1" x14ac:dyDescent="0.4">
      <c r="A33" s="1" t="s">
        <v>32</v>
      </c>
      <c r="B33" s="367" t="e">
        <f>B34-B16</f>
        <v>#REF!</v>
      </c>
      <c r="C33" s="368"/>
    </row>
    <row r="34" spans="1:3" ht="35" thickBot="1" x14ac:dyDescent="0.4">
      <c r="A34" s="1" t="s">
        <v>33</v>
      </c>
      <c r="B34" s="367" t="e">
        <f>SUM('Таблиця обчислення'!#REF!)</f>
        <v>#REF!</v>
      </c>
      <c r="C34" s="368"/>
    </row>
    <row r="35" spans="1:3" ht="15" thickBot="1" x14ac:dyDescent="0.4">
      <c r="A35" s="112" t="s">
        <v>34</v>
      </c>
      <c r="B35" s="369">
        <f ca="1">SUM('графік із підвищеною %'!K19:K103)</f>
        <v>0.34428817629814157</v>
      </c>
      <c r="C35" s="370"/>
    </row>
    <row r="36" spans="1:3" ht="48" customHeight="1" thickBot="1" x14ac:dyDescent="0.4">
      <c r="A36" s="352" t="s">
        <v>35</v>
      </c>
      <c r="B36" s="353"/>
      <c r="C36" s="354"/>
    </row>
    <row r="37" spans="1:3" ht="24" customHeight="1" thickBot="1" x14ac:dyDescent="0.4">
      <c r="A37" s="352" t="s">
        <v>36</v>
      </c>
      <c r="B37" s="353"/>
      <c r="C37" s="354"/>
    </row>
    <row r="38" spans="1:3" ht="24" customHeight="1" thickBot="1" x14ac:dyDescent="0.4">
      <c r="A38" s="352" t="s">
        <v>37</v>
      </c>
      <c r="B38" s="353"/>
      <c r="C38" s="354"/>
    </row>
    <row r="39" spans="1:3" ht="15" thickBot="1" x14ac:dyDescent="0.4">
      <c r="A39" s="360" t="s">
        <v>38</v>
      </c>
      <c r="B39" s="361"/>
      <c r="C39" s="362"/>
    </row>
    <row r="40" spans="1:3" ht="15" thickBot="1" x14ac:dyDescent="0.4">
      <c r="A40" s="116" t="s">
        <v>39</v>
      </c>
      <c r="B40" s="355" t="s">
        <v>40</v>
      </c>
      <c r="C40" s="356"/>
    </row>
    <row r="41" spans="1:3" ht="15" thickBot="1" x14ac:dyDescent="0.4">
      <c r="A41" s="360" t="s">
        <v>41</v>
      </c>
      <c r="B41" s="361"/>
      <c r="C41" s="362"/>
    </row>
    <row r="42" spans="1:3" ht="15" customHeight="1" thickBot="1" x14ac:dyDescent="0.4">
      <c r="A42" s="348" t="s">
        <v>42</v>
      </c>
      <c r="B42" s="363"/>
      <c r="C42" s="349"/>
    </row>
    <row r="43" spans="1:3" ht="15" thickBot="1" x14ac:dyDescent="0.4">
      <c r="A43" s="116" t="s">
        <v>43</v>
      </c>
      <c r="B43" s="355" t="s">
        <v>109</v>
      </c>
      <c r="C43" s="356"/>
    </row>
    <row r="44" spans="1:3" ht="15" thickBot="1" x14ac:dyDescent="0.4">
      <c r="A44" s="1" t="s">
        <v>110</v>
      </c>
      <c r="B44" s="355" t="s">
        <v>109</v>
      </c>
      <c r="C44" s="356"/>
    </row>
    <row r="45" spans="1:3" ht="30.75" customHeight="1" thickBot="1" x14ac:dyDescent="0.4">
      <c r="A45" s="1" t="s">
        <v>112</v>
      </c>
      <c r="B45" s="355" t="e">
        <f>паспорт!#REF!</f>
        <v>#REF!</v>
      </c>
      <c r="C45" s="356"/>
    </row>
    <row r="46" spans="1:3" ht="23.5" thickBot="1" x14ac:dyDescent="0.4">
      <c r="A46" s="1" t="s">
        <v>44</v>
      </c>
      <c r="B46" s="355"/>
      <c r="C46" s="356"/>
    </row>
    <row r="47" spans="1:3" ht="15" thickBot="1" x14ac:dyDescent="0.4">
      <c r="A47" s="1" t="s">
        <v>45</v>
      </c>
      <c r="B47" s="355" t="s">
        <v>46</v>
      </c>
      <c r="C47" s="356"/>
    </row>
    <row r="48" spans="1:3" ht="23.5" thickBot="1" x14ac:dyDescent="0.4">
      <c r="A48" s="1" t="s">
        <v>117</v>
      </c>
      <c r="B48" s="355" t="s">
        <v>82</v>
      </c>
      <c r="C48" s="356"/>
    </row>
    <row r="49" spans="1:3" ht="15" thickBot="1" x14ac:dyDescent="0.4">
      <c r="A49" s="112" t="s">
        <v>47</v>
      </c>
      <c r="B49" s="355" t="s">
        <v>79</v>
      </c>
      <c r="C49" s="356"/>
    </row>
    <row r="50" spans="1:3" ht="15" thickBot="1" x14ac:dyDescent="0.4">
      <c r="A50" s="360" t="s">
        <v>48</v>
      </c>
      <c r="B50" s="361"/>
      <c r="C50" s="362"/>
    </row>
    <row r="51" spans="1:3" ht="36" customHeight="1" thickBot="1" x14ac:dyDescent="0.4">
      <c r="A51" s="352" t="s">
        <v>49</v>
      </c>
      <c r="B51" s="353"/>
      <c r="C51" s="354"/>
    </row>
    <row r="52" spans="1:3" ht="46.5" thickBot="1" x14ac:dyDescent="0.4">
      <c r="A52" s="116" t="s">
        <v>50</v>
      </c>
      <c r="B52" s="355" t="s">
        <v>111</v>
      </c>
      <c r="C52" s="356"/>
    </row>
    <row r="53" spans="1:3" ht="36" customHeight="1" thickBot="1" x14ac:dyDescent="0.4">
      <c r="A53" s="355" t="s">
        <v>51</v>
      </c>
      <c r="B53" s="357"/>
      <c r="C53" s="356"/>
    </row>
    <row r="54" spans="1:3" ht="36" customHeight="1" thickBot="1" x14ac:dyDescent="0.4">
      <c r="A54" s="355" t="s">
        <v>52</v>
      </c>
      <c r="B54" s="357"/>
      <c r="C54" s="356"/>
    </row>
    <row r="55" spans="1:3" ht="15" customHeight="1" x14ac:dyDescent="0.35">
      <c r="A55" s="358" t="s">
        <v>53</v>
      </c>
      <c r="B55" s="348" t="s">
        <v>54</v>
      </c>
      <c r="C55" s="349"/>
    </row>
    <row r="56" spans="1:3" ht="15" thickBot="1" x14ac:dyDescent="0.4">
      <c r="A56" s="359"/>
      <c r="B56" s="350"/>
      <c r="C56" s="351"/>
    </row>
    <row r="57" spans="1:3" x14ac:dyDescent="0.35">
      <c r="A57" s="113"/>
      <c r="B57" s="348" t="s">
        <v>56</v>
      </c>
      <c r="C57" s="349"/>
    </row>
    <row r="58" spans="1:3" ht="15" thickBot="1" x14ac:dyDescent="0.4">
      <c r="A58" s="4" t="s">
        <v>55</v>
      </c>
      <c r="B58" s="350"/>
      <c r="C58" s="351"/>
    </row>
    <row r="59" spans="1:3" ht="24" customHeight="1" thickBot="1" x14ac:dyDescent="0.4">
      <c r="A59" s="352" t="s">
        <v>57</v>
      </c>
      <c r="B59" s="353"/>
      <c r="C59" s="354"/>
    </row>
    <row r="60" spans="1:3" ht="48" customHeight="1" thickBot="1" x14ac:dyDescent="0.4">
      <c r="A60" s="352" t="s">
        <v>58</v>
      </c>
      <c r="B60" s="353"/>
      <c r="C60" s="354"/>
    </row>
    <row r="61" spans="1:3" x14ac:dyDescent="0.35">
      <c r="A61" s="3"/>
      <c r="B61" s="348" t="s">
        <v>60</v>
      </c>
      <c r="C61" s="349"/>
    </row>
    <row r="62" spans="1:3" ht="15" thickBot="1" x14ac:dyDescent="0.4">
      <c r="A62" s="4" t="s">
        <v>59</v>
      </c>
      <c r="B62" s="350"/>
      <c r="C62" s="351"/>
    </row>
    <row r="63" spans="1:3" x14ac:dyDescent="0.35">
      <c r="A63" s="5"/>
    </row>
  </sheetData>
  <mergeCells count="61">
    <mergeCell ref="B12:C12"/>
    <mergeCell ref="A1:C1"/>
    <mergeCell ref="A2:A4"/>
    <mergeCell ref="B2:C2"/>
    <mergeCell ref="B3:C3"/>
    <mergeCell ref="B4:C4"/>
    <mergeCell ref="A5:A7"/>
    <mergeCell ref="B5:C5"/>
    <mergeCell ref="B6:C6"/>
    <mergeCell ref="B7:C7"/>
    <mergeCell ref="A8:A9"/>
    <mergeCell ref="B8:C8"/>
    <mergeCell ref="B9:C9"/>
    <mergeCell ref="B10:C10"/>
    <mergeCell ref="B11:C11"/>
    <mergeCell ref="A24:C24"/>
    <mergeCell ref="A13:C13"/>
    <mergeCell ref="A14:C14"/>
    <mergeCell ref="B15:C15"/>
    <mergeCell ref="B16:C16"/>
    <mergeCell ref="B17:C17"/>
    <mergeCell ref="B18:C18"/>
    <mergeCell ref="B19:C19"/>
    <mergeCell ref="B20:C20"/>
    <mergeCell ref="B21:C21"/>
    <mergeCell ref="A22:A23"/>
    <mergeCell ref="B22:C23"/>
    <mergeCell ref="A38:C38"/>
    <mergeCell ref="B26:C26"/>
    <mergeCell ref="B27:C27"/>
    <mergeCell ref="B28:C28"/>
    <mergeCell ref="B29:C29"/>
    <mergeCell ref="B30:C30"/>
    <mergeCell ref="B31:C31"/>
    <mergeCell ref="B33:C33"/>
    <mergeCell ref="B34:C34"/>
    <mergeCell ref="B35:C35"/>
    <mergeCell ref="A36:C36"/>
    <mergeCell ref="A37:C37"/>
    <mergeCell ref="A50:C50"/>
    <mergeCell ref="A39:C39"/>
    <mergeCell ref="B40:C40"/>
    <mergeCell ref="A41:C41"/>
    <mergeCell ref="A42:C42"/>
    <mergeCell ref="B43:C43"/>
    <mergeCell ref="B44:C44"/>
    <mergeCell ref="B45:C45"/>
    <mergeCell ref="B46:C46"/>
    <mergeCell ref="B47:C47"/>
    <mergeCell ref="B48:C48"/>
    <mergeCell ref="B49:C49"/>
    <mergeCell ref="B57:C58"/>
    <mergeCell ref="A59:C59"/>
    <mergeCell ref="A60:C60"/>
    <mergeCell ref="B61:C62"/>
    <mergeCell ref="A51:C51"/>
    <mergeCell ref="B52:C52"/>
    <mergeCell ref="A53:C53"/>
    <mergeCell ref="A54:C54"/>
    <mergeCell ref="A55:A56"/>
    <mergeCell ref="B55:C56"/>
  </mergeCells>
  <hyperlinks>
    <hyperlink ref="B11" r:id="rId1" display="mailto:bank@pravex.kiev.ua" xr:uid="{00000000-0004-0000-0200-000000000000}"/>
  </hyperlinks>
  <pageMargins left="0.7" right="0.7" top="0.75" bottom="0.75" header="0.3" footer="0.3"/>
  <pageSetup paperSize="9" scale="76"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W107"/>
  <sheetViews>
    <sheetView workbookViewId="0">
      <selection activeCell="F16" sqref="F16"/>
    </sheetView>
  </sheetViews>
  <sheetFormatPr defaultColWidth="9.1796875" defaultRowHeight="14.5" x14ac:dyDescent="0.35"/>
  <cols>
    <col min="1" max="1" width="4.26953125" customWidth="1"/>
    <col min="2" max="2" width="24.81640625" hidden="1" customWidth="1"/>
    <col min="3" max="3" width="18.81640625" customWidth="1"/>
    <col min="4" max="4" width="12" customWidth="1"/>
    <col min="5" max="5" width="15.81640625" hidden="1" customWidth="1"/>
    <col min="6" max="6" width="14.7265625" customWidth="1"/>
    <col min="7" max="7" width="15.54296875" customWidth="1"/>
    <col min="8" max="8" width="17.453125" customWidth="1"/>
    <col min="9" max="9" width="15.26953125" customWidth="1"/>
    <col min="10" max="10" width="15.81640625" customWidth="1"/>
    <col min="11" max="11" width="12.26953125" customWidth="1"/>
    <col min="12" max="12" width="12" customWidth="1"/>
    <col min="13" max="15" width="9.1796875" hidden="1" customWidth="1"/>
    <col min="16" max="16" width="10.81640625" hidden="1" customWidth="1"/>
    <col min="17" max="17" width="9.1796875" hidden="1" customWidth="1"/>
    <col min="19" max="20" width="9.1796875" customWidth="1"/>
    <col min="21" max="21" width="20.54296875" hidden="1" customWidth="1"/>
    <col min="22" max="23" width="9.1796875" hidden="1" customWidth="1"/>
  </cols>
  <sheetData>
    <row r="1" spans="1:23" x14ac:dyDescent="0.35">
      <c r="A1" s="393" t="s">
        <v>93</v>
      </c>
      <c r="B1" s="393"/>
      <c r="C1" s="393"/>
      <c r="D1" s="393"/>
      <c r="E1" s="393"/>
      <c r="F1" s="393"/>
      <c r="G1" s="393"/>
      <c r="H1" s="393"/>
      <c r="I1" s="393"/>
      <c r="J1" s="393"/>
      <c r="K1" s="393"/>
      <c r="L1" s="393"/>
    </row>
    <row r="2" spans="1:23" x14ac:dyDescent="0.35">
      <c r="A2" s="9"/>
      <c r="B2" s="9"/>
      <c r="C2" s="78"/>
      <c r="D2" s="9"/>
      <c r="E2" s="9"/>
      <c r="F2" s="9"/>
      <c r="G2" s="8"/>
      <c r="H2" s="9"/>
      <c r="I2" s="9"/>
      <c r="J2" s="9"/>
      <c r="K2" s="9"/>
      <c r="L2" s="9"/>
    </row>
    <row r="3" spans="1:23" x14ac:dyDescent="0.35">
      <c r="A3" s="9"/>
      <c r="B3" s="8" t="s">
        <v>61</v>
      </c>
      <c r="C3" s="93" t="s">
        <v>61</v>
      </c>
      <c r="D3" s="84">
        <f ca="1">F3</f>
        <v>45195</v>
      </c>
      <c r="E3" s="65"/>
      <c r="F3" s="86">
        <f ca="1">графік!F3</f>
        <v>45195</v>
      </c>
      <c r="G3" s="8"/>
      <c r="H3" s="394"/>
      <c r="I3" s="394"/>
      <c r="J3" s="114"/>
      <c r="K3" s="52"/>
      <c r="L3" s="9"/>
    </row>
    <row r="4" spans="1:23" hidden="1" x14ac:dyDescent="0.35">
      <c r="A4" s="9"/>
      <c r="B4" s="8" t="s">
        <v>66</v>
      </c>
      <c r="C4" s="94" t="s">
        <v>66</v>
      </c>
      <c r="D4" s="62">
        <f t="shared" ref="D4:D9" si="0">F4</f>
        <v>1000000</v>
      </c>
      <c r="E4" s="48"/>
      <c r="F4" s="85">
        <v>1000000</v>
      </c>
      <c r="G4" s="9"/>
      <c r="H4" s="395"/>
      <c r="I4" s="395"/>
      <c r="J4" s="115"/>
      <c r="K4" s="53"/>
      <c r="L4" s="9"/>
    </row>
    <row r="5" spans="1:23" hidden="1" x14ac:dyDescent="0.35">
      <c r="A5" s="9"/>
      <c r="B5" s="8" t="s">
        <v>65</v>
      </c>
      <c r="C5" s="95" t="s">
        <v>65</v>
      </c>
      <c r="D5" s="49">
        <f t="shared" si="0"/>
        <v>500000</v>
      </c>
      <c r="E5" s="48"/>
      <c r="F5" s="66">
        <v>500000</v>
      </c>
      <c r="G5" s="10"/>
      <c r="H5" s="396"/>
      <c r="I5" s="396"/>
      <c r="J5" s="396"/>
      <c r="K5" s="396"/>
      <c r="L5" s="9"/>
    </row>
    <row r="6" spans="1:23" hidden="1" x14ac:dyDescent="0.35">
      <c r="A6" s="9"/>
      <c r="B6" s="8" t="s">
        <v>67</v>
      </c>
      <c r="C6" s="96" t="s">
        <v>67</v>
      </c>
      <c r="D6" s="61">
        <f t="shared" si="0"/>
        <v>0.5</v>
      </c>
      <c r="E6" s="73"/>
      <c r="F6" s="67">
        <f>F5/F4</f>
        <v>0.5</v>
      </c>
      <c r="G6" s="11"/>
      <c r="H6" s="395"/>
      <c r="I6" s="395"/>
      <c r="J6" s="115"/>
      <c r="K6" s="47"/>
      <c r="L6" s="9"/>
    </row>
    <row r="7" spans="1:23" x14ac:dyDescent="0.35">
      <c r="A7" s="9"/>
      <c r="B7" s="8" t="s">
        <v>64</v>
      </c>
      <c r="C7" s="97" t="s">
        <v>64</v>
      </c>
      <c r="D7" s="63">
        <f t="shared" si="0"/>
        <v>750000</v>
      </c>
      <c r="E7" s="75"/>
      <c r="F7" s="68">
        <f>графік!F7</f>
        <v>750000</v>
      </c>
      <c r="G7" s="11"/>
      <c r="H7" s="401" t="s">
        <v>106</v>
      </c>
      <c r="I7" s="402"/>
      <c r="J7" s="402"/>
      <c r="K7" s="120">
        <f>графік!T7</f>
        <v>0</v>
      </c>
      <c r="L7" s="70"/>
      <c r="U7" t="s">
        <v>104</v>
      </c>
    </row>
    <row r="8" spans="1:23" x14ac:dyDescent="0.35">
      <c r="A8" s="9"/>
      <c r="B8" s="8" t="s">
        <v>63</v>
      </c>
      <c r="C8" s="98" t="s">
        <v>63</v>
      </c>
      <c r="D8" s="64">
        <f t="shared" si="0"/>
        <v>60</v>
      </c>
      <c r="E8" s="74"/>
      <c r="F8" s="69">
        <f>графік!F8</f>
        <v>60</v>
      </c>
      <c r="G8" s="11"/>
      <c r="H8" s="399" t="s">
        <v>76</v>
      </c>
      <c r="I8" s="400"/>
      <c r="J8" s="400"/>
      <c r="K8" s="121">
        <f>F7*K7</f>
        <v>0</v>
      </c>
      <c r="L8" s="83"/>
      <c r="N8" t="s">
        <v>91</v>
      </c>
      <c r="U8" s="9" t="s">
        <v>105</v>
      </c>
      <c r="V8" t="s">
        <v>83</v>
      </c>
      <c r="W8">
        <v>1700</v>
      </c>
    </row>
    <row r="9" spans="1:23" x14ac:dyDescent="0.35">
      <c r="A9" s="9"/>
      <c r="B9" s="8" t="s">
        <v>62</v>
      </c>
      <c r="C9" s="99" t="s">
        <v>62</v>
      </c>
      <c r="D9" s="76">
        <f t="shared" si="0"/>
        <v>0.2999</v>
      </c>
      <c r="E9" s="72"/>
      <c r="F9" s="77">
        <f>графік!F9+11%</f>
        <v>0.2999</v>
      </c>
      <c r="G9" s="17">
        <f>F12+F13</f>
        <v>0.1187</v>
      </c>
      <c r="H9" s="397" t="s">
        <v>115</v>
      </c>
      <c r="I9" s="398"/>
      <c r="J9" s="398"/>
      <c r="K9" s="122">
        <f>графік!T9</f>
        <v>0</v>
      </c>
      <c r="L9" s="9"/>
      <c r="N9" t="s">
        <v>92</v>
      </c>
    </row>
    <row r="10" spans="1:23" ht="17.25" hidden="1" customHeight="1" x14ac:dyDescent="0.35">
      <c r="A10" s="9"/>
      <c r="B10" s="9"/>
      <c r="C10" s="100"/>
      <c r="D10" s="50">
        <f ca="1">EDATE(D3,F8)</f>
        <v>47022</v>
      </c>
      <c r="E10" s="9"/>
      <c r="F10" s="71"/>
      <c r="G10" s="12"/>
      <c r="H10" s="82"/>
      <c r="I10" s="80"/>
      <c r="J10" s="80"/>
      <c r="K10" s="81"/>
      <c r="L10" s="12"/>
      <c r="M10" s="7"/>
      <c r="W10">
        <f>F4/W8</f>
        <v>588.23529411764707</v>
      </c>
    </row>
    <row r="11" spans="1:23" ht="17.25" hidden="1" customHeight="1" x14ac:dyDescent="0.35">
      <c r="A11" s="9"/>
      <c r="B11" s="9"/>
      <c r="C11" s="97" t="s">
        <v>81</v>
      </c>
      <c r="D11" s="390">
        <f ca="1">графік!D11</f>
        <v>47022</v>
      </c>
      <c r="E11" s="391"/>
      <c r="F11" s="392"/>
      <c r="G11" s="101"/>
      <c r="H11" s="102" t="s">
        <v>101</v>
      </c>
      <c r="I11" s="103"/>
      <c r="J11" s="103"/>
      <c r="K11" s="109"/>
      <c r="L11" s="108"/>
      <c r="M11" s="7"/>
    </row>
    <row r="12" spans="1:23" ht="18.75" hidden="1" customHeight="1" x14ac:dyDescent="0.35">
      <c r="A12" s="9"/>
      <c r="B12" s="9"/>
      <c r="C12" s="97" t="s">
        <v>103</v>
      </c>
      <c r="D12" s="76"/>
      <c r="E12" s="72"/>
      <c r="F12" s="77">
        <f>графік!F12</f>
        <v>8.8700000000000001E-2</v>
      </c>
      <c r="G12" s="12"/>
      <c r="H12" s="106" t="s">
        <v>102</v>
      </c>
      <c r="I12" s="104"/>
      <c r="J12" s="104"/>
      <c r="K12" s="107">
        <f>IF(I12="наявне",F7*F8*0.12%,0)</f>
        <v>0</v>
      </c>
      <c r="L12" s="108"/>
      <c r="M12" s="7"/>
    </row>
    <row r="13" spans="1:23" ht="15.75" hidden="1" customHeight="1" x14ac:dyDescent="0.35">
      <c r="A13" s="60"/>
      <c r="B13" s="9"/>
      <c r="C13" s="99" t="s">
        <v>80</v>
      </c>
      <c r="D13" s="78"/>
      <c r="E13" s="78"/>
      <c r="F13" s="79">
        <f>графік!F13</f>
        <v>0.03</v>
      </c>
      <c r="G13" s="13"/>
      <c r="H13" s="13"/>
      <c r="I13" s="105"/>
      <c r="J13" s="105"/>
      <c r="K13" s="105"/>
      <c r="L13" s="13"/>
      <c r="M13" s="6"/>
    </row>
    <row r="14" spans="1:23" hidden="1" x14ac:dyDescent="0.35">
      <c r="A14" s="9"/>
      <c r="B14" s="9"/>
      <c r="C14" s="59" t="s">
        <v>81</v>
      </c>
      <c r="D14" s="9"/>
      <c r="E14" s="9"/>
      <c r="F14" s="46" t="str">
        <f>IF(F8&gt;60,EDATE(F3,60),"Фіксова на весь строк ")</f>
        <v xml:space="preserve">Фіксова на весь строк </v>
      </c>
      <c r="G14" s="13"/>
      <c r="H14" s="13"/>
      <c r="I14" s="13"/>
      <c r="J14" s="13"/>
      <c r="K14" s="13"/>
      <c r="L14" s="13"/>
      <c r="M14" s="6"/>
    </row>
    <row r="15" spans="1:23" hidden="1" x14ac:dyDescent="0.35">
      <c r="A15" s="9"/>
      <c r="B15" s="9"/>
      <c r="C15" s="51" t="s">
        <v>97</v>
      </c>
      <c r="D15" s="51"/>
      <c r="E15" s="51"/>
      <c r="F15" s="17">
        <f>F12+F13</f>
        <v>0.1187</v>
      </c>
      <c r="G15" s="12"/>
      <c r="H15" s="57"/>
      <c r="I15" s="12"/>
      <c r="J15" s="12"/>
      <c r="K15" s="55"/>
      <c r="L15" s="12"/>
      <c r="M15" s="7"/>
      <c r="W15" t="str">
        <f>IF(W10&lt;165,"3%",IF(W10&gt;290,"5%","4%"))</f>
        <v>5%</v>
      </c>
    </row>
    <row r="16" spans="1:23" ht="15" thickBot="1" x14ac:dyDescent="0.4">
      <c r="A16" s="58"/>
      <c r="B16" s="9"/>
      <c r="C16" s="58"/>
      <c r="D16" s="58"/>
      <c r="E16" s="9"/>
      <c r="F16" s="9"/>
      <c r="G16" s="54"/>
      <c r="H16" s="56"/>
      <c r="I16" s="54"/>
      <c r="J16" s="54"/>
      <c r="K16" s="56"/>
      <c r="L16" s="13"/>
      <c r="M16" s="6"/>
    </row>
    <row r="17" spans="1:17" ht="48" x14ac:dyDescent="0.35">
      <c r="A17" s="87" t="s">
        <v>68</v>
      </c>
      <c r="B17" s="88" t="s">
        <v>69</v>
      </c>
      <c r="C17" s="89" t="s">
        <v>69</v>
      </c>
      <c r="D17" s="89" t="s">
        <v>70</v>
      </c>
      <c r="E17" s="88" t="s">
        <v>71</v>
      </c>
      <c r="F17" s="89" t="s">
        <v>72</v>
      </c>
      <c r="G17" s="90" t="s">
        <v>73</v>
      </c>
      <c r="H17" s="91" t="s">
        <v>74</v>
      </c>
      <c r="I17" s="91" t="s">
        <v>75</v>
      </c>
      <c r="J17" s="92" t="str">
        <f>H9</f>
        <v>Розрахунково-касове обслуговування, грн</v>
      </c>
      <c r="K17" s="92" t="s">
        <v>108</v>
      </c>
      <c r="L17" s="89" t="s">
        <v>107</v>
      </c>
      <c r="M17" s="6"/>
    </row>
    <row r="18" spans="1:17" ht="12" customHeight="1" x14ac:dyDescent="0.35">
      <c r="A18" s="18"/>
      <c r="B18" s="19">
        <f ca="1">D3</f>
        <v>45195</v>
      </c>
      <c r="C18" s="19">
        <f t="shared" ref="C18:C19" ca="1" si="1">IF(A18&gt;$D$8,"",B18)</f>
        <v>45195</v>
      </c>
      <c r="D18" s="18"/>
      <c r="E18" s="20">
        <f>IF(L8="кредит",D7+K8,D7)</f>
        <v>750000</v>
      </c>
      <c r="F18" s="18"/>
      <c r="G18" s="18"/>
      <c r="H18" s="43">
        <f>-E18+I18+J18</f>
        <v>-750000</v>
      </c>
      <c r="I18" s="20">
        <f>K8</f>
        <v>0</v>
      </c>
      <c r="J18" s="20">
        <f>K9</f>
        <v>0</v>
      </c>
      <c r="K18" s="21"/>
      <c r="L18" s="22"/>
      <c r="M18" s="6"/>
      <c r="N18">
        <f ca="1">N19</f>
        <v>365</v>
      </c>
    </row>
    <row r="19" spans="1:17" x14ac:dyDescent="0.35">
      <c r="A19" s="23">
        <v>1</v>
      </c>
      <c r="B19" s="19">
        <f ca="1">EDATE($B$18,1)</f>
        <v>45225</v>
      </c>
      <c r="C19" s="19">
        <f t="shared" ca="1" si="1"/>
        <v>45225</v>
      </c>
      <c r="D19" s="23">
        <f t="shared" ref="D19:D30" ca="1" si="2">B19-B18</f>
        <v>30</v>
      </c>
      <c r="E19" s="20">
        <f>E18-F19</f>
        <v>737500</v>
      </c>
      <c r="F19" s="20">
        <f t="shared" ref="F19" si="3">$E$18/$D$8</f>
        <v>12500</v>
      </c>
      <c r="G19" s="20">
        <f ca="1">IF(N19&lt;&gt;N18,ROUND(SUM(P19*$F$9*E18/N19,Q19*$F$9*E18/N18),2),ROUND(E18*$F$9*D19/N18,2))</f>
        <v>18486.990000000002</v>
      </c>
      <c r="H19" s="20">
        <f ca="1">F19+G19</f>
        <v>30986.99</v>
      </c>
      <c r="I19" s="23"/>
      <c r="J19" s="23"/>
      <c r="K19" s="24" t="str">
        <f>IF(A18=$D$8,XIRR(H$18:H18,C$18:C18),"")</f>
        <v/>
      </c>
      <c r="L19" s="20" t="str">
        <f t="shared" ref="L19:L78" si="4">IF(A18=$D$8,G19+$I$18+$J$18+F19,"")</f>
        <v/>
      </c>
      <c r="M19">
        <f ca="1">IF(C19="","",YEAR(C19))</f>
        <v>2023</v>
      </c>
      <c r="N19">
        <f ca="1">IF(OR(M19=2024,M19=2028,M19=2016,M19=2020),366,365)</f>
        <v>365</v>
      </c>
      <c r="O19">
        <f ca="1">IF(C19="","",DAY(C19))</f>
        <v>26</v>
      </c>
      <c r="P19" s="15">
        <f ca="1">O19-1</f>
        <v>25</v>
      </c>
      <c r="Q19" s="16">
        <f ca="1">D19-P19</f>
        <v>5</v>
      </c>
    </row>
    <row r="20" spans="1:17" x14ac:dyDescent="0.35">
      <c r="A20" s="23">
        <f>IF(A19&lt;$D$8,A19+1,"")</f>
        <v>2</v>
      </c>
      <c r="B20" s="19">
        <f ca="1">EDATE($B$18,2)</f>
        <v>45256</v>
      </c>
      <c r="C20" s="19">
        <f t="shared" ref="C20:C83" ca="1" si="5">IF(B20=$D$10,B20-1,(IF(B20&gt;$D$10," ",B20)))</f>
        <v>45256</v>
      </c>
      <c r="D20" s="23">
        <f t="shared" ca="1" si="2"/>
        <v>31</v>
      </c>
      <c r="E20" s="20">
        <f>E19-F20</f>
        <v>725000</v>
      </c>
      <c r="F20" s="20">
        <f>ROUND($E$18/$D$8,2)</f>
        <v>12500</v>
      </c>
      <c r="G20" s="20">
        <f ca="1">IF(A19=$D$8,ROUND(SUM($G$19:G19),2),IF(A20&gt;$F$8,"",IF(N20&lt;&gt;N19,ROUND(SUM(P20*$F$9*E19/N20,Q20*$F$9*E19/N19),2),ROUND(E19*$F$9*D20/N19,2))))</f>
        <v>18784.830000000002</v>
      </c>
      <c r="H20" s="20">
        <f ca="1">IF(A19=$D$8,SUM(H7:H19),IF(A19&gt;$D$8,"",F20+G20))</f>
        <v>31284.83</v>
      </c>
      <c r="I20" s="23"/>
      <c r="J20" s="23"/>
      <c r="K20" s="44" t="str">
        <f>IF(A19=$D$8,XIRR(H$18:H19,C$18:C19),"")</f>
        <v/>
      </c>
      <c r="L20" s="20" t="str">
        <f t="shared" si="4"/>
        <v/>
      </c>
      <c r="M20">
        <f t="shared" ref="M20:M83" ca="1" si="6">IF(C20="","",YEAR(C20))</f>
        <v>2023</v>
      </c>
      <c r="N20">
        <f t="shared" ref="N20:N83" ca="1" si="7">IF(OR(M20=2024,M20=2028,M20=2016,M20=2020),366,365)</f>
        <v>365</v>
      </c>
      <c r="O20">
        <f t="shared" ref="O20:O83" ca="1" si="8">IF(C20="","",DAY(C20))</f>
        <v>26</v>
      </c>
      <c r="P20" s="15">
        <f t="shared" ref="P20:P83" ca="1" si="9">O20-1</f>
        <v>25</v>
      </c>
      <c r="Q20" s="16">
        <f t="shared" ref="Q20:Q83" ca="1" si="10">D20-P20</f>
        <v>6</v>
      </c>
    </row>
    <row r="21" spans="1:17" x14ac:dyDescent="0.35">
      <c r="A21" s="23">
        <f t="shared" ref="A21:A84" si="11">IF(A20&lt;$D$8,A20+1,"")</f>
        <v>3</v>
      </c>
      <c r="B21" s="19">
        <f ca="1">EDATE($B$18,3)</f>
        <v>45286</v>
      </c>
      <c r="C21" s="19">
        <f t="shared" ca="1" si="5"/>
        <v>45286</v>
      </c>
      <c r="D21" s="23">
        <f t="shared" ca="1" si="2"/>
        <v>30</v>
      </c>
      <c r="E21" s="20">
        <f t="shared" ref="E21:E30" si="12">E20-F21</f>
        <v>712500</v>
      </c>
      <c r="F21" s="20">
        <f>IF(AND(A20="",A22=""),"",IF(A21="",ROUND(SUM($F$19:F20),2),IF(A21=$D$8,$E$18-ROUND(SUM($F$19:F20),2),ROUND($E$18/$D$8,2))))</f>
        <v>12500</v>
      </c>
      <c r="G21" s="20">
        <f ca="1">IF(A20=$D$8,ROUND(SUM($G$19:G20),2),IF(A21&gt;$F$8,"",IF(N21&lt;&gt;N20,ROUND(SUM(P21*$F$9*E20/N21,Q21*$F$9*E20/N20),2),ROUND(E20*$F$9*D21/N20,2))))</f>
        <v>17870.75</v>
      </c>
      <c r="H21" s="20">
        <f ca="1">IF(A20=$D$8,SUM(H8:H20),IF(A20&gt;$D$8,"",F21+G21))</f>
        <v>30370.75</v>
      </c>
      <c r="I21" s="23"/>
      <c r="J21" s="23"/>
      <c r="K21" s="44" t="str">
        <f>IF(A20=$D$8,XIRR(H$18:H20,C$18:C20),"")</f>
        <v/>
      </c>
      <c r="L21" s="20" t="str">
        <f t="shared" si="4"/>
        <v/>
      </c>
      <c r="M21">
        <f t="shared" ca="1" si="6"/>
        <v>2023</v>
      </c>
      <c r="N21">
        <f t="shared" ca="1" si="7"/>
        <v>365</v>
      </c>
      <c r="O21">
        <f t="shared" ca="1" si="8"/>
        <v>26</v>
      </c>
      <c r="P21" s="15">
        <f t="shared" ca="1" si="9"/>
        <v>25</v>
      </c>
      <c r="Q21" s="16">
        <f t="shared" ca="1" si="10"/>
        <v>5</v>
      </c>
    </row>
    <row r="22" spans="1:17" x14ac:dyDescent="0.35">
      <c r="A22" s="23">
        <f t="shared" si="11"/>
        <v>4</v>
      </c>
      <c r="B22" s="19">
        <f ca="1">EDATE($B$18,4)</f>
        <v>45317</v>
      </c>
      <c r="C22" s="19">
        <f t="shared" ca="1" si="5"/>
        <v>45317</v>
      </c>
      <c r="D22" s="23">
        <f t="shared" ca="1" si="2"/>
        <v>31</v>
      </c>
      <c r="E22" s="20">
        <f t="shared" si="12"/>
        <v>700000</v>
      </c>
      <c r="F22" s="20">
        <f>IF(AND(A21="",A23=""),"",IF(A22="",ROUND(SUM($F$19:F21),2),IF(A22=$D$8,$E$18-ROUND(SUM($F$19:F21),2),ROUND($E$18/$D$8,2))))</f>
        <v>12500</v>
      </c>
      <c r="G22" s="20">
        <f ca="1">IF(A21=$D$8,ROUND(SUM($G$19:G21),2),IF(A22&gt;$F$8,"",IF(N22&lt;&gt;N21,ROUND(SUM(P22*$F$9*E21/N22,Q22*$F$9*E21/N21),2),ROUND(E21*$F$9*D22/N21,2))))</f>
        <v>18108.07</v>
      </c>
      <c r="H22" s="20">
        <f ca="1">IF(A21=$D$8,SUM(H9:H21),IF(A21&gt;$D$8,"",F22+G22))</f>
        <v>30608.07</v>
      </c>
      <c r="I22" s="20" t="str">
        <f>IF(A21=$D$8,$I$18,"")</f>
        <v/>
      </c>
      <c r="J22" s="20"/>
      <c r="K22" s="44" t="str">
        <f>IF(A21=$D$8,XIRR(H$18:H21,C$18:C21),"")</f>
        <v/>
      </c>
      <c r="L22" s="20" t="str">
        <f t="shared" si="4"/>
        <v/>
      </c>
      <c r="M22">
        <f t="shared" ca="1" si="6"/>
        <v>2024</v>
      </c>
      <c r="N22">
        <f t="shared" ca="1" si="7"/>
        <v>366</v>
      </c>
      <c r="O22">
        <f t="shared" ca="1" si="8"/>
        <v>26</v>
      </c>
      <c r="P22" s="15">
        <f t="shared" ca="1" si="9"/>
        <v>25</v>
      </c>
      <c r="Q22" s="16">
        <f t="shared" ca="1" si="10"/>
        <v>6</v>
      </c>
    </row>
    <row r="23" spans="1:17" x14ac:dyDescent="0.35">
      <c r="A23" s="23">
        <f t="shared" si="11"/>
        <v>5</v>
      </c>
      <c r="B23" s="19">
        <f ca="1">EDATE($B$18,5)</f>
        <v>45348</v>
      </c>
      <c r="C23" s="19">
        <f t="shared" ca="1" si="5"/>
        <v>45348</v>
      </c>
      <c r="D23" s="23">
        <f t="shared" ca="1" si="2"/>
        <v>31</v>
      </c>
      <c r="E23" s="20">
        <f t="shared" si="12"/>
        <v>687500</v>
      </c>
      <c r="F23" s="20">
        <f>IF(AND(A22="",A24=""),"",IF(A23="",ROUND(SUM($F$19:F22),2),IF(A23=$D$8,$E$18-ROUND(SUM($F$19:F22),2),ROUND($E$18/$D$8,2))))</f>
        <v>12500</v>
      </c>
      <c r="G23" s="20">
        <f ca="1">IF(A22=$D$8,ROUND(SUM($G$19:G22),2),IF(A23&gt;$F$8,"",IF(N23&lt;&gt;N22,ROUND(SUM(P23*$F$9*E22/N23,Q23*$F$9*E22/N22),2),ROUND(E22*$F$9*D23/N22,2))))</f>
        <v>17780.96</v>
      </c>
      <c r="H23" s="20">
        <f ca="1">IF(A22=$D$8,SUM(H10:H22),IF(A22&gt;$D$8,"",F23+G23))</f>
        <v>30280.959999999999</v>
      </c>
      <c r="I23" s="20" t="str">
        <f>IF(A22=$D$8,$I$18,"")</f>
        <v/>
      </c>
      <c r="J23" s="20"/>
      <c r="K23" s="44" t="str">
        <f>IF(A22=$D$8,XIRR(H$18:H22,C$18:C22),"")</f>
        <v/>
      </c>
      <c r="L23" s="20" t="str">
        <f t="shared" si="4"/>
        <v/>
      </c>
      <c r="M23">
        <f t="shared" ca="1" si="6"/>
        <v>2024</v>
      </c>
      <c r="N23">
        <f t="shared" ca="1" si="7"/>
        <v>366</v>
      </c>
      <c r="O23">
        <f t="shared" ca="1" si="8"/>
        <v>26</v>
      </c>
      <c r="P23" s="15">
        <f t="shared" ca="1" si="9"/>
        <v>25</v>
      </c>
      <c r="Q23" s="16">
        <f t="shared" ca="1" si="10"/>
        <v>6</v>
      </c>
    </row>
    <row r="24" spans="1:17" x14ac:dyDescent="0.35">
      <c r="A24" s="23">
        <f t="shared" si="11"/>
        <v>6</v>
      </c>
      <c r="B24" s="19">
        <f ca="1">EDATE($B$18,6)</f>
        <v>45377</v>
      </c>
      <c r="C24" s="19">
        <f t="shared" ca="1" si="5"/>
        <v>45377</v>
      </c>
      <c r="D24" s="23">
        <f t="shared" ca="1" si="2"/>
        <v>29</v>
      </c>
      <c r="E24" s="20">
        <f t="shared" si="12"/>
        <v>675000</v>
      </c>
      <c r="F24" s="20">
        <f>IF(AND(A23="",A25=""),"",IF(A24="",ROUND(SUM($F$19:F23),2),IF(A24=$D$8,$E$18-ROUND(SUM($F$19:F23),2),ROUND($E$18/$D$8,2))))</f>
        <v>12500</v>
      </c>
      <c r="G24" s="20">
        <f ca="1">IF(A23=$D$8,ROUND(SUM($G$19:G23),2),IF(A24&gt;$F$8,"",IF(N24&lt;&gt;N23,ROUND(SUM(P24*$F$9*E23/N24,Q24*$F$9*E23/N23),2),ROUND(E23*$F$9*D24/N23,2))))</f>
        <v>16336.77</v>
      </c>
      <c r="H24" s="20">
        <f t="shared" ref="H24:H30" ca="1" si="13">IF(A23=$D$8,SUM(H12:H23),IF(A23&gt;$D$8,"",F24+G24))</f>
        <v>28836.77</v>
      </c>
      <c r="I24" s="20" t="str">
        <f>IF(A23=$D$8,$I$18,"")</f>
        <v/>
      </c>
      <c r="J24" s="20"/>
      <c r="K24" s="44" t="str">
        <f>IF(A23=$D$8,XIRR(H$18:H23,C$18:C23),"")</f>
        <v/>
      </c>
      <c r="L24" s="20" t="str">
        <f t="shared" si="4"/>
        <v/>
      </c>
      <c r="M24">
        <f t="shared" ca="1" si="6"/>
        <v>2024</v>
      </c>
      <c r="N24">
        <f t="shared" ca="1" si="7"/>
        <v>366</v>
      </c>
      <c r="O24">
        <f t="shared" ca="1" si="8"/>
        <v>26</v>
      </c>
      <c r="P24" s="15">
        <f t="shared" ca="1" si="9"/>
        <v>25</v>
      </c>
      <c r="Q24" s="16">
        <f t="shared" ca="1" si="10"/>
        <v>4</v>
      </c>
    </row>
    <row r="25" spans="1:17" x14ac:dyDescent="0.35">
      <c r="A25" s="23">
        <f t="shared" si="11"/>
        <v>7</v>
      </c>
      <c r="B25" s="19">
        <f ca="1">EDATE($B$18,7)</f>
        <v>45408</v>
      </c>
      <c r="C25" s="19">
        <f t="shared" ca="1" si="5"/>
        <v>45408</v>
      </c>
      <c r="D25" s="23">
        <f t="shared" ca="1" si="2"/>
        <v>31</v>
      </c>
      <c r="E25" s="20">
        <f t="shared" si="12"/>
        <v>662500</v>
      </c>
      <c r="F25" s="20">
        <f>IF(AND(A24="",A26=""),"",IF(A25="",ROUND(SUM($F$19:F24),2),IF(A25=$D$8,$E$18-ROUND(SUM($F$19:F24),2),ROUND($E$18/$D$8,2))))</f>
        <v>12500</v>
      </c>
      <c r="G25" s="20">
        <f ca="1">IF(A24=$D$8,ROUND(SUM($G$19:G24),2),IF(A25&gt;$F$8,"",IF(N25&lt;&gt;N24,ROUND(SUM(P25*$F$9*E24/N25,Q25*$F$9*E24/N24),2),ROUND(E24*$F$9*D25/N24,2))))</f>
        <v>17145.919999999998</v>
      </c>
      <c r="H25" s="20">
        <f t="shared" ca="1" si="13"/>
        <v>29645.919999999998</v>
      </c>
      <c r="I25" s="20"/>
      <c r="J25" s="20"/>
      <c r="K25" s="44" t="str">
        <f>IF(A24=$D$8,XIRR(H$18:H24,C$18:C24),"")</f>
        <v/>
      </c>
      <c r="L25" s="20" t="str">
        <f t="shared" si="4"/>
        <v/>
      </c>
      <c r="M25">
        <f t="shared" ca="1" si="6"/>
        <v>2024</v>
      </c>
      <c r="N25">
        <f t="shared" ca="1" si="7"/>
        <v>366</v>
      </c>
      <c r="O25">
        <f t="shared" ca="1" si="8"/>
        <v>26</v>
      </c>
      <c r="P25" s="15">
        <f t="shared" ca="1" si="9"/>
        <v>25</v>
      </c>
      <c r="Q25" s="16">
        <f t="shared" ca="1" si="10"/>
        <v>6</v>
      </c>
    </row>
    <row r="26" spans="1:17" x14ac:dyDescent="0.35">
      <c r="A26" s="23">
        <f t="shared" si="11"/>
        <v>8</v>
      </c>
      <c r="B26" s="19">
        <f ca="1">EDATE($B$18,8)</f>
        <v>45438</v>
      </c>
      <c r="C26" s="19">
        <f t="shared" ca="1" si="5"/>
        <v>45438</v>
      </c>
      <c r="D26" s="23">
        <f t="shared" ca="1" si="2"/>
        <v>30</v>
      </c>
      <c r="E26" s="20">
        <f t="shared" si="12"/>
        <v>650000</v>
      </c>
      <c r="F26" s="20">
        <f>IF(AND(A25="",A27=""),"",IF(A26="",ROUND(SUM($F$19:F25),2),IF(A26=$D$8,$E$18-ROUND(SUM($F$19:F25),2),ROUND($E$18/$D$8,2))))</f>
        <v>12500</v>
      </c>
      <c r="G26" s="20">
        <f ca="1">IF(A25=$D$8,ROUND(SUM($G$19:G25),2),IF(A26&gt;$F$8,"",IF(N26&lt;&gt;N25,ROUND(SUM(P26*$F$9*E25/N26,Q26*$F$9*E25/N25),2),ROUND(E25*$F$9*D26/N25,2))))</f>
        <v>16285.55</v>
      </c>
      <c r="H26" s="20">
        <f t="shared" ca="1" si="13"/>
        <v>28785.55</v>
      </c>
      <c r="I26" s="20" t="str">
        <f t="shared" ref="I26:I89" si="14">IF(A25=$D$8,$I$18,"")</f>
        <v/>
      </c>
      <c r="J26" s="20"/>
      <c r="K26" s="44" t="str">
        <f>IF(A25=$D$8,XIRR(H$18:H25,C$18:C25),"")</f>
        <v/>
      </c>
      <c r="L26" s="20" t="str">
        <f t="shared" si="4"/>
        <v/>
      </c>
      <c r="M26">
        <f t="shared" ca="1" si="6"/>
        <v>2024</v>
      </c>
      <c r="N26">
        <f t="shared" ca="1" si="7"/>
        <v>366</v>
      </c>
      <c r="O26">
        <f t="shared" ca="1" si="8"/>
        <v>26</v>
      </c>
      <c r="P26" s="15">
        <f t="shared" ca="1" si="9"/>
        <v>25</v>
      </c>
      <c r="Q26" s="16">
        <f t="shared" ca="1" si="10"/>
        <v>5</v>
      </c>
    </row>
    <row r="27" spans="1:17" x14ac:dyDescent="0.35">
      <c r="A27" s="23">
        <f t="shared" si="11"/>
        <v>9</v>
      </c>
      <c r="B27" s="19">
        <f ca="1">EDATE($B$18,9)</f>
        <v>45469</v>
      </c>
      <c r="C27" s="19">
        <f t="shared" ca="1" si="5"/>
        <v>45469</v>
      </c>
      <c r="D27" s="23">
        <f t="shared" ca="1" si="2"/>
        <v>31</v>
      </c>
      <c r="E27" s="20">
        <f t="shared" si="12"/>
        <v>637500</v>
      </c>
      <c r="F27" s="20">
        <f>IF(AND(A26="",A28=""),"",IF(A27="",ROUND(SUM($F$19:F26),2),IF(A27=$D$8,$E$18-ROUND(SUM($F$19:F26),2),ROUND($E$18/$D$8,2))))</f>
        <v>12500</v>
      </c>
      <c r="G27" s="20">
        <f ca="1">IF(A26=$D$8,ROUND(SUM($G$19:G26),2),IF(A27&gt;$F$8,"",IF(N27&lt;&gt;N26,ROUND(SUM(P27*$F$9*E26/N27,Q27*$F$9*E26/N26),2),ROUND(E26*$F$9*D27/N26,2))))</f>
        <v>16510.89</v>
      </c>
      <c r="H27" s="20">
        <f t="shared" ca="1" si="13"/>
        <v>29010.89</v>
      </c>
      <c r="I27" s="20" t="str">
        <f t="shared" si="14"/>
        <v/>
      </c>
      <c r="J27" s="20"/>
      <c r="K27" s="44" t="str">
        <f>IF(A26=$D$8,XIRR(H$18:H26,C$18:C26),"")</f>
        <v/>
      </c>
      <c r="L27" s="20" t="str">
        <f t="shared" si="4"/>
        <v/>
      </c>
      <c r="M27">
        <f t="shared" ca="1" si="6"/>
        <v>2024</v>
      </c>
      <c r="N27">
        <f t="shared" ca="1" si="7"/>
        <v>366</v>
      </c>
      <c r="O27">
        <f t="shared" ca="1" si="8"/>
        <v>26</v>
      </c>
      <c r="P27" s="15">
        <f t="shared" ca="1" si="9"/>
        <v>25</v>
      </c>
      <c r="Q27" s="16">
        <f t="shared" ca="1" si="10"/>
        <v>6</v>
      </c>
    </row>
    <row r="28" spans="1:17" x14ac:dyDescent="0.35">
      <c r="A28" s="23">
        <f t="shared" si="11"/>
        <v>10</v>
      </c>
      <c r="B28" s="19">
        <f ca="1">EDATE($B$18,10)</f>
        <v>45499</v>
      </c>
      <c r="C28" s="19">
        <f t="shared" ca="1" si="5"/>
        <v>45499</v>
      </c>
      <c r="D28" s="23">
        <f t="shared" ca="1" si="2"/>
        <v>30</v>
      </c>
      <c r="E28" s="20">
        <f t="shared" si="12"/>
        <v>625000</v>
      </c>
      <c r="F28" s="20">
        <f>IF(AND(A27="",A29=""),"",IF(A28="",ROUND(SUM($F$19:F27),2),IF(A28=$D$8,$E$18-ROUND(SUM($F$19:F27),2),ROUND($E$18/$D$8,2))))</f>
        <v>12500</v>
      </c>
      <c r="G28" s="20">
        <f ca="1">IF(A27=$D$8,ROUND(SUM($G$19:G27),2),IF(A28&gt;$F$8,"",IF(N28&lt;&gt;N27,ROUND(SUM(P28*$F$9*E27/N28,Q28*$F$9*E27/N27),2),ROUND(E27*$F$9*D28/N27,2))))</f>
        <v>15671</v>
      </c>
      <c r="H28" s="20">
        <f t="shared" ca="1" si="13"/>
        <v>28171</v>
      </c>
      <c r="I28" s="20" t="str">
        <f t="shared" si="14"/>
        <v/>
      </c>
      <c r="J28" s="20"/>
      <c r="K28" s="44" t="str">
        <f>IF(A27=$D$8,XIRR(H$18:H27,C$18:C27),"")</f>
        <v/>
      </c>
      <c r="L28" s="20" t="str">
        <f t="shared" si="4"/>
        <v/>
      </c>
      <c r="M28">
        <f t="shared" ca="1" si="6"/>
        <v>2024</v>
      </c>
      <c r="N28">
        <f t="shared" ca="1" si="7"/>
        <v>366</v>
      </c>
      <c r="O28">
        <f t="shared" ca="1" si="8"/>
        <v>26</v>
      </c>
      <c r="P28" s="15">
        <f t="shared" ca="1" si="9"/>
        <v>25</v>
      </c>
      <c r="Q28" s="16">
        <f t="shared" ca="1" si="10"/>
        <v>5</v>
      </c>
    </row>
    <row r="29" spans="1:17" x14ac:dyDescent="0.35">
      <c r="A29" s="23">
        <f t="shared" si="11"/>
        <v>11</v>
      </c>
      <c r="B29" s="19">
        <f ca="1">EDATE($B$18,11)</f>
        <v>45530</v>
      </c>
      <c r="C29" s="19">
        <f t="shared" ca="1" si="5"/>
        <v>45530</v>
      </c>
      <c r="D29" s="23">
        <f t="shared" ca="1" si="2"/>
        <v>31</v>
      </c>
      <c r="E29" s="20">
        <f t="shared" si="12"/>
        <v>612500</v>
      </c>
      <c r="F29" s="20">
        <f>IF(AND(A28="",A30=""),"",IF(A29="",ROUND(SUM($F$19:F28),2),IF(A29=$D$8,$E$18-ROUND(SUM($F$19:F28),2),ROUND($E$18/$D$8,2))))</f>
        <v>12500</v>
      </c>
      <c r="G29" s="20">
        <f ca="1">IF(A28=$D$8,ROUND(SUM($G$19:G28),2),IF(A29&gt;$F$8,"",IF(N29&lt;&gt;N28,ROUND(SUM(P29*$F$9*E28/N29,Q29*$F$9*E28/N28),2),ROUND(E28*$F$9*D29/N28,2))))</f>
        <v>15875.85</v>
      </c>
      <c r="H29" s="20">
        <f t="shared" ca="1" si="13"/>
        <v>28375.85</v>
      </c>
      <c r="I29" s="20" t="str">
        <f t="shared" si="14"/>
        <v/>
      </c>
      <c r="J29" s="20"/>
      <c r="K29" s="44" t="str">
        <f>IF(A28=$D$8,XIRR(H$18:H28,C$18:C28),"")</f>
        <v/>
      </c>
      <c r="L29" s="20" t="str">
        <f t="shared" si="4"/>
        <v/>
      </c>
      <c r="M29">
        <f t="shared" ca="1" si="6"/>
        <v>2024</v>
      </c>
      <c r="N29">
        <f t="shared" ca="1" si="7"/>
        <v>366</v>
      </c>
      <c r="O29">
        <f t="shared" ca="1" si="8"/>
        <v>26</v>
      </c>
      <c r="P29" s="15">
        <f t="shared" ca="1" si="9"/>
        <v>25</v>
      </c>
      <c r="Q29" s="16">
        <f t="shared" ca="1" si="10"/>
        <v>6</v>
      </c>
    </row>
    <row r="30" spans="1:17" x14ac:dyDescent="0.35">
      <c r="A30" s="23">
        <f t="shared" si="11"/>
        <v>12</v>
      </c>
      <c r="B30" s="19">
        <f ca="1">EDATE($B$18,12)</f>
        <v>45561</v>
      </c>
      <c r="C30" s="19">
        <f t="shared" ca="1" si="5"/>
        <v>45561</v>
      </c>
      <c r="D30" s="23">
        <f t="shared" ca="1" si="2"/>
        <v>31</v>
      </c>
      <c r="E30" s="20">
        <f t="shared" si="12"/>
        <v>600000</v>
      </c>
      <c r="F30" s="20">
        <f>IF(AND(A29="",A31=""),"",IF(A30="",ROUND(SUM($F$19:F29),2),IF(A30=$D$8,$E$18-ROUND(SUM($F$19:F29),2),ROUND($E$18/$D$8,2))))</f>
        <v>12500</v>
      </c>
      <c r="G30" s="20">
        <f ca="1">IF(A29=$D$8,ROUND(SUM($G$19:G29),2),IF(A30&gt;$F$8,"",IF(N30&lt;&gt;N29,ROUND(SUM(P30*$F$9*E29/N30,Q30*$F$9*E29/N29),2),ROUND(E29*$F$9*D30/N29,2))))</f>
        <v>15558.34</v>
      </c>
      <c r="H30" s="20">
        <f t="shared" ca="1" si="13"/>
        <v>28058.34</v>
      </c>
      <c r="I30" s="20" t="str">
        <f t="shared" si="14"/>
        <v/>
      </c>
      <c r="J30" s="20"/>
      <c r="K30" s="44" t="str">
        <f>IF(A29=$D$8,XIRR(H$18:H29,C$18:C29),"")</f>
        <v/>
      </c>
      <c r="L30" s="20" t="str">
        <f t="shared" si="4"/>
        <v/>
      </c>
      <c r="M30">
        <f t="shared" ca="1" si="6"/>
        <v>2024</v>
      </c>
      <c r="N30">
        <f t="shared" ca="1" si="7"/>
        <v>366</v>
      </c>
      <c r="O30">
        <f t="shared" ca="1" si="8"/>
        <v>26</v>
      </c>
      <c r="P30" s="15">
        <f t="shared" ca="1" si="9"/>
        <v>25</v>
      </c>
      <c r="Q30" s="16">
        <f t="shared" ca="1" si="10"/>
        <v>6</v>
      </c>
    </row>
    <row r="31" spans="1:17" x14ac:dyDescent="0.35">
      <c r="A31" s="23">
        <f t="shared" si="11"/>
        <v>13</v>
      </c>
      <c r="B31" s="19">
        <f ca="1">EDATE($B$18,13)</f>
        <v>45591</v>
      </c>
      <c r="C31" s="19">
        <f t="shared" ca="1" si="5"/>
        <v>45591</v>
      </c>
      <c r="D31" s="23">
        <f ca="1">IF(A31&gt;$D$8,"",C31-C30)</f>
        <v>30</v>
      </c>
      <c r="E31" s="20">
        <f>IF(A31&gt;$D$8,"",E30-F31)</f>
        <v>587500</v>
      </c>
      <c r="F31" s="20">
        <f>IF(AND(A30="",A32=""),"",IF(A31="",ROUND(SUM($F$19:F30),2),IF(A31=$D$8,$E$18-ROUND(SUM($F$19:F30),2),ROUND($E$18/$D$8,2))))</f>
        <v>12500</v>
      </c>
      <c r="G31" s="20">
        <f ca="1">IF(A30=$D$8,ROUND(SUM($G$19:G30),2),IF(A31&gt;$F$8,"",IF(N31&lt;&gt;N30,ROUND(SUM(P31*$F$9*E30/N31,Q31*$F$9*E30/N30),2),ROUND(E30*$F$9*D31/N30,2))))</f>
        <v>14749.18</v>
      </c>
      <c r="H31" s="20">
        <f ca="1">IF(A30=$D$8,SUM(H19:H30),IF(A30&gt;$D$8,"",F31+G31))</f>
        <v>27249.18</v>
      </c>
      <c r="I31" s="20" t="str">
        <f t="shared" si="14"/>
        <v/>
      </c>
      <c r="J31" s="20"/>
      <c r="K31" s="44" t="str">
        <f>IF(A30=$D$8,XIRR(H$18:H30,C$18:C30),"")</f>
        <v/>
      </c>
      <c r="L31" s="20" t="str">
        <f t="shared" si="4"/>
        <v/>
      </c>
      <c r="M31">
        <f t="shared" ca="1" si="6"/>
        <v>2024</v>
      </c>
      <c r="N31">
        <f t="shared" ca="1" si="7"/>
        <v>366</v>
      </c>
      <c r="O31">
        <f t="shared" ca="1" si="8"/>
        <v>26</v>
      </c>
      <c r="P31" s="15">
        <f t="shared" ca="1" si="9"/>
        <v>25</v>
      </c>
      <c r="Q31" s="16">
        <f t="shared" ca="1" si="10"/>
        <v>5</v>
      </c>
    </row>
    <row r="32" spans="1:17" x14ac:dyDescent="0.35">
      <c r="A32" s="23">
        <f t="shared" si="11"/>
        <v>14</v>
      </c>
      <c r="B32" s="19">
        <f ca="1">EDATE($B$18,14)</f>
        <v>45622</v>
      </c>
      <c r="C32" s="19">
        <f t="shared" ca="1" si="5"/>
        <v>45622</v>
      </c>
      <c r="D32" s="23">
        <f t="shared" ref="D32:D95" ca="1" si="15">IF(A32&gt;$D$8,"",C32-C31)</f>
        <v>31</v>
      </c>
      <c r="E32" s="20">
        <f t="shared" ref="E32:E95" si="16">IF(A32&gt;$D$8,"",E31-F32)</f>
        <v>575000</v>
      </c>
      <c r="F32" s="20">
        <f>IF(AND(A31="",A33=""),"",IF(A32="",ROUND(SUM($F$19:F31),2),IF(A32=$D$8,$E$18-ROUND(SUM($F$19:F31),2),ROUND($E$18/$D$8,2))))</f>
        <v>12500</v>
      </c>
      <c r="G32" s="20">
        <f ca="1">IF(A31=$D$8,ROUND(SUM($G$19:G31),2),IF(A32&gt;$F$8,"",IF(N32&lt;&gt;N31,ROUND(SUM(P32*$F$9*E31/N32,Q32*$F$9*E31/N31),2),ROUND(E31*$F$9*D32/N31,2))))</f>
        <v>14923.3</v>
      </c>
      <c r="H32" s="20">
        <f ca="1">IF(A31=$D$8,SUM($H$19:H31),IF(A31&gt;$D$8,"",F32+G32))</f>
        <v>27423.3</v>
      </c>
      <c r="I32" s="20" t="str">
        <f t="shared" si="14"/>
        <v/>
      </c>
      <c r="J32" s="20"/>
      <c r="K32" s="44" t="str">
        <f>IF(A31=$D$8,XIRR(H$18:H31,C$18:C31),"")</f>
        <v/>
      </c>
      <c r="L32" s="20" t="str">
        <f t="shared" si="4"/>
        <v/>
      </c>
      <c r="M32">
        <f t="shared" ca="1" si="6"/>
        <v>2024</v>
      </c>
      <c r="N32">
        <f t="shared" ca="1" si="7"/>
        <v>366</v>
      </c>
      <c r="O32">
        <f t="shared" ca="1" si="8"/>
        <v>26</v>
      </c>
      <c r="P32" s="15">
        <f t="shared" ca="1" si="9"/>
        <v>25</v>
      </c>
      <c r="Q32" s="16">
        <f t="shared" ca="1" si="10"/>
        <v>6</v>
      </c>
    </row>
    <row r="33" spans="1:17" x14ac:dyDescent="0.35">
      <c r="A33" s="23">
        <f t="shared" si="11"/>
        <v>15</v>
      </c>
      <c r="B33" s="19">
        <f ca="1">EDATE($B$18,15)</f>
        <v>45652</v>
      </c>
      <c r="C33" s="19">
        <f t="shared" ca="1" si="5"/>
        <v>45652</v>
      </c>
      <c r="D33" s="23">
        <f t="shared" ca="1" si="15"/>
        <v>30</v>
      </c>
      <c r="E33" s="20">
        <f t="shared" si="16"/>
        <v>562500</v>
      </c>
      <c r="F33" s="20">
        <f>IF(AND(A32="",A34=""),"",IF(A33="",ROUND(SUM($F$19:F32),2),IF(A33=$D$8,$E$18-ROUND(SUM($F$19:F32),2),ROUND($E$18/$D$8,2))))</f>
        <v>12500</v>
      </c>
      <c r="G33" s="20">
        <f ca="1">IF(A32=$D$8,ROUND(SUM($G$19:G32),2),IF(A33&gt;$F$8,"",IF(N33&lt;&gt;N32,ROUND(SUM(P33*$F$9*E32/N33,Q33*$F$9*E32/N32),2),ROUND(E32*$F$9*D33/N32,2))))</f>
        <v>14134.63</v>
      </c>
      <c r="H33" s="20">
        <f ca="1">IF(A32=$D$8,SUM($H$19:H32),IF(A32&gt;$D$8,"",F33+G33))</f>
        <v>26634.629999999997</v>
      </c>
      <c r="I33" s="20" t="str">
        <f t="shared" si="14"/>
        <v/>
      </c>
      <c r="J33" s="20"/>
      <c r="K33" s="44" t="str">
        <f>IF(A32=$D$8,XIRR(H$18:H32,C$18:C32),"")</f>
        <v/>
      </c>
      <c r="L33" s="20" t="str">
        <f t="shared" si="4"/>
        <v/>
      </c>
      <c r="M33">
        <f t="shared" ca="1" si="6"/>
        <v>2024</v>
      </c>
      <c r="N33">
        <f t="shared" ca="1" si="7"/>
        <v>366</v>
      </c>
      <c r="O33">
        <f t="shared" ca="1" si="8"/>
        <v>26</v>
      </c>
      <c r="P33" s="15">
        <f t="shared" ca="1" si="9"/>
        <v>25</v>
      </c>
      <c r="Q33" s="16">
        <f t="shared" ca="1" si="10"/>
        <v>5</v>
      </c>
    </row>
    <row r="34" spans="1:17" x14ac:dyDescent="0.35">
      <c r="A34" s="23">
        <f t="shared" si="11"/>
        <v>16</v>
      </c>
      <c r="B34" s="19">
        <f ca="1">EDATE($B$18,16)</f>
        <v>45683</v>
      </c>
      <c r="C34" s="19">
        <f t="shared" ca="1" si="5"/>
        <v>45683</v>
      </c>
      <c r="D34" s="23">
        <f t="shared" ca="1" si="15"/>
        <v>31</v>
      </c>
      <c r="E34" s="20">
        <f t="shared" si="16"/>
        <v>550000</v>
      </c>
      <c r="F34" s="20">
        <f>IF(AND(A33="",A35=""),"",IF(A34="",ROUND(SUM($F$19:F33),2),IF(A34=$D$8,$E$18-ROUND(SUM($F$19:F33),2),ROUND($E$18/$D$8,2))))</f>
        <v>12500</v>
      </c>
      <c r="G34" s="20">
        <f ca="1">IF(A33=$D$8,ROUND(SUM($G$19:G33),2),IF(A34&gt;$F$8,"",IF(N34&lt;&gt;N33,ROUND(SUM(P34*$F$9*E33/N34,Q34*$F$9*E33/N33),2),ROUND(E33*$F$9*D34/N33,2))))</f>
        <v>14319.84</v>
      </c>
      <c r="H34" s="20">
        <f ca="1">IF(A33=$D$8,SUM($H$19:H33),IF(A33&gt;$D$8,"",F34+G34))</f>
        <v>26819.84</v>
      </c>
      <c r="I34" s="20" t="str">
        <f t="shared" si="14"/>
        <v/>
      </c>
      <c r="J34" s="20"/>
      <c r="K34" s="44" t="str">
        <f>IF(A33=$D$8,XIRR(H$18:H33,C$18:C33),"")</f>
        <v/>
      </c>
      <c r="L34" s="20" t="str">
        <f t="shared" si="4"/>
        <v/>
      </c>
      <c r="M34">
        <f t="shared" ca="1" si="6"/>
        <v>2025</v>
      </c>
      <c r="N34">
        <f t="shared" ca="1" si="7"/>
        <v>365</v>
      </c>
      <c r="O34">
        <f t="shared" ca="1" si="8"/>
        <v>26</v>
      </c>
      <c r="P34" s="15">
        <f t="shared" ca="1" si="9"/>
        <v>25</v>
      </c>
      <c r="Q34" s="16">
        <f t="shared" ca="1" si="10"/>
        <v>6</v>
      </c>
    </row>
    <row r="35" spans="1:17" x14ac:dyDescent="0.35">
      <c r="A35" s="23">
        <f t="shared" si="11"/>
        <v>17</v>
      </c>
      <c r="B35" s="19">
        <f ca="1">EDATE($B$18,17)</f>
        <v>45714</v>
      </c>
      <c r="C35" s="19">
        <f t="shared" ca="1" si="5"/>
        <v>45714</v>
      </c>
      <c r="D35" s="23">
        <f t="shared" ca="1" si="15"/>
        <v>31</v>
      </c>
      <c r="E35" s="20">
        <f t="shared" si="16"/>
        <v>537500</v>
      </c>
      <c r="F35" s="20">
        <f>IF(AND(A34="",A36=""),"",IF(A35="",ROUND(SUM($F$19:F34),2),IF(A35=$D$8,$E$18-ROUND(SUM($F$19:F34),2),ROUND($E$18/$D$8,2))))</f>
        <v>12500</v>
      </c>
      <c r="G35" s="20">
        <f ca="1">IF(A34=$D$8,ROUND(SUM($G$19:G34),2),IF(A35&gt;$F$8,"",IF(N35&lt;&gt;N34,ROUND(SUM(P35*$F$9*E34/N35,Q35*$F$9*E34/N34),2),ROUND(E34*$F$9*D35/N34,2))))</f>
        <v>14009.03</v>
      </c>
      <c r="H35" s="20">
        <f ca="1">IF(A34=$D$8,SUM($H$19:H34),IF(A34&gt;$D$8,"",F35+G35))</f>
        <v>26509.03</v>
      </c>
      <c r="I35" s="20" t="str">
        <f t="shared" si="14"/>
        <v/>
      </c>
      <c r="J35" s="20"/>
      <c r="K35" s="44" t="str">
        <f>IF(A34=$D$8,XIRR(H$18:H34,C$18:C34),"")</f>
        <v/>
      </c>
      <c r="L35" s="20" t="str">
        <f t="shared" si="4"/>
        <v/>
      </c>
      <c r="M35">
        <f t="shared" ca="1" si="6"/>
        <v>2025</v>
      </c>
      <c r="N35">
        <f t="shared" ca="1" si="7"/>
        <v>365</v>
      </c>
      <c r="O35">
        <f t="shared" ca="1" si="8"/>
        <v>26</v>
      </c>
      <c r="P35" s="15">
        <f t="shared" ca="1" si="9"/>
        <v>25</v>
      </c>
      <c r="Q35" s="16">
        <f t="shared" ca="1" si="10"/>
        <v>6</v>
      </c>
    </row>
    <row r="36" spans="1:17" x14ac:dyDescent="0.35">
      <c r="A36" s="23">
        <f t="shared" si="11"/>
        <v>18</v>
      </c>
      <c r="B36" s="19">
        <f ca="1">EDATE($B$18,18)</f>
        <v>45742</v>
      </c>
      <c r="C36" s="19">
        <f t="shared" ca="1" si="5"/>
        <v>45742</v>
      </c>
      <c r="D36" s="23">
        <f t="shared" ca="1" si="15"/>
        <v>28</v>
      </c>
      <c r="E36" s="20">
        <f t="shared" si="16"/>
        <v>525000</v>
      </c>
      <c r="F36" s="20">
        <f>IF(AND(A35="",A37=""),"",IF(A36="",ROUND(SUM($F$19:F35),2),IF(A36=$D$8,$E$18-ROUND(SUM($F$19:F35),2),ROUND($E$18/$D$8,2))))</f>
        <v>12500</v>
      </c>
      <c r="G36" s="20">
        <f ca="1">IF(A35=$D$8,ROUND(SUM($G$19:G35),2),IF(A36&gt;$F$8,"",IF(N36&lt;&gt;N35,ROUND(SUM(P36*$F$9*E35/N36,Q36*$F$9*E35/N35),2),ROUND(E35*$F$9*D36/N35,2))))</f>
        <v>12365.74</v>
      </c>
      <c r="H36" s="20">
        <f ca="1">IF(A35=$D$8,SUM($H$19:H35),IF(A35&gt;$D$8,"",F36+G36))</f>
        <v>24865.739999999998</v>
      </c>
      <c r="I36" s="20" t="str">
        <f t="shared" si="14"/>
        <v/>
      </c>
      <c r="J36" s="20"/>
      <c r="K36" s="44" t="str">
        <f>IF(A35=$D$8,XIRR(H$18:H35,C$18:C35),"")</f>
        <v/>
      </c>
      <c r="L36" s="20" t="str">
        <f t="shared" si="4"/>
        <v/>
      </c>
      <c r="M36">
        <f t="shared" ca="1" si="6"/>
        <v>2025</v>
      </c>
      <c r="N36">
        <f t="shared" ca="1" si="7"/>
        <v>365</v>
      </c>
      <c r="O36">
        <f t="shared" ca="1" si="8"/>
        <v>26</v>
      </c>
      <c r="P36" s="15">
        <f t="shared" ca="1" si="9"/>
        <v>25</v>
      </c>
      <c r="Q36" s="16">
        <f t="shared" ca="1" si="10"/>
        <v>3</v>
      </c>
    </row>
    <row r="37" spans="1:17" x14ac:dyDescent="0.35">
      <c r="A37" s="23">
        <f t="shared" si="11"/>
        <v>19</v>
      </c>
      <c r="B37" s="19">
        <f ca="1">EDATE($B$18,19)</f>
        <v>45773</v>
      </c>
      <c r="C37" s="19">
        <f t="shared" ca="1" si="5"/>
        <v>45773</v>
      </c>
      <c r="D37" s="23">
        <f t="shared" ca="1" si="15"/>
        <v>31</v>
      </c>
      <c r="E37" s="20">
        <f t="shared" si="16"/>
        <v>512500</v>
      </c>
      <c r="F37" s="20">
        <f>IF(AND(A36="",A38=""),"",IF(A37="",ROUND(SUM($F$19:F36),2),IF(A37=$D$8,$E$18-ROUND(SUM($F$19:F36),2),ROUND($E$18/$D$8,2))))</f>
        <v>12500</v>
      </c>
      <c r="G37" s="20">
        <f ca="1">IF(A36=$D$8,ROUND(SUM($G$19:G36),2),IF(A37&gt;$F$8,"",IF(N37&lt;&gt;N36,ROUND(SUM(P37*$F$9*E36/N37,Q37*$F$9*E36/N36),2),ROUND(E36*$F$9*D37/N36,2))))</f>
        <v>13372.25</v>
      </c>
      <c r="H37" s="20">
        <f ca="1">IF(A36=$D$8,SUM($H$19:H36),IF(A36&gt;$D$8,"",F37+G37))</f>
        <v>25872.25</v>
      </c>
      <c r="I37" s="20" t="str">
        <f t="shared" si="14"/>
        <v/>
      </c>
      <c r="J37" s="20"/>
      <c r="K37" s="44" t="str">
        <f>IF(A36=$D$8,XIRR(H$18:H36,C$18:C36),"")</f>
        <v/>
      </c>
      <c r="L37" s="20" t="str">
        <f t="shared" si="4"/>
        <v/>
      </c>
      <c r="M37">
        <f t="shared" ca="1" si="6"/>
        <v>2025</v>
      </c>
      <c r="N37">
        <f t="shared" ca="1" si="7"/>
        <v>365</v>
      </c>
      <c r="O37">
        <f t="shared" ca="1" si="8"/>
        <v>26</v>
      </c>
      <c r="P37" s="15">
        <f t="shared" ca="1" si="9"/>
        <v>25</v>
      </c>
      <c r="Q37" s="16">
        <f t="shared" ca="1" si="10"/>
        <v>6</v>
      </c>
    </row>
    <row r="38" spans="1:17" x14ac:dyDescent="0.35">
      <c r="A38" s="23">
        <f t="shared" si="11"/>
        <v>20</v>
      </c>
      <c r="B38" s="19">
        <f ca="1">EDATE($B$18,20)</f>
        <v>45803</v>
      </c>
      <c r="C38" s="19">
        <f t="shared" ca="1" si="5"/>
        <v>45803</v>
      </c>
      <c r="D38" s="23">
        <f t="shared" ca="1" si="15"/>
        <v>30</v>
      </c>
      <c r="E38" s="20">
        <f t="shared" si="16"/>
        <v>500000</v>
      </c>
      <c r="F38" s="20">
        <f>IF(AND(A37="",A39=""),"",IF(A38="",ROUND(SUM($F$19:F37),2),IF(A38=$D$8,$E$18-ROUND(SUM($F$19:F37),2),ROUND($E$18/$D$8,2))))</f>
        <v>12500</v>
      </c>
      <c r="G38" s="20">
        <f ca="1">IF(A37=$D$8,ROUND(SUM($G$19:G37),2),IF(A38&gt;$F$8,"",IF(N38&lt;&gt;N37,ROUND(SUM(P38*$F$9*E37/N38,Q38*$F$9*E37/N37),2),ROUND(E37*$F$9*D38/N37,2))))</f>
        <v>12632.77</v>
      </c>
      <c r="H38" s="20">
        <f ca="1">IF(A37=$D$8,SUM($H$19:H37),IF(A37&gt;$D$8,"",F38+G38))</f>
        <v>25132.77</v>
      </c>
      <c r="I38" s="20" t="str">
        <f t="shared" si="14"/>
        <v/>
      </c>
      <c r="J38" s="20"/>
      <c r="K38" s="44" t="str">
        <f>IF(A37=$D$8,XIRR(H$18:H37,C$18:C37),"")</f>
        <v/>
      </c>
      <c r="L38" s="20" t="str">
        <f t="shared" si="4"/>
        <v/>
      </c>
      <c r="M38">
        <f t="shared" ca="1" si="6"/>
        <v>2025</v>
      </c>
      <c r="N38">
        <f t="shared" ca="1" si="7"/>
        <v>365</v>
      </c>
      <c r="O38">
        <f t="shared" ca="1" si="8"/>
        <v>26</v>
      </c>
      <c r="P38" s="15">
        <f t="shared" ca="1" si="9"/>
        <v>25</v>
      </c>
      <c r="Q38" s="16">
        <f t="shared" ca="1" si="10"/>
        <v>5</v>
      </c>
    </row>
    <row r="39" spans="1:17" x14ac:dyDescent="0.35">
      <c r="A39" s="23">
        <f t="shared" si="11"/>
        <v>21</v>
      </c>
      <c r="B39" s="19">
        <f ca="1">EDATE($B$18,21)</f>
        <v>45834</v>
      </c>
      <c r="C39" s="19">
        <f t="shared" ca="1" si="5"/>
        <v>45834</v>
      </c>
      <c r="D39" s="23">
        <f t="shared" ca="1" si="15"/>
        <v>31</v>
      </c>
      <c r="E39" s="20">
        <f t="shared" si="16"/>
        <v>487500</v>
      </c>
      <c r="F39" s="20">
        <f>IF(AND(A38="",A40=""),"",IF(A39="",ROUND(SUM($F$19:F38),2),IF(A39=$D$8,$E$18-ROUND(SUM($F$19:F38),2),ROUND($E$18/$D$8,2))))</f>
        <v>12500</v>
      </c>
      <c r="G39" s="20">
        <f ca="1">IF(A38=$D$8,ROUND(SUM($G$19:G38),2),IF(A39&gt;$F$8,"",IF(N39&lt;&gt;N38,ROUND(SUM(P39*$F$9*E38/N39,Q39*$F$9*E38/N38),2),ROUND(E38*$F$9*D39/N38,2))))</f>
        <v>12735.48</v>
      </c>
      <c r="H39" s="20">
        <f ca="1">IF(A38=$D$8,SUM($H$19:H38),IF(A38&gt;$D$8,"",F39+G39))</f>
        <v>25235.48</v>
      </c>
      <c r="I39" s="20" t="str">
        <f t="shared" si="14"/>
        <v/>
      </c>
      <c r="J39" s="20"/>
      <c r="K39" s="44" t="str">
        <f>IF(A38=$D$8,XIRR(H$18:H38,C$18:C38),"")</f>
        <v/>
      </c>
      <c r="L39" s="20" t="str">
        <f t="shared" si="4"/>
        <v/>
      </c>
      <c r="M39">
        <f t="shared" ca="1" si="6"/>
        <v>2025</v>
      </c>
      <c r="N39">
        <f t="shared" ca="1" si="7"/>
        <v>365</v>
      </c>
      <c r="O39">
        <f t="shared" ca="1" si="8"/>
        <v>26</v>
      </c>
      <c r="P39" s="15">
        <f t="shared" ca="1" si="9"/>
        <v>25</v>
      </c>
      <c r="Q39" s="16">
        <f t="shared" ca="1" si="10"/>
        <v>6</v>
      </c>
    </row>
    <row r="40" spans="1:17" x14ac:dyDescent="0.35">
      <c r="A40" s="23">
        <f t="shared" si="11"/>
        <v>22</v>
      </c>
      <c r="B40" s="19">
        <f ca="1">EDATE($B$18,22)</f>
        <v>45864</v>
      </c>
      <c r="C40" s="19">
        <f t="shared" ca="1" si="5"/>
        <v>45864</v>
      </c>
      <c r="D40" s="23">
        <f t="shared" ca="1" si="15"/>
        <v>30</v>
      </c>
      <c r="E40" s="20">
        <f t="shared" si="16"/>
        <v>475000</v>
      </c>
      <c r="F40" s="20">
        <f>IF(AND(A39="",A41=""),"",IF(A40="",ROUND(SUM($F$19:F39),2),IF(A40=$D$8,$E$18-ROUND(SUM($F$19:F39),2),ROUND($E$18/$D$8,2))))</f>
        <v>12500</v>
      </c>
      <c r="G40" s="20">
        <f ca="1">IF(A39=$D$8,ROUND(SUM($G$19:G39),2),IF(A40&gt;$F$8,"",IF(N40&lt;&gt;N39,ROUND(SUM(P40*$F$9*E39/N40,Q40*$F$9*E39/N39),2),ROUND(E39*$F$9*D40/N39,2))))</f>
        <v>12016.54</v>
      </c>
      <c r="H40" s="20">
        <f ca="1">IF(A39=$D$8,SUM($H$19:H39),IF(A39&gt;$D$8,"",F40+G40))</f>
        <v>24516.54</v>
      </c>
      <c r="I40" s="20" t="str">
        <f t="shared" si="14"/>
        <v/>
      </c>
      <c r="J40" s="20"/>
      <c r="K40" s="44" t="str">
        <f>IF(A39=$D$8,XIRR(H$18:H39,C$18:C39),"")</f>
        <v/>
      </c>
      <c r="L40" s="20" t="str">
        <f t="shared" si="4"/>
        <v/>
      </c>
      <c r="M40">
        <f t="shared" ca="1" si="6"/>
        <v>2025</v>
      </c>
      <c r="N40">
        <f t="shared" ca="1" si="7"/>
        <v>365</v>
      </c>
      <c r="O40">
        <f t="shared" ca="1" si="8"/>
        <v>26</v>
      </c>
      <c r="P40" s="15">
        <f t="shared" ca="1" si="9"/>
        <v>25</v>
      </c>
      <c r="Q40" s="16">
        <f t="shared" ca="1" si="10"/>
        <v>5</v>
      </c>
    </row>
    <row r="41" spans="1:17" x14ac:dyDescent="0.35">
      <c r="A41" s="23">
        <f t="shared" si="11"/>
        <v>23</v>
      </c>
      <c r="B41" s="19">
        <f ca="1">EDATE($B$18,23)</f>
        <v>45895</v>
      </c>
      <c r="C41" s="19">
        <f t="shared" ca="1" si="5"/>
        <v>45895</v>
      </c>
      <c r="D41" s="23">
        <f t="shared" ca="1" si="15"/>
        <v>31</v>
      </c>
      <c r="E41" s="20">
        <f t="shared" si="16"/>
        <v>462500</v>
      </c>
      <c r="F41" s="20">
        <f>IF(AND(A40="",A42=""),"",IF(A41="",ROUND(SUM($F$19:F40),2),IF(A41=$D$8,$E$18-ROUND(SUM($F$19:F40),2),ROUND($E$18/$D$8,2))))</f>
        <v>12500</v>
      </c>
      <c r="G41" s="20">
        <f ca="1">IF(A40=$D$8,ROUND(SUM($G$19:G40),2),IF(A41&gt;$F$8,"",IF(N41&lt;&gt;N40,ROUND(SUM(P41*$F$9*E40/N41,Q41*$F$9*E40/N40),2),ROUND(E40*$F$9*D41/N40,2))))</f>
        <v>12098.71</v>
      </c>
      <c r="H41" s="20">
        <f ca="1">IF(A40=$D$8,SUM($H$19:H40),IF(A40&gt;$D$8,"",F41+G41))</f>
        <v>24598.71</v>
      </c>
      <c r="I41" s="20" t="str">
        <f t="shared" si="14"/>
        <v/>
      </c>
      <c r="J41" s="20"/>
      <c r="K41" s="44" t="str">
        <f>IF(A40=$D$8,XIRR(H$18:H40,C$18:C40),"")</f>
        <v/>
      </c>
      <c r="L41" s="20" t="str">
        <f t="shared" si="4"/>
        <v/>
      </c>
      <c r="M41">
        <f t="shared" ca="1" si="6"/>
        <v>2025</v>
      </c>
      <c r="N41">
        <f t="shared" ca="1" si="7"/>
        <v>365</v>
      </c>
      <c r="O41">
        <f t="shared" ca="1" si="8"/>
        <v>26</v>
      </c>
      <c r="P41" s="15">
        <f t="shared" ca="1" si="9"/>
        <v>25</v>
      </c>
      <c r="Q41" s="16">
        <f t="shared" ca="1" si="10"/>
        <v>6</v>
      </c>
    </row>
    <row r="42" spans="1:17" x14ac:dyDescent="0.35">
      <c r="A42" s="23">
        <f t="shared" si="11"/>
        <v>24</v>
      </c>
      <c r="B42" s="19">
        <f ca="1">EDATE($B$18,24)</f>
        <v>45926</v>
      </c>
      <c r="C42" s="19">
        <f t="shared" ca="1" si="5"/>
        <v>45926</v>
      </c>
      <c r="D42" s="23">
        <f t="shared" ca="1" si="15"/>
        <v>31</v>
      </c>
      <c r="E42" s="20">
        <f t="shared" si="16"/>
        <v>450000</v>
      </c>
      <c r="F42" s="20">
        <f>IF(AND(A41="",A43=""),"",IF(A42="",ROUND(SUM($F$19:F41),2),IF(A42=$D$8,$E$18-ROUND(SUM($F$19:F41),2),ROUND($E$18/$D$8,2))))</f>
        <v>12500</v>
      </c>
      <c r="G42" s="20">
        <f ca="1">IF(A41=$D$8,ROUND(SUM($G$19:G41),2),IF(A42&gt;$F$8,"",IF(N42&lt;&gt;N41,ROUND(SUM(P42*$F$9*E41/N42,Q42*$F$9*E41/N41),2),ROUND(E41*$F$9*D42/N41,2))))</f>
        <v>11780.32</v>
      </c>
      <c r="H42" s="20">
        <f ca="1">IF(A41=$D$8,SUM($H$19:H41),IF(A41&gt;$D$8,"",F42+G42))</f>
        <v>24280.32</v>
      </c>
      <c r="I42" s="20" t="str">
        <f t="shared" si="14"/>
        <v/>
      </c>
      <c r="J42" s="20"/>
      <c r="K42" s="44" t="str">
        <f>IF(A41=$D$8,XIRR(H$18:H41,C$18:C41),"")</f>
        <v/>
      </c>
      <c r="L42" s="20" t="str">
        <f t="shared" si="4"/>
        <v/>
      </c>
      <c r="M42">
        <f t="shared" ca="1" si="6"/>
        <v>2025</v>
      </c>
      <c r="N42">
        <f t="shared" ca="1" si="7"/>
        <v>365</v>
      </c>
      <c r="O42">
        <f t="shared" ca="1" si="8"/>
        <v>26</v>
      </c>
      <c r="P42" s="15">
        <f t="shared" ca="1" si="9"/>
        <v>25</v>
      </c>
      <c r="Q42" s="16">
        <f t="shared" ca="1" si="10"/>
        <v>6</v>
      </c>
    </row>
    <row r="43" spans="1:17" x14ac:dyDescent="0.35">
      <c r="A43" s="23">
        <f t="shared" si="11"/>
        <v>25</v>
      </c>
      <c r="B43" s="19">
        <f ca="1">EDATE($B$18,25)</f>
        <v>45956</v>
      </c>
      <c r="C43" s="19">
        <f t="shared" ca="1" si="5"/>
        <v>45956</v>
      </c>
      <c r="D43" s="23">
        <f t="shared" ca="1" si="15"/>
        <v>30</v>
      </c>
      <c r="E43" s="20">
        <f t="shared" si="16"/>
        <v>437500</v>
      </c>
      <c r="F43" s="20">
        <f>IF(AND(A42="",A44=""),"",IF(A43="",ROUND(SUM($F$19:F42),2),IF(A43=$D$8,$E$18-ROUND(SUM($F$19:F42),2),ROUND($E$18/$D$8,2))))</f>
        <v>12500</v>
      </c>
      <c r="G43" s="20">
        <f ca="1">IF(A42=$D$8,ROUND(SUM($G$19:G42),2),IF(A43&gt;$F$8,"",IF(N43&lt;&gt;N42,ROUND(SUM(P43*$F$9*E42/N43,Q43*$F$9*E42/N42),2),ROUND(E42*$F$9*D43/N42,2))))</f>
        <v>11092.19</v>
      </c>
      <c r="H43" s="20">
        <f ca="1">IF(A42=$D$8,SUM($H$19:H42),IF(A42&gt;$D$8,"",F43+G43))</f>
        <v>23592.190000000002</v>
      </c>
      <c r="I43" s="20" t="str">
        <f t="shared" si="14"/>
        <v/>
      </c>
      <c r="J43" s="20"/>
      <c r="K43" s="44" t="str">
        <f>IF(A42=$D$8,XIRR(H$18:H42,C$18:C42),"")</f>
        <v/>
      </c>
      <c r="L43" s="20" t="str">
        <f t="shared" si="4"/>
        <v/>
      </c>
      <c r="M43">
        <f t="shared" ca="1" si="6"/>
        <v>2025</v>
      </c>
      <c r="N43">
        <f t="shared" ca="1" si="7"/>
        <v>365</v>
      </c>
      <c r="O43">
        <f t="shared" ca="1" si="8"/>
        <v>26</v>
      </c>
      <c r="P43" s="15">
        <f t="shared" ca="1" si="9"/>
        <v>25</v>
      </c>
      <c r="Q43" s="16">
        <f t="shared" ca="1" si="10"/>
        <v>5</v>
      </c>
    </row>
    <row r="44" spans="1:17" x14ac:dyDescent="0.35">
      <c r="A44" s="23">
        <f t="shared" si="11"/>
        <v>26</v>
      </c>
      <c r="B44" s="19">
        <f ca="1">EDATE($B$18,26)</f>
        <v>45987</v>
      </c>
      <c r="C44" s="19">
        <f t="shared" ca="1" si="5"/>
        <v>45987</v>
      </c>
      <c r="D44" s="23">
        <f t="shared" ca="1" si="15"/>
        <v>31</v>
      </c>
      <c r="E44" s="20">
        <f t="shared" si="16"/>
        <v>425000</v>
      </c>
      <c r="F44" s="20">
        <f>IF(AND(A43="",A45=""),"",IF(A44="",ROUND(SUM($F$19:F43),2),IF(A44=$D$8,$E$18-ROUND(SUM($F$19:F43),2),ROUND($E$18/$D$8,2))))</f>
        <v>12500</v>
      </c>
      <c r="G44" s="20">
        <f ca="1">IF(A43=$D$8,ROUND(SUM($G$19:G43),2),IF(A44&gt;$F$8,"",IF(N44&lt;&gt;N43,ROUND(SUM(P44*$F$9*E43/N44,Q44*$F$9*E43/N43),2),ROUND(E43*$F$9*D44/N43,2))))</f>
        <v>11143.54</v>
      </c>
      <c r="H44" s="20">
        <f ca="1">IF(A43=$D$8,SUM($H$19:H43),IF(A43&gt;$D$8,"",F44+G44))</f>
        <v>23643.54</v>
      </c>
      <c r="I44" s="20" t="str">
        <f t="shared" si="14"/>
        <v/>
      </c>
      <c r="J44" s="20"/>
      <c r="K44" s="44" t="str">
        <f>IF(A43=$D$8,XIRR(H$18:H43,C$18:C43),"")</f>
        <v/>
      </c>
      <c r="L44" s="20" t="str">
        <f t="shared" si="4"/>
        <v/>
      </c>
      <c r="M44">
        <f t="shared" ca="1" si="6"/>
        <v>2025</v>
      </c>
      <c r="N44">
        <f t="shared" ca="1" si="7"/>
        <v>365</v>
      </c>
      <c r="O44">
        <f t="shared" ca="1" si="8"/>
        <v>26</v>
      </c>
      <c r="P44" s="15">
        <f t="shared" ca="1" si="9"/>
        <v>25</v>
      </c>
      <c r="Q44" s="16">
        <f t="shared" ca="1" si="10"/>
        <v>6</v>
      </c>
    </row>
    <row r="45" spans="1:17" x14ac:dyDescent="0.35">
      <c r="A45" s="23">
        <f t="shared" si="11"/>
        <v>27</v>
      </c>
      <c r="B45" s="19">
        <f ca="1">EDATE($B$18,27)</f>
        <v>46017</v>
      </c>
      <c r="C45" s="19">
        <f t="shared" ca="1" si="5"/>
        <v>46017</v>
      </c>
      <c r="D45" s="23">
        <f t="shared" ca="1" si="15"/>
        <v>30</v>
      </c>
      <c r="E45" s="20">
        <f t="shared" si="16"/>
        <v>412500</v>
      </c>
      <c r="F45" s="20">
        <f>IF(AND(A44="",A46=""),"",IF(A45="",ROUND(SUM($F$19:F44),2),IF(A45=$D$8,$E$18-ROUND(SUM($F$19:F44),2),ROUND($E$18/$D$8,2))))</f>
        <v>12500</v>
      </c>
      <c r="G45" s="20">
        <f ca="1">IF(A44=$D$8,ROUND(SUM($G$19:G44),2),IF(A45&gt;$F$8,"",IF(N45&lt;&gt;N44,ROUND(SUM(P45*$F$9*E44/N45,Q45*$F$9*E44/N44),2),ROUND(E44*$F$9*D45/N44,2))))</f>
        <v>10475.959999999999</v>
      </c>
      <c r="H45" s="20">
        <f ca="1">IF(A44=$D$8,SUM($H$19:H44),IF(A44&gt;$D$8,"",F45+G45))</f>
        <v>22975.96</v>
      </c>
      <c r="I45" s="20" t="str">
        <f t="shared" si="14"/>
        <v/>
      </c>
      <c r="J45" s="20"/>
      <c r="K45" s="44" t="str">
        <f>IF(A44=$D$8,XIRR(H$18:H44,C$18:C44),"")</f>
        <v/>
      </c>
      <c r="L45" s="20" t="str">
        <f t="shared" si="4"/>
        <v/>
      </c>
      <c r="M45">
        <f t="shared" ca="1" si="6"/>
        <v>2025</v>
      </c>
      <c r="N45">
        <f t="shared" ca="1" si="7"/>
        <v>365</v>
      </c>
      <c r="O45">
        <f t="shared" ca="1" si="8"/>
        <v>26</v>
      </c>
      <c r="P45" s="15">
        <f t="shared" ca="1" si="9"/>
        <v>25</v>
      </c>
      <c r="Q45" s="16">
        <f t="shared" ca="1" si="10"/>
        <v>5</v>
      </c>
    </row>
    <row r="46" spans="1:17" x14ac:dyDescent="0.35">
      <c r="A46" s="23">
        <f t="shared" si="11"/>
        <v>28</v>
      </c>
      <c r="B46" s="19">
        <f ca="1">EDATE($B$18,28)</f>
        <v>46048</v>
      </c>
      <c r="C46" s="19">
        <f t="shared" ca="1" si="5"/>
        <v>46048</v>
      </c>
      <c r="D46" s="23">
        <f t="shared" ca="1" si="15"/>
        <v>31</v>
      </c>
      <c r="E46" s="20">
        <f t="shared" si="16"/>
        <v>400000</v>
      </c>
      <c r="F46" s="20">
        <f>IF(AND(A45="",A47=""),"",IF(A46="",ROUND(SUM($F$19:F45),2),IF(A46=$D$8,$E$18-ROUND(SUM($F$19:F45),2),ROUND($E$18/$D$8,2))))</f>
        <v>12500</v>
      </c>
      <c r="G46" s="20">
        <f ca="1">IF(A45=$D$8,ROUND(SUM($G$19:G45),2),IF(A46&gt;$F$8,"",IF(N46&lt;&gt;N45,ROUND(SUM(P46*$F$9*E45/N46,Q46*$F$9*E45/N45),2),ROUND(E45*$F$9*D46/N45,2))))</f>
        <v>10506.77</v>
      </c>
      <c r="H46" s="20">
        <f ca="1">IF(A45=$D$8,SUM($H$19:H45),IF(A45&gt;$D$8,"",F46+G46))</f>
        <v>23006.77</v>
      </c>
      <c r="I46" s="20" t="str">
        <f t="shared" si="14"/>
        <v/>
      </c>
      <c r="J46" s="20"/>
      <c r="K46" s="44" t="str">
        <f>IF(A45=$D$8,XIRR(H$18:H45,C$18:C45),"")</f>
        <v/>
      </c>
      <c r="L46" s="20" t="str">
        <f t="shared" si="4"/>
        <v/>
      </c>
      <c r="M46">
        <f t="shared" ca="1" si="6"/>
        <v>2026</v>
      </c>
      <c r="N46">
        <f t="shared" ca="1" si="7"/>
        <v>365</v>
      </c>
      <c r="O46">
        <f t="shared" ca="1" si="8"/>
        <v>26</v>
      </c>
      <c r="P46" s="15">
        <f t="shared" ca="1" si="9"/>
        <v>25</v>
      </c>
      <c r="Q46" s="16">
        <f t="shared" ca="1" si="10"/>
        <v>6</v>
      </c>
    </row>
    <row r="47" spans="1:17" x14ac:dyDescent="0.35">
      <c r="A47" s="23">
        <f t="shared" si="11"/>
        <v>29</v>
      </c>
      <c r="B47" s="19">
        <f ca="1">EDATE($B$18,29)</f>
        <v>46079</v>
      </c>
      <c r="C47" s="19">
        <f t="shared" ca="1" si="5"/>
        <v>46079</v>
      </c>
      <c r="D47" s="23">
        <f t="shared" ca="1" si="15"/>
        <v>31</v>
      </c>
      <c r="E47" s="20">
        <f t="shared" si="16"/>
        <v>387500</v>
      </c>
      <c r="F47" s="20">
        <f>IF(AND(A46="",A48=""),"",IF(A47="",ROUND(SUM($F$19:F46),2),IF(A47=$D$8,$E$18-ROUND(SUM($F$19:F46),2),ROUND($E$18/$D$8,2))))</f>
        <v>12500</v>
      </c>
      <c r="G47" s="20">
        <f ca="1">IF(A46=$D$8,ROUND(SUM($G$19:G46),2),IF(A47&gt;$F$8,"",IF(N47&lt;&gt;N46,ROUND(SUM(P47*$F$9*E46/N47,Q47*$F$9*E46/N46),2),ROUND(E46*$F$9*D47/N46,2))))</f>
        <v>10188.379999999999</v>
      </c>
      <c r="H47" s="20">
        <f ca="1">IF(A46=$D$8,SUM($H$19:H46),IF(A46&gt;$D$8,"",F47+G47))</f>
        <v>22688.379999999997</v>
      </c>
      <c r="I47" s="20" t="str">
        <f t="shared" si="14"/>
        <v/>
      </c>
      <c r="J47" s="20"/>
      <c r="K47" s="44" t="str">
        <f>IF(A46=$D$8,XIRR(H$18:H46,C$18:C46),"")</f>
        <v/>
      </c>
      <c r="L47" s="20" t="str">
        <f t="shared" si="4"/>
        <v/>
      </c>
      <c r="M47">
        <f t="shared" ca="1" si="6"/>
        <v>2026</v>
      </c>
      <c r="N47">
        <f t="shared" ca="1" si="7"/>
        <v>365</v>
      </c>
      <c r="O47">
        <f t="shared" ca="1" si="8"/>
        <v>26</v>
      </c>
      <c r="P47" s="15">
        <f t="shared" ca="1" si="9"/>
        <v>25</v>
      </c>
      <c r="Q47" s="16">
        <f t="shared" ca="1" si="10"/>
        <v>6</v>
      </c>
    </row>
    <row r="48" spans="1:17" x14ac:dyDescent="0.35">
      <c r="A48" s="23">
        <f t="shared" si="11"/>
        <v>30</v>
      </c>
      <c r="B48" s="19">
        <f ca="1">EDATE($B$18,30)</f>
        <v>46107</v>
      </c>
      <c r="C48" s="19">
        <f t="shared" ca="1" si="5"/>
        <v>46107</v>
      </c>
      <c r="D48" s="23">
        <f t="shared" ca="1" si="15"/>
        <v>28</v>
      </c>
      <c r="E48" s="20">
        <f t="shared" si="16"/>
        <v>375000</v>
      </c>
      <c r="F48" s="20">
        <f>IF(AND(A47="",A49=""),"",IF(A48="",ROUND(SUM($F$19:F47),2),IF(A48=$D$8,$E$18-ROUND(SUM($F$19:F47),2),ROUND($E$18/$D$8,2))))</f>
        <v>12500</v>
      </c>
      <c r="G48" s="20">
        <f ca="1">IF(A47=$D$8,ROUND(SUM($G$19:G47),2),IF(A48&gt;$F$8,"",IF(N48&lt;&gt;N47,ROUND(SUM(P48*$F$9*E47/N48,Q48*$F$9*E47/N47),2),ROUND(E47*$F$9*D48/N47,2))))</f>
        <v>8914.84</v>
      </c>
      <c r="H48" s="20">
        <f ca="1">IF(A47=$D$8,SUM($H$19:H47),IF(A47&gt;$D$8,"",F48+G48))</f>
        <v>21414.84</v>
      </c>
      <c r="I48" s="20" t="str">
        <f t="shared" si="14"/>
        <v/>
      </c>
      <c r="J48" s="20"/>
      <c r="K48" s="44" t="str">
        <f>IF(A47=$D$8,XIRR(H$18:H47,C$18:C47),"")</f>
        <v/>
      </c>
      <c r="L48" s="20" t="str">
        <f t="shared" si="4"/>
        <v/>
      </c>
      <c r="M48">
        <f t="shared" ca="1" si="6"/>
        <v>2026</v>
      </c>
      <c r="N48">
        <f t="shared" ca="1" si="7"/>
        <v>365</v>
      </c>
      <c r="O48">
        <f t="shared" ca="1" si="8"/>
        <v>26</v>
      </c>
      <c r="P48" s="15">
        <f t="shared" ca="1" si="9"/>
        <v>25</v>
      </c>
      <c r="Q48" s="16">
        <f t="shared" ca="1" si="10"/>
        <v>3</v>
      </c>
    </row>
    <row r="49" spans="1:17" x14ac:dyDescent="0.35">
      <c r="A49" s="23">
        <f t="shared" si="11"/>
        <v>31</v>
      </c>
      <c r="B49" s="19">
        <f ca="1">EDATE($B$18,31)</f>
        <v>46138</v>
      </c>
      <c r="C49" s="19">
        <f t="shared" ca="1" si="5"/>
        <v>46138</v>
      </c>
      <c r="D49" s="23">
        <f t="shared" ca="1" si="15"/>
        <v>31</v>
      </c>
      <c r="E49" s="20">
        <f t="shared" si="16"/>
        <v>362500</v>
      </c>
      <c r="F49" s="20">
        <f>IF(AND(A48="",A50=""),"",IF(A49="",ROUND(SUM($F$19:F48),2),IF(A49=$D$8,$E$18-ROUND(SUM($F$19:F48),2),ROUND($E$18/$D$8,2))))</f>
        <v>12500</v>
      </c>
      <c r="G49" s="20">
        <f ca="1">IF(A48=$D$8,ROUND(SUM($G$19:G48),2),IF(A49&gt;$F$8,"",IF(N49&lt;&gt;N48,ROUND(SUM(P49*$F$9*E48/N49,Q49*$F$9*E48/N48),2),ROUND(E48*$F$9*D49/N48,2))))</f>
        <v>9551.61</v>
      </c>
      <c r="H49" s="20">
        <f ca="1">IF(A48=$D$8,SUM($H$19:H48),IF(A48&gt;$D$8,"",F49+G49))</f>
        <v>22051.61</v>
      </c>
      <c r="I49" s="20" t="str">
        <f t="shared" si="14"/>
        <v/>
      </c>
      <c r="J49" s="20"/>
      <c r="K49" s="44" t="str">
        <f>IF(A48=$D$8,XIRR(H$18:H48,C$18:C48),"")</f>
        <v/>
      </c>
      <c r="L49" s="20" t="str">
        <f t="shared" si="4"/>
        <v/>
      </c>
      <c r="M49">
        <f t="shared" ca="1" si="6"/>
        <v>2026</v>
      </c>
      <c r="N49">
        <f t="shared" ca="1" si="7"/>
        <v>365</v>
      </c>
      <c r="O49">
        <f t="shared" ca="1" si="8"/>
        <v>26</v>
      </c>
      <c r="P49" s="15">
        <f t="shared" ca="1" si="9"/>
        <v>25</v>
      </c>
      <c r="Q49" s="16">
        <f t="shared" ca="1" si="10"/>
        <v>6</v>
      </c>
    </row>
    <row r="50" spans="1:17" x14ac:dyDescent="0.35">
      <c r="A50" s="23">
        <f t="shared" si="11"/>
        <v>32</v>
      </c>
      <c r="B50" s="19">
        <f ca="1">EDATE($B$18,32)</f>
        <v>46168</v>
      </c>
      <c r="C50" s="19">
        <f t="shared" ca="1" si="5"/>
        <v>46168</v>
      </c>
      <c r="D50" s="23">
        <f t="shared" ca="1" si="15"/>
        <v>30</v>
      </c>
      <c r="E50" s="20">
        <f t="shared" si="16"/>
        <v>350000</v>
      </c>
      <c r="F50" s="20">
        <f>IF(AND(A49="",A51=""),"",IF(A50="",ROUND(SUM($F$19:F49),2),IF(A50=$D$8,$E$18-ROUND(SUM($F$19:F49),2),ROUND($E$18/$D$8,2))))</f>
        <v>12500</v>
      </c>
      <c r="G50" s="20">
        <f ca="1">IF(A49=$D$8,ROUND(SUM($G$19:G49),2),IF(A50&gt;$F$8,"",IF(N50&lt;&gt;N49,ROUND(SUM(P50*$F$9*E49/N50,Q50*$F$9*E49/N49),2),ROUND(E49*$F$9*D50/N49,2))))</f>
        <v>8935.3799999999992</v>
      </c>
      <c r="H50" s="20">
        <f ca="1">IF(A49=$D$8,SUM($H$19:H49),IF(A49&gt;$D$8,"",F50+G50))</f>
        <v>21435.379999999997</v>
      </c>
      <c r="I50" s="20" t="str">
        <f t="shared" si="14"/>
        <v/>
      </c>
      <c r="J50" s="20"/>
      <c r="K50" s="44" t="str">
        <f>IF(A49=$D$8,XIRR(H$18:H49,C$18:C49),"")</f>
        <v/>
      </c>
      <c r="L50" s="20" t="str">
        <f t="shared" si="4"/>
        <v/>
      </c>
      <c r="M50">
        <f t="shared" ca="1" si="6"/>
        <v>2026</v>
      </c>
      <c r="N50">
        <f t="shared" ca="1" si="7"/>
        <v>365</v>
      </c>
      <c r="O50">
        <f t="shared" ca="1" si="8"/>
        <v>26</v>
      </c>
      <c r="P50" s="15">
        <f t="shared" ca="1" si="9"/>
        <v>25</v>
      </c>
      <c r="Q50" s="16">
        <f t="shared" ca="1" si="10"/>
        <v>5</v>
      </c>
    </row>
    <row r="51" spans="1:17" x14ac:dyDescent="0.35">
      <c r="A51" s="23">
        <f t="shared" si="11"/>
        <v>33</v>
      </c>
      <c r="B51" s="19">
        <f ca="1">EDATE($B$18,33)</f>
        <v>46199</v>
      </c>
      <c r="C51" s="19">
        <f t="shared" ca="1" si="5"/>
        <v>46199</v>
      </c>
      <c r="D51" s="23">
        <f t="shared" ca="1" si="15"/>
        <v>31</v>
      </c>
      <c r="E51" s="20">
        <f t="shared" si="16"/>
        <v>337500</v>
      </c>
      <c r="F51" s="20">
        <f>IF(AND(A50="",A52=""),"",IF(A51="",ROUND(SUM($F$19:F50),2),IF(A51=$D$8,$E$18-ROUND(SUM($F$19:F50),2),ROUND($E$18/$D$8,2))))</f>
        <v>12500</v>
      </c>
      <c r="G51" s="20">
        <f ca="1">IF(A50=$D$8,ROUND(SUM($G$19:G50),2),IF(A51&gt;$F$8,"",IF(N51&lt;&gt;N50,ROUND(SUM(P51*$F$9*E50/N51,Q51*$F$9*E50/N50),2),ROUND(E50*$F$9*D51/N50,2))))</f>
        <v>8914.84</v>
      </c>
      <c r="H51" s="20">
        <f ca="1">IF(A50=$D$8,SUM($H$19:H50),IF(A50&gt;$D$8,"",F51+G51))</f>
        <v>21414.84</v>
      </c>
      <c r="I51" s="20" t="str">
        <f t="shared" si="14"/>
        <v/>
      </c>
      <c r="J51" s="20"/>
      <c r="K51" s="44" t="str">
        <f>IF(A50=$D$8,XIRR(H$18:H50,C$18:C50),"")</f>
        <v/>
      </c>
      <c r="L51" s="20" t="str">
        <f t="shared" si="4"/>
        <v/>
      </c>
      <c r="M51">
        <f t="shared" ca="1" si="6"/>
        <v>2026</v>
      </c>
      <c r="N51">
        <f t="shared" ca="1" si="7"/>
        <v>365</v>
      </c>
      <c r="O51">
        <f t="shared" ca="1" si="8"/>
        <v>26</v>
      </c>
      <c r="P51" s="15">
        <f t="shared" ca="1" si="9"/>
        <v>25</v>
      </c>
      <c r="Q51" s="16">
        <f t="shared" ca="1" si="10"/>
        <v>6</v>
      </c>
    </row>
    <row r="52" spans="1:17" x14ac:dyDescent="0.35">
      <c r="A52" s="23">
        <f t="shared" si="11"/>
        <v>34</v>
      </c>
      <c r="B52" s="19">
        <f ca="1">EDATE($B$18,34)</f>
        <v>46229</v>
      </c>
      <c r="C52" s="19">
        <f t="shared" ca="1" si="5"/>
        <v>46229</v>
      </c>
      <c r="D52" s="23">
        <f t="shared" ca="1" si="15"/>
        <v>30</v>
      </c>
      <c r="E52" s="20">
        <f t="shared" si="16"/>
        <v>325000</v>
      </c>
      <c r="F52" s="20">
        <f>IF(AND(A51="",A53=""),"",IF(A52="",ROUND(SUM($F$19:F51),2),IF(A52=$D$8,$E$18-ROUND(SUM($F$19:F51),2),ROUND($E$18/$D$8,2))))</f>
        <v>12500</v>
      </c>
      <c r="G52" s="20">
        <f ca="1">IF(A51=$D$8,ROUND(SUM($G$19:G51),2),IF(A52&gt;$F$8,"",IF(N52&lt;&gt;N51,ROUND(SUM(P52*$F$9*E51/N52,Q52*$F$9*E51/N51),2),ROUND(E51*$F$9*D52/N51,2))))</f>
        <v>8319.14</v>
      </c>
      <c r="H52" s="20">
        <f ca="1">IF(A51=$D$8,SUM($H$19:H51),IF(A51&gt;$D$8,"",F52+G52))</f>
        <v>20819.14</v>
      </c>
      <c r="I52" s="20" t="str">
        <f t="shared" si="14"/>
        <v/>
      </c>
      <c r="J52" s="20"/>
      <c r="K52" s="44" t="str">
        <f>IF(A51=$D$8,XIRR(H$18:H51,C$18:C51),"")</f>
        <v/>
      </c>
      <c r="L52" s="20" t="str">
        <f t="shared" si="4"/>
        <v/>
      </c>
      <c r="M52">
        <f t="shared" ca="1" si="6"/>
        <v>2026</v>
      </c>
      <c r="N52">
        <f t="shared" ca="1" si="7"/>
        <v>365</v>
      </c>
      <c r="O52">
        <f t="shared" ca="1" si="8"/>
        <v>26</v>
      </c>
      <c r="P52" s="15">
        <f t="shared" ca="1" si="9"/>
        <v>25</v>
      </c>
      <c r="Q52" s="16">
        <f t="shared" ca="1" si="10"/>
        <v>5</v>
      </c>
    </row>
    <row r="53" spans="1:17" x14ac:dyDescent="0.35">
      <c r="A53" s="23">
        <f t="shared" si="11"/>
        <v>35</v>
      </c>
      <c r="B53" s="19">
        <f ca="1">EDATE($B$18,35)</f>
        <v>46260</v>
      </c>
      <c r="C53" s="19">
        <f t="shared" ca="1" si="5"/>
        <v>46260</v>
      </c>
      <c r="D53" s="23">
        <f t="shared" ca="1" si="15"/>
        <v>31</v>
      </c>
      <c r="E53" s="20">
        <f t="shared" si="16"/>
        <v>312500</v>
      </c>
      <c r="F53" s="20">
        <f>IF(AND(A52="",A54=""),"",IF(A53="",ROUND(SUM($F$19:F52),2),IF(A53=$D$8,$E$18-ROUND(SUM($F$19:F52),2),ROUND($E$18/$D$8,2))))</f>
        <v>12500</v>
      </c>
      <c r="G53" s="20">
        <f ca="1">IF(A52=$D$8,ROUND(SUM($G$19:G52),2),IF(A53&gt;$F$8,"",IF(N53&lt;&gt;N52,ROUND(SUM(P53*$F$9*E52/N53,Q53*$F$9*E52/N52),2),ROUND(E52*$F$9*D53/N52,2))))</f>
        <v>8278.06</v>
      </c>
      <c r="H53" s="20">
        <f ca="1">IF(A52=$D$8,SUM($H$19:H52),IF(A52&gt;$D$8,"",F53+G53))</f>
        <v>20778.059999999998</v>
      </c>
      <c r="I53" s="20" t="str">
        <f t="shared" si="14"/>
        <v/>
      </c>
      <c r="J53" s="20"/>
      <c r="K53" s="44" t="str">
        <f>IF(A52=$D$8,XIRR(H$18:H52,C$18:C52),"")</f>
        <v/>
      </c>
      <c r="L53" s="20" t="str">
        <f t="shared" si="4"/>
        <v/>
      </c>
      <c r="M53">
        <f t="shared" ca="1" si="6"/>
        <v>2026</v>
      </c>
      <c r="N53">
        <f t="shared" ca="1" si="7"/>
        <v>365</v>
      </c>
      <c r="O53">
        <f t="shared" ca="1" si="8"/>
        <v>26</v>
      </c>
      <c r="P53" s="15">
        <f t="shared" ca="1" si="9"/>
        <v>25</v>
      </c>
      <c r="Q53" s="16">
        <f t="shared" ca="1" si="10"/>
        <v>6</v>
      </c>
    </row>
    <row r="54" spans="1:17" x14ac:dyDescent="0.35">
      <c r="A54" s="23">
        <f t="shared" si="11"/>
        <v>36</v>
      </c>
      <c r="B54" s="19">
        <f ca="1">EDATE($B$18,36)</f>
        <v>46291</v>
      </c>
      <c r="C54" s="19">
        <f t="shared" ca="1" si="5"/>
        <v>46291</v>
      </c>
      <c r="D54" s="23">
        <f t="shared" ca="1" si="15"/>
        <v>31</v>
      </c>
      <c r="E54" s="20">
        <f t="shared" si="16"/>
        <v>300000</v>
      </c>
      <c r="F54" s="20">
        <f>IF(AND(A53="",A55=""),"",IF(A54="",ROUND(SUM($F$19:F53),2),IF(A54=$D$8,$E$18-ROUND(SUM($F$19:F53),2),ROUND($E$18/$D$8,2))))</f>
        <v>12500</v>
      </c>
      <c r="G54" s="20">
        <f ca="1">IF(A53=$D$8,ROUND(SUM($G$19:G53),2),IF(A54&gt;$F$8,"",IF(N54&lt;&gt;N53,ROUND(SUM(P54*$F$9*E53/N54,Q54*$F$9*E53/N53),2),ROUND(E53*$F$9*D54/N53,2))))</f>
        <v>7959.67</v>
      </c>
      <c r="H54" s="20">
        <f ca="1">IF(A53=$D$8,SUM($H$19:H53),IF(A53&gt;$D$8,"",F54+G54))</f>
        <v>20459.669999999998</v>
      </c>
      <c r="I54" s="20" t="str">
        <f t="shared" si="14"/>
        <v/>
      </c>
      <c r="J54" s="20"/>
      <c r="K54" s="44" t="str">
        <f>IF(A53=$D$8,XIRR(H$18:H53,C$18:C53),"")</f>
        <v/>
      </c>
      <c r="L54" s="20" t="str">
        <f t="shared" si="4"/>
        <v/>
      </c>
      <c r="M54">
        <f t="shared" ca="1" si="6"/>
        <v>2026</v>
      </c>
      <c r="N54">
        <f t="shared" ca="1" si="7"/>
        <v>365</v>
      </c>
      <c r="O54">
        <f t="shared" ca="1" si="8"/>
        <v>26</v>
      </c>
      <c r="P54" s="15">
        <f t="shared" ca="1" si="9"/>
        <v>25</v>
      </c>
      <c r="Q54" s="16">
        <f t="shared" ca="1" si="10"/>
        <v>6</v>
      </c>
    </row>
    <row r="55" spans="1:17" x14ac:dyDescent="0.35">
      <c r="A55" s="23">
        <f t="shared" si="11"/>
        <v>37</v>
      </c>
      <c r="B55" s="19">
        <f ca="1">EDATE($B$18,37)</f>
        <v>46321</v>
      </c>
      <c r="C55" s="19">
        <f t="shared" ca="1" si="5"/>
        <v>46321</v>
      </c>
      <c r="D55" s="23">
        <f t="shared" ca="1" si="15"/>
        <v>30</v>
      </c>
      <c r="E55" s="20">
        <f t="shared" si="16"/>
        <v>287500</v>
      </c>
      <c r="F55" s="20">
        <f>IF(AND(A54="",A56=""),"",IF(A55="",ROUND(SUM($F$19:F54),2),IF(A55=$D$8,$E$18-ROUND(SUM($F$19:F54),2),ROUND($E$18/$D$8,2))))</f>
        <v>12500</v>
      </c>
      <c r="G55" s="20">
        <f ca="1">IF(A54=$D$8,ROUND(SUM($G$19:G54),2),IF(A55&gt;$F$8,"",IF(N55&lt;&gt;N54,ROUND(SUM(P55*$F$9*E54/N55,Q55*$F$9*E54/N54),2),ROUND(E54*$F$9*D55/N54,2))))</f>
        <v>7394.79</v>
      </c>
      <c r="H55" s="20">
        <f ca="1">IF(A54=$D$8,SUM($H$19:H54),IF(A54&gt;$D$8,"",F55+G55))</f>
        <v>19894.79</v>
      </c>
      <c r="I55" s="20" t="str">
        <f t="shared" si="14"/>
        <v/>
      </c>
      <c r="J55" s="20"/>
      <c r="K55" s="44" t="str">
        <f>IF(A54=$D$8,XIRR(H$18:H54,C$18:C54),"")</f>
        <v/>
      </c>
      <c r="L55" s="20" t="str">
        <f t="shared" si="4"/>
        <v/>
      </c>
      <c r="M55">
        <f t="shared" ca="1" si="6"/>
        <v>2026</v>
      </c>
      <c r="N55">
        <f t="shared" ca="1" si="7"/>
        <v>365</v>
      </c>
      <c r="O55">
        <f t="shared" ca="1" si="8"/>
        <v>26</v>
      </c>
      <c r="P55" s="15">
        <f t="shared" ca="1" si="9"/>
        <v>25</v>
      </c>
      <c r="Q55" s="16">
        <f t="shared" ca="1" si="10"/>
        <v>5</v>
      </c>
    </row>
    <row r="56" spans="1:17" x14ac:dyDescent="0.35">
      <c r="A56" s="23">
        <f t="shared" si="11"/>
        <v>38</v>
      </c>
      <c r="B56" s="19">
        <f ca="1">EDATE($B$18,38)</f>
        <v>46352</v>
      </c>
      <c r="C56" s="19">
        <f t="shared" ca="1" si="5"/>
        <v>46352</v>
      </c>
      <c r="D56" s="23">
        <f t="shared" ca="1" si="15"/>
        <v>31</v>
      </c>
      <c r="E56" s="20">
        <f t="shared" si="16"/>
        <v>275000</v>
      </c>
      <c r="F56" s="20">
        <f>IF(AND(A55="",A57=""),"",IF(A56="",ROUND(SUM($F$19:F55),2),IF(A56=$D$8,$E$18-ROUND(SUM($F$19:F55),2),ROUND($E$18/$D$8,2))))</f>
        <v>12500</v>
      </c>
      <c r="G56" s="20">
        <f ca="1">IF(A55=$D$8,ROUND(SUM($G$19:G55),2),IF(A56&gt;$F$8,"",IF(N56&lt;&gt;N55,ROUND(SUM(P56*$F$9*E55/N56,Q56*$F$9*E55/N55),2),ROUND(E55*$F$9*D56/N55,2))))</f>
        <v>7322.9</v>
      </c>
      <c r="H56" s="20">
        <f ca="1">IF(A55=$D$8,SUM($H$19:H55),IF(A55&gt;$D$8,"",F56+G56))</f>
        <v>19822.900000000001</v>
      </c>
      <c r="I56" s="20" t="str">
        <f t="shared" si="14"/>
        <v/>
      </c>
      <c r="J56" s="20"/>
      <c r="K56" s="44" t="str">
        <f>IF(A55=$D$8,XIRR(H$18:H55,C$18:C55),"")</f>
        <v/>
      </c>
      <c r="L56" s="20" t="str">
        <f t="shared" si="4"/>
        <v/>
      </c>
      <c r="M56">
        <f t="shared" ca="1" si="6"/>
        <v>2026</v>
      </c>
      <c r="N56">
        <f t="shared" ca="1" si="7"/>
        <v>365</v>
      </c>
      <c r="O56">
        <f t="shared" ca="1" si="8"/>
        <v>26</v>
      </c>
      <c r="P56" s="15">
        <f t="shared" ca="1" si="9"/>
        <v>25</v>
      </c>
      <c r="Q56" s="16">
        <f t="shared" ca="1" si="10"/>
        <v>6</v>
      </c>
    </row>
    <row r="57" spans="1:17" x14ac:dyDescent="0.35">
      <c r="A57" s="23">
        <f t="shared" si="11"/>
        <v>39</v>
      </c>
      <c r="B57" s="19">
        <f ca="1">EDATE($B$18,39)</f>
        <v>46382</v>
      </c>
      <c r="C57" s="19">
        <f t="shared" ca="1" si="5"/>
        <v>46382</v>
      </c>
      <c r="D57" s="23">
        <f t="shared" ca="1" si="15"/>
        <v>30</v>
      </c>
      <c r="E57" s="20">
        <f t="shared" si="16"/>
        <v>262500</v>
      </c>
      <c r="F57" s="20">
        <f>IF(AND(A56="",A58=""),"",IF(A57="",ROUND(SUM($F$19:F56),2),IF(A57=$D$8,$E$18-ROUND(SUM($F$19:F56),2),ROUND($E$18/$D$8,2))))</f>
        <v>12500</v>
      </c>
      <c r="G57" s="20">
        <f ca="1">IF(A56=$D$8,ROUND(SUM($G$19:G56),2),IF(A57&gt;$F$8,"",IF(N57&lt;&gt;N56,ROUND(SUM(P57*$F$9*E56/N57,Q57*$F$9*E56/N56),2),ROUND(E56*$F$9*D57/N56,2))))</f>
        <v>6778.56</v>
      </c>
      <c r="H57" s="20">
        <f ca="1">IF(A56=$D$8,SUM($H$19:H56),IF(A56&gt;$D$8,"",F57+G57))</f>
        <v>19278.560000000001</v>
      </c>
      <c r="I57" s="20" t="str">
        <f t="shared" si="14"/>
        <v/>
      </c>
      <c r="J57" s="20"/>
      <c r="K57" s="44" t="str">
        <f>IF(A56=$D$8,XIRR(H$18:H56,C$18:C56),"")</f>
        <v/>
      </c>
      <c r="L57" s="20" t="str">
        <f t="shared" si="4"/>
        <v/>
      </c>
      <c r="M57">
        <f t="shared" ca="1" si="6"/>
        <v>2026</v>
      </c>
      <c r="N57">
        <f t="shared" ca="1" si="7"/>
        <v>365</v>
      </c>
      <c r="O57">
        <f t="shared" ca="1" si="8"/>
        <v>26</v>
      </c>
      <c r="P57" s="15">
        <f t="shared" ca="1" si="9"/>
        <v>25</v>
      </c>
      <c r="Q57" s="16">
        <f t="shared" ca="1" si="10"/>
        <v>5</v>
      </c>
    </row>
    <row r="58" spans="1:17" x14ac:dyDescent="0.35">
      <c r="A58" s="23">
        <f t="shared" si="11"/>
        <v>40</v>
      </c>
      <c r="B58" s="19">
        <f ca="1">EDATE($B$18,40)</f>
        <v>46413</v>
      </c>
      <c r="C58" s="19">
        <f t="shared" ca="1" si="5"/>
        <v>46413</v>
      </c>
      <c r="D58" s="23">
        <f t="shared" ca="1" si="15"/>
        <v>31</v>
      </c>
      <c r="E58" s="20">
        <f t="shared" si="16"/>
        <v>250000</v>
      </c>
      <c r="F58" s="20">
        <f>IF(AND(A57="",A59=""),"",IF(A58="",ROUND(SUM($F$19:F57),2),IF(A58=$D$8,$E$18-ROUND(SUM($F$19:F57),2),ROUND($E$18/$D$8,2))))</f>
        <v>12500</v>
      </c>
      <c r="G58" s="20">
        <f ca="1">IF(A57=$D$8,ROUND(SUM($G$19:G57),2),IF(A58&gt;$F$8,"",IF(N58&lt;&gt;N57,ROUND(SUM(P58*$F$9*E57/N58,Q58*$F$9*E57/N57),2),ROUND(E57*$F$9*D58/N57,2))))</f>
        <v>6686.13</v>
      </c>
      <c r="H58" s="20">
        <f ca="1">IF(A57=$D$8,SUM($H$19:H57),IF(A57&gt;$D$8,"",F58+G58))</f>
        <v>19186.13</v>
      </c>
      <c r="I58" s="20" t="str">
        <f t="shared" si="14"/>
        <v/>
      </c>
      <c r="J58" s="20"/>
      <c r="K58" s="44" t="str">
        <f>IF(A57=$D$8,XIRR(H$18:H57,C$18:C57),"")</f>
        <v/>
      </c>
      <c r="L58" s="20" t="str">
        <f t="shared" si="4"/>
        <v/>
      </c>
      <c r="M58">
        <f t="shared" ca="1" si="6"/>
        <v>2027</v>
      </c>
      <c r="N58">
        <f t="shared" ca="1" si="7"/>
        <v>365</v>
      </c>
      <c r="O58">
        <f t="shared" ca="1" si="8"/>
        <v>26</v>
      </c>
      <c r="P58" s="15">
        <f t="shared" ca="1" si="9"/>
        <v>25</v>
      </c>
      <c r="Q58" s="16">
        <f t="shared" ca="1" si="10"/>
        <v>6</v>
      </c>
    </row>
    <row r="59" spans="1:17" x14ac:dyDescent="0.35">
      <c r="A59" s="23">
        <f t="shared" si="11"/>
        <v>41</v>
      </c>
      <c r="B59" s="19">
        <f ca="1">EDATE($B$18,41)</f>
        <v>46444</v>
      </c>
      <c r="C59" s="19">
        <f t="shared" ca="1" si="5"/>
        <v>46444</v>
      </c>
      <c r="D59" s="23">
        <f t="shared" ca="1" si="15"/>
        <v>31</v>
      </c>
      <c r="E59" s="20">
        <f t="shared" si="16"/>
        <v>237500</v>
      </c>
      <c r="F59" s="20">
        <f>IF(AND(A58="",A60=""),"",IF(A59="",ROUND(SUM($F$19:F58),2),IF(A59=$D$8,$E$18-ROUND(SUM($F$19:F58),2),ROUND($E$18/$D$8,2))))</f>
        <v>12500</v>
      </c>
      <c r="G59" s="20">
        <f ca="1">IF(A58=$D$8,ROUND(SUM($G$19:G58),2),IF(A59&gt;$F$8,"",IF(N59&lt;&gt;N58,ROUND(SUM(P59*$F$9*E58/N59,Q59*$F$9*E58/N58),2),ROUND(E58*$F$9*D59/N58,2))))</f>
        <v>6367.74</v>
      </c>
      <c r="H59" s="20">
        <f ca="1">IF(A58=$D$8,SUM($H$19:H58),IF(A58&gt;$D$8,"",F59+G59))</f>
        <v>18867.739999999998</v>
      </c>
      <c r="I59" s="20" t="str">
        <f t="shared" si="14"/>
        <v/>
      </c>
      <c r="J59" s="20"/>
      <c r="K59" s="44" t="str">
        <f>IF(A58=$D$8,XIRR(H$18:H58,C$18:C58),"")</f>
        <v/>
      </c>
      <c r="L59" s="20" t="str">
        <f t="shared" si="4"/>
        <v/>
      </c>
      <c r="M59">
        <f t="shared" ca="1" si="6"/>
        <v>2027</v>
      </c>
      <c r="N59">
        <f t="shared" ca="1" si="7"/>
        <v>365</v>
      </c>
      <c r="O59">
        <f t="shared" ca="1" si="8"/>
        <v>26</v>
      </c>
      <c r="P59" s="15">
        <f t="shared" ca="1" si="9"/>
        <v>25</v>
      </c>
      <c r="Q59" s="16">
        <f t="shared" ca="1" si="10"/>
        <v>6</v>
      </c>
    </row>
    <row r="60" spans="1:17" x14ac:dyDescent="0.35">
      <c r="A60" s="23">
        <f t="shared" si="11"/>
        <v>42</v>
      </c>
      <c r="B60" s="19">
        <f ca="1">EDATE($B$18,42)</f>
        <v>46472</v>
      </c>
      <c r="C60" s="19">
        <f t="shared" ca="1" si="5"/>
        <v>46472</v>
      </c>
      <c r="D60" s="23">
        <f t="shared" ca="1" si="15"/>
        <v>28</v>
      </c>
      <c r="E60" s="20">
        <f t="shared" si="16"/>
        <v>225000</v>
      </c>
      <c r="F60" s="20">
        <f>IF(AND(A59="",A61=""),"",IF(A60="",ROUND(SUM($F$19:F59),2),IF(A60=$D$8,$E$18-ROUND(SUM($F$19:F59),2),ROUND($E$18/$D$8,2))))</f>
        <v>12500</v>
      </c>
      <c r="G60" s="20">
        <f ca="1">IF(A59=$D$8,ROUND(SUM($G$19:G59),2),IF(A60&gt;$F$8,"",IF(N60&lt;&gt;N59,ROUND(SUM(P60*$F$9*E59/N60,Q60*$F$9*E59/N59),2),ROUND(E59*$F$9*D60/N59,2))))</f>
        <v>5463.93</v>
      </c>
      <c r="H60" s="20">
        <f ca="1">IF(A59=$D$8,SUM($H$19:H59),IF(A59&gt;$D$8,"",F60+G60))</f>
        <v>17963.93</v>
      </c>
      <c r="I60" s="20" t="str">
        <f t="shared" si="14"/>
        <v/>
      </c>
      <c r="J60" s="20"/>
      <c r="K60" s="44" t="str">
        <f>IF(A59=$D$8,XIRR(H$18:H59,C$18:C59),"")</f>
        <v/>
      </c>
      <c r="L60" s="20" t="str">
        <f t="shared" si="4"/>
        <v/>
      </c>
      <c r="M60">
        <f t="shared" ca="1" si="6"/>
        <v>2027</v>
      </c>
      <c r="N60">
        <f t="shared" ca="1" si="7"/>
        <v>365</v>
      </c>
      <c r="O60">
        <f t="shared" ca="1" si="8"/>
        <v>26</v>
      </c>
      <c r="P60" s="15">
        <f t="shared" ca="1" si="9"/>
        <v>25</v>
      </c>
      <c r="Q60" s="16">
        <f t="shared" ca="1" si="10"/>
        <v>3</v>
      </c>
    </row>
    <row r="61" spans="1:17" x14ac:dyDescent="0.35">
      <c r="A61" s="23">
        <f t="shared" si="11"/>
        <v>43</v>
      </c>
      <c r="B61" s="19">
        <f ca="1">EDATE($B$18,43)</f>
        <v>46503</v>
      </c>
      <c r="C61" s="19">
        <f t="shared" ca="1" si="5"/>
        <v>46503</v>
      </c>
      <c r="D61" s="23">
        <f t="shared" ca="1" si="15"/>
        <v>31</v>
      </c>
      <c r="E61" s="20">
        <f t="shared" si="16"/>
        <v>212500</v>
      </c>
      <c r="F61" s="20">
        <f>IF(AND(A60="",A62=""),"",IF(A61="",ROUND(SUM($F$19:F60),2),IF(A61=$D$8,$E$18-ROUND(SUM($F$19:F60),2),ROUND($E$18/$D$8,2))))</f>
        <v>12500</v>
      </c>
      <c r="G61" s="20">
        <f ca="1">IF(A60=$D$8,ROUND(SUM($G$19:G60),2),IF(A61&gt;$F$8,"",IF(N61&lt;&gt;N60,ROUND(SUM(P61*$F$9*E60/N61,Q61*$F$9*E60/N60),2),ROUND(E60*$F$9*D61/N60,2))))</f>
        <v>5730.97</v>
      </c>
      <c r="H61" s="20">
        <f ca="1">IF(A60=$D$8,SUM($H$19:H60),IF(A60&gt;$D$8,"",F61+G61))</f>
        <v>18230.97</v>
      </c>
      <c r="I61" s="20" t="str">
        <f t="shared" si="14"/>
        <v/>
      </c>
      <c r="J61" s="20"/>
      <c r="K61" s="44" t="str">
        <f>IF(A60=$D$8,XIRR(H$18:H60,C$18:C60),"")</f>
        <v/>
      </c>
      <c r="L61" s="20" t="str">
        <f t="shared" si="4"/>
        <v/>
      </c>
      <c r="M61">
        <f t="shared" ca="1" si="6"/>
        <v>2027</v>
      </c>
      <c r="N61">
        <f t="shared" ca="1" si="7"/>
        <v>365</v>
      </c>
      <c r="O61">
        <f t="shared" ca="1" si="8"/>
        <v>26</v>
      </c>
      <c r="P61" s="15">
        <f t="shared" ca="1" si="9"/>
        <v>25</v>
      </c>
      <c r="Q61" s="16">
        <f t="shared" ca="1" si="10"/>
        <v>6</v>
      </c>
    </row>
    <row r="62" spans="1:17" x14ac:dyDescent="0.35">
      <c r="A62" s="23">
        <f t="shared" si="11"/>
        <v>44</v>
      </c>
      <c r="B62" s="19">
        <f ca="1">EDATE($B$18,44)</f>
        <v>46533</v>
      </c>
      <c r="C62" s="19">
        <f t="shared" ca="1" si="5"/>
        <v>46533</v>
      </c>
      <c r="D62" s="23">
        <f t="shared" ca="1" si="15"/>
        <v>30</v>
      </c>
      <c r="E62" s="20">
        <f t="shared" si="16"/>
        <v>200000</v>
      </c>
      <c r="F62" s="20">
        <f>IF(AND(A61="",A63=""),"",IF(A62="",ROUND(SUM($F$19:F61),2),IF(A62=$D$8,$E$18-ROUND(SUM($F$19:F61),2),ROUND($E$18/$D$8,2))))</f>
        <v>12500</v>
      </c>
      <c r="G62" s="20">
        <f ca="1">IF(A61=$D$8,ROUND(SUM($G$19:G61),2),IF(A62&gt;$F$8,"",IF(N62&lt;&gt;N61,ROUND(SUM(P62*$F$9*E61/N62,Q62*$F$9*E61/N61),2),ROUND(E61*$F$9*D62/N61,2))))</f>
        <v>5237.9799999999996</v>
      </c>
      <c r="H62" s="20">
        <f ca="1">IF(A61=$D$8,SUM($H$19:H61),IF(A61&gt;$D$8,"",F62+G62))</f>
        <v>17737.98</v>
      </c>
      <c r="I62" s="20" t="str">
        <f t="shared" si="14"/>
        <v/>
      </c>
      <c r="J62" s="20"/>
      <c r="K62" s="44" t="str">
        <f>IF(A61=$D$8,XIRR(H$18:H61,C$18:C61),"")</f>
        <v/>
      </c>
      <c r="L62" s="20" t="str">
        <f t="shared" si="4"/>
        <v/>
      </c>
      <c r="M62">
        <f t="shared" ca="1" si="6"/>
        <v>2027</v>
      </c>
      <c r="N62">
        <f t="shared" ca="1" si="7"/>
        <v>365</v>
      </c>
      <c r="O62">
        <f t="shared" ca="1" si="8"/>
        <v>26</v>
      </c>
      <c r="P62" s="15">
        <f t="shared" ca="1" si="9"/>
        <v>25</v>
      </c>
      <c r="Q62" s="16">
        <f t="shared" ca="1" si="10"/>
        <v>5</v>
      </c>
    </row>
    <row r="63" spans="1:17" x14ac:dyDescent="0.35">
      <c r="A63" s="23">
        <f t="shared" si="11"/>
        <v>45</v>
      </c>
      <c r="B63" s="19">
        <f ca="1">EDATE($B$18,45)</f>
        <v>46564</v>
      </c>
      <c r="C63" s="19">
        <f t="shared" ca="1" si="5"/>
        <v>46564</v>
      </c>
      <c r="D63" s="23">
        <f t="shared" ca="1" si="15"/>
        <v>31</v>
      </c>
      <c r="E63" s="20">
        <f t="shared" si="16"/>
        <v>187500</v>
      </c>
      <c r="F63" s="20">
        <f>IF(AND(A62="",A64=""),"",IF(A63="",ROUND(SUM($F$19:F62),2),IF(A63=$D$8,$E$18-ROUND(SUM($F$19:F62),2),ROUND($E$18/$D$8,2))))</f>
        <v>12500</v>
      </c>
      <c r="G63" s="20">
        <f ca="1">IF(A62=$D$8,ROUND(SUM($G$19:G62),2),IF(A63&gt;$F$8,"",IF(N63&lt;&gt;N62,ROUND(SUM(P63*$F$9*E62/N63,Q63*$F$9*E62/N62),2),ROUND(E62*$F$9*D63/N62,2))))</f>
        <v>5094.1899999999996</v>
      </c>
      <c r="H63" s="20">
        <f ca="1">IF(A62=$D$8,SUM($H$19:H62),IF(A62&gt;$D$8,"",F63+G63))</f>
        <v>17594.189999999999</v>
      </c>
      <c r="I63" s="20" t="str">
        <f t="shared" si="14"/>
        <v/>
      </c>
      <c r="J63" s="20"/>
      <c r="K63" s="44" t="str">
        <f>IF(A62=$D$8,XIRR(H$18:H62,C$18:C62),"")</f>
        <v/>
      </c>
      <c r="L63" s="20" t="str">
        <f t="shared" si="4"/>
        <v/>
      </c>
      <c r="M63">
        <f t="shared" ca="1" si="6"/>
        <v>2027</v>
      </c>
      <c r="N63">
        <f t="shared" ca="1" si="7"/>
        <v>365</v>
      </c>
      <c r="O63">
        <f t="shared" ca="1" si="8"/>
        <v>26</v>
      </c>
      <c r="P63" s="15">
        <f t="shared" ca="1" si="9"/>
        <v>25</v>
      </c>
      <c r="Q63" s="16">
        <f t="shared" ca="1" si="10"/>
        <v>6</v>
      </c>
    </row>
    <row r="64" spans="1:17" x14ac:dyDescent="0.35">
      <c r="A64" s="23">
        <f t="shared" si="11"/>
        <v>46</v>
      </c>
      <c r="B64" s="19">
        <f ca="1">EDATE($B$18,46)</f>
        <v>46594</v>
      </c>
      <c r="C64" s="19">
        <f t="shared" ca="1" si="5"/>
        <v>46594</v>
      </c>
      <c r="D64" s="23">
        <f t="shared" ca="1" si="15"/>
        <v>30</v>
      </c>
      <c r="E64" s="20">
        <f t="shared" si="16"/>
        <v>175000</v>
      </c>
      <c r="F64" s="20">
        <f>IF(AND(A63="",A65=""),"",IF(A64="",ROUND(SUM($F$19:F63),2),IF(A64=$D$8,$E$18-ROUND(SUM($F$19:F63),2),ROUND($E$18/$D$8,2))))</f>
        <v>12500</v>
      </c>
      <c r="G64" s="20">
        <f ca="1">IF(A63=$D$8,ROUND(SUM($G$19:G63),2),IF(A64&gt;$F$8,"",IF(N64&lt;&gt;N63,ROUND(SUM(P64*$F$9*E63/N64,Q64*$F$9*E63/N63),2),ROUND(E63*$F$9*D64/N63,2))))</f>
        <v>4621.75</v>
      </c>
      <c r="H64" s="20">
        <f ca="1">IF(A63=$D$8,SUM($H$19:H63),IF(A63&gt;$D$8,"",F64+G64))</f>
        <v>17121.75</v>
      </c>
      <c r="I64" s="20" t="str">
        <f t="shared" si="14"/>
        <v/>
      </c>
      <c r="J64" s="20"/>
      <c r="K64" s="44" t="str">
        <f>IF(A63=$D$8,XIRR(H$18:H63,C$18:C63),"")</f>
        <v/>
      </c>
      <c r="L64" s="20" t="str">
        <f t="shared" si="4"/>
        <v/>
      </c>
      <c r="M64">
        <f t="shared" ca="1" si="6"/>
        <v>2027</v>
      </c>
      <c r="N64">
        <f t="shared" ca="1" si="7"/>
        <v>365</v>
      </c>
      <c r="O64">
        <f t="shared" ca="1" si="8"/>
        <v>26</v>
      </c>
      <c r="P64" s="15">
        <f t="shared" ca="1" si="9"/>
        <v>25</v>
      </c>
      <c r="Q64" s="16">
        <f t="shared" ca="1" si="10"/>
        <v>5</v>
      </c>
    </row>
    <row r="65" spans="1:17" x14ac:dyDescent="0.35">
      <c r="A65" s="23">
        <f t="shared" si="11"/>
        <v>47</v>
      </c>
      <c r="B65" s="19">
        <f ca="1">EDATE($B$18,47)</f>
        <v>46625</v>
      </c>
      <c r="C65" s="19">
        <f t="shared" ca="1" si="5"/>
        <v>46625</v>
      </c>
      <c r="D65" s="23">
        <f t="shared" ca="1" si="15"/>
        <v>31</v>
      </c>
      <c r="E65" s="20">
        <f t="shared" si="16"/>
        <v>162500</v>
      </c>
      <c r="F65" s="20">
        <f>IF(AND(A64="",A66=""),"",IF(A65="",ROUND(SUM($F$19:F64),2),IF(A65=$D$8,$E$18-ROUND(SUM($F$19:F64),2),ROUND($E$18/$D$8,2))))</f>
        <v>12500</v>
      </c>
      <c r="G65" s="20">
        <f ca="1">IF(A64=$D$8,ROUND(SUM($G$19:G64),2),IF(A65&gt;$F$8,"",IF(N65&lt;&gt;N64,ROUND(SUM(P65*$F$9*E64/N65,Q65*$F$9*E64/N64),2),ROUND(E64*$F$9*D65/N64,2))))</f>
        <v>4457.42</v>
      </c>
      <c r="H65" s="20">
        <f ca="1">IF(A64=$D$8,SUM($H$19:H64),IF(A64&gt;$D$8,"",F65+G65))</f>
        <v>16957.419999999998</v>
      </c>
      <c r="I65" s="20" t="str">
        <f t="shared" si="14"/>
        <v/>
      </c>
      <c r="J65" s="20"/>
      <c r="K65" s="44" t="str">
        <f>IF(A64=$D$8,XIRR(H$18:H64,C$18:C64),"")</f>
        <v/>
      </c>
      <c r="L65" s="20" t="str">
        <f t="shared" si="4"/>
        <v/>
      </c>
      <c r="M65">
        <f t="shared" ca="1" si="6"/>
        <v>2027</v>
      </c>
      <c r="N65">
        <f t="shared" ca="1" si="7"/>
        <v>365</v>
      </c>
      <c r="O65">
        <f t="shared" ca="1" si="8"/>
        <v>26</v>
      </c>
      <c r="P65" s="15">
        <f t="shared" ca="1" si="9"/>
        <v>25</v>
      </c>
      <c r="Q65" s="16">
        <f t="shared" ca="1" si="10"/>
        <v>6</v>
      </c>
    </row>
    <row r="66" spans="1:17" x14ac:dyDescent="0.35">
      <c r="A66" s="23">
        <f t="shared" si="11"/>
        <v>48</v>
      </c>
      <c r="B66" s="19">
        <f ca="1">EDATE($B$18,48)</f>
        <v>46656</v>
      </c>
      <c r="C66" s="19">
        <f t="shared" ca="1" si="5"/>
        <v>46656</v>
      </c>
      <c r="D66" s="23">
        <f t="shared" ca="1" si="15"/>
        <v>31</v>
      </c>
      <c r="E66" s="20">
        <f t="shared" si="16"/>
        <v>150000</v>
      </c>
      <c r="F66" s="20">
        <f>IF(AND(A65="",A67=""),"",IF(A66="",ROUND(SUM($F$19:F65),2),IF(A66=$D$8,$E$18-ROUND(SUM($F$19:F65),2),ROUND($E$18/$D$8,2))))</f>
        <v>12500</v>
      </c>
      <c r="G66" s="20">
        <f ca="1">IF(A65=$D$8,ROUND(SUM($G$19:G65),2),IF(A66&gt;$F$8,"",IF(N66&lt;&gt;N65,ROUND(SUM(P66*$F$9*E65/N66,Q66*$F$9*E65/N65),2),ROUND(E65*$F$9*D66/N65,2))))</f>
        <v>4139.03</v>
      </c>
      <c r="H66" s="20">
        <f ca="1">IF(A65=$D$8,SUM($H$19:H65),IF(A65&gt;$D$8,"",F66+G66))</f>
        <v>16639.03</v>
      </c>
      <c r="I66" s="20" t="str">
        <f t="shared" si="14"/>
        <v/>
      </c>
      <c r="J66" s="20"/>
      <c r="K66" s="44" t="str">
        <f>IF(A65=$D$8,XIRR(H$18:H65,C$18:C65),"")</f>
        <v/>
      </c>
      <c r="L66" s="20" t="str">
        <f t="shared" si="4"/>
        <v/>
      </c>
      <c r="M66">
        <f t="shared" ca="1" si="6"/>
        <v>2027</v>
      </c>
      <c r="N66">
        <f t="shared" ca="1" si="7"/>
        <v>365</v>
      </c>
      <c r="O66">
        <f t="shared" ca="1" si="8"/>
        <v>26</v>
      </c>
      <c r="P66" s="15">
        <f t="shared" ca="1" si="9"/>
        <v>25</v>
      </c>
      <c r="Q66" s="16">
        <f t="shared" ca="1" si="10"/>
        <v>6</v>
      </c>
    </row>
    <row r="67" spans="1:17" x14ac:dyDescent="0.35">
      <c r="A67" s="23">
        <f t="shared" si="11"/>
        <v>49</v>
      </c>
      <c r="B67" s="19">
        <f ca="1">EDATE($B$18,49)</f>
        <v>46686</v>
      </c>
      <c r="C67" s="19">
        <f t="shared" ca="1" si="5"/>
        <v>46686</v>
      </c>
      <c r="D67" s="23">
        <f t="shared" ca="1" si="15"/>
        <v>30</v>
      </c>
      <c r="E67" s="20">
        <f t="shared" si="16"/>
        <v>137500</v>
      </c>
      <c r="F67" s="20">
        <f>IF(AND(A66="",A68=""),"",IF(A67="",ROUND(SUM($F$19:F66),2),IF(A67=$D$8,$E$18-ROUND(SUM($F$19:F66),2),ROUND($E$18/$D$8,2))))</f>
        <v>12500</v>
      </c>
      <c r="G67" s="20">
        <f ca="1">IF(A66=$D$8,ROUND(SUM($G$19:G66),2),IF(A67&gt;$F$8,"",IF(N67&lt;&gt;N66,ROUND(SUM(P67*$F$9*E66/N67,Q67*$F$9*E66/N66),2),ROUND(E66*$F$9*D67/N66,2))))</f>
        <v>3697.4</v>
      </c>
      <c r="H67" s="20">
        <f ca="1">IF(A66=$D$8,SUM($H$19:H66),IF(A66&gt;$D$8,"",F67+G67))</f>
        <v>16197.4</v>
      </c>
      <c r="I67" s="20" t="str">
        <f t="shared" si="14"/>
        <v/>
      </c>
      <c r="J67" s="20"/>
      <c r="K67" s="44" t="str">
        <f>IF(A66=$D$8,XIRR(H$18:H66,C$18:C66),"")</f>
        <v/>
      </c>
      <c r="L67" s="20" t="str">
        <f t="shared" si="4"/>
        <v/>
      </c>
      <c r="M67">
        <f t="shared" ca="1" si="6"/>
        <v>2027</v>
      </c>
      <c r="N67">
        <f t="shared" ca="1" si="7"/>
        <v>365</v>
      </c>
      <c r="O67">
        <f t="shared" ca="1" si="8"/>
        <v>26</v>
      </c>
      <c r="P67" s="15">
        <f t="shared" ca="1" si="9"/>
        <v>25</v>
      </c>
      <c r="Q67" s="16">
        <f t="shared" ca="1" si="10"/>
        <v>5</v>
      </c>
    </row>
    <row r="68" spans="1:17" x14ac:dyDescent="0.35">
      <c r="A68" s="23">
        <f t="shared" si="11"/>
        <v>50</v>
      </c>
      <c r="B68" s="19">
        <f ca="1">EDATE($B$18,50)</f>
        <v>46717</v>
      </c>
      <c r="C68" s="19">
        <f t="shared" ca="1" si="5"/>
        <v>46717</v>
      </c>
      <c r="D68" s="23">
        <f t="shared" ca="1" si="15"/>
        <v>31</v>
      </c>
      <c r="E68" s="20">
        <f t="shared" si="16"/>
        <v>125000</v>
      </c>
      <c r="F68" s="20">
        <f>IF(AND(A67="",A69=""),"",IF(A68="",ROUND(SUM($F$19:F67),2),IF(A68=$D$8,$E$18-ROUND(SUM($F$19:F67),2),ROUND($E$18/$D$8,2))))</f>
        <v>12500</v>
      </c>
      <c r="G68" s="20">
        <f ca="1">IF(A67=$D$8,ROUND(SUM($G$19:G67),2),IF(A68&gt;$F$8,"",IF(N68&lt;&gt;N67,ROUND(SUM(P68*$F$9*E67/N68,Q68*$F$9*E67/N67),2),ROUND(E67*$F$9*D68/N67,2))))</f>
        <v>3502.26</v>
      </c>
      <c r="H68" s="20">
        <f ca="1">IF(A67=$D$8,SUM($H$19:H67),IF(A67&gt;$D$8,"",F68+G68))</f>
        <v>16002.26</v>
      </c>
      <c r="I68" s="20" t="str">
        <f t="shared" si="14"/>
        <v/>
      </c>
      <c r="J68" s="20"/>
      <c r="K68" s="44" t="str">
        <f>IF(A67=$D$8,XIRR(H$18:H67,C$18:C67),"")</f>
        <v/>
      </c>
      <c r="L68" s="20" t="str">
        <f t="shared" si="4"/>
        <v/>
      </c>
      <c r="M68">
        <f t="shared" ca="1" si="6"/>
        <v>2027</v>
      </c>
      <c r="N68">
        <f t="shared" ca="1" si="7"/>
        <v>365</v>
      </c>
      <c r="O68">
        <f t="shared" ca="1" si="8"/>
        <v>26</v>
      </c>
      <c r="P68" s="15">
        <f t="shared" ca="1" si="9"/>
        <v>25</v>
      </c>
      <c r="Q68" s="16">
        <f t="shared" ca="1" si="10"/>
        <v>6</v>
      </c>
    </row>
    <row r="69" spans="1:17" x14ac:dyDescent="0.35">
      <c r="A69" s="23">
        <f t="shared" si="11"/>
        <v>51</v>
      </c>
      <c r="B69" s="19">
        <f ca="1">EDATE($B$18,51)</f>
        <v>46747</v>
      </c>
      <c r="C69" s="19">
        <f t="shared" ca="1" si="5"/>
        <v>46747</v>
      </c>
      <c r="D69" s="23">
        <f t="shared" ca="1" si="15"/>
        <v>30</v>
      </c>
      <c r="E69" s="20">
        <f t="shared" si="16"/>
        <v>112500</v>
      </c>
      <c r="F69" s="20">
        <f>IF(AND(A68="",A70=""),"",IF(A69="",ROUND(SUM($F$19:F68),2),IF(A69=$D$8,$E$18-ROUND(SUM($F$19:F68),2),ROUND($E$18/$D$8,2))))</f>
        <v>12500</v>
      </c>
      <c r="G69" s="20">
        <f ca="1">IF(A68=$D$8,ROUND(SUM($G$19:G68),2),IF(A69&gt;$F$8,"",IF(N69&lt;&gt;N68,ROUND(SUM(P69*$F$9*E68/N69,Q69*$F$9*E68/N68),2),ROUND(E68*$F$9*D69/N68,2))))</f>
        <v>3081.16</v>
      </c>
      <c r="H69" s="20">
        <f ca="1">IF(A68=$D$8,SUM($H$19:H68),IF(A68&gt;$D$8,"",F69+G69))</f>
        <v>15581.16</v>
      </c>
      <c r="I69" s="20" t="str">
        <f t="shared" si="14"/>
        <v/>
      </c>
      <c r="J69" s="20"/>
      <c r="K69" s="44" t="str">
        <f>IF(A68=$D$8,XIRR(H$18:H68,C$18:C68),"")</f>
        <v/>
      </c>
      <c r="L69" s="20" t="str">
        <f t="shared" si="4"/>
        <v/>
      </c>
      <c r="M69">
        <f t="shared" ca="1" si="6"/>
        <v>2027</v>
      </c>
      <c r="N69">
        <f t="shared" ca="1" si="7"/>
        <v>365</v>
      </c>
      <c r="O69">
        <f t="shared" ca="1" si="8"/>
        <v>26</v>
      </c>
      <c r="P69" s="15">
        <f t="shared" ca="1" si="9"/>
        <v>25</v>
      </c>
      <c r="Q69" s="16">
        <f t="shared" ca="1" si="10"/>
        <v>5</v>
      </c>
    </row>
    <row r="70" spans="1:17" x14ac:dyDescent="0.35">
      <c r="A70" s="23">
        <f t="shared" si="11"/>
        <v>52</v>
      </c>
      <c r="B70" s="19">
        <f ca="1">EDATE($B$18,52)</f>
        <v>46778</v>
      </c>
      <c r="C70" s="19">
        <f t="shared" ca="1" si="5"/>
        <v>46778</v>
      </c>
      <c r="D70" s="23">
        <f t="shared" ca="1" si="15"/>
        <v>31</v>
      </c>
      <c r="E70" s="20">
        <f t="shared" si="16"/>
        <v>100000</v>
      </c>
      <c r="F70" s="20">
        <f>IF(AND(A69="",A71=""),"",IF(A70="",ROUND(SUM($F$19:F69),2),IF(A70=$D$8,$E$18-ROUND(SUM($F$19:F69),2),ROUND($E$18/$D$8,2))))</f>
        <v>12500</v>
      </c>
      <c r="G70" s="20">
        <f ca="1">IF(A69=$D$8,ROUND(SUM($G$19:G69),2),IF(A70&gt;$F$8,"",IF(N70&lt;&gt;N69,ROUND(SUM(P70*$F$9*E69/N70,Q70*$F$9*E69/N69),2),ROUND(E69*$F$9*D70/N69,2))))</f>
        <v>2859.17</v>
      </c>
      <c r="H70" s="20">
        <f ca="1">IF(A69=$D$8,SUM($H$19:H69),IF(A69&gt;$D$8,"",F70+G70))</f>
        <v>15359.17</v>
      </c>
      <c r="I70" s="20" t="str">
        <f t="shared" si="14"/>
        <v/>
      </c>
      <c r="J70" s="20"/>
      <c r="K70" s="44" t="str">
        <f>IF(A69=$D$8,XIRR(H$18:H69,C$18:C69),"")</f>
        <v/>
      </c>
      <c r="L70" s="20" t="str">
        <f t="shared" si="4"/>
        <v/>
      </c>
      <c r="M70">
        <f t="shared" ca="1" si="6"/>
        <v>2028</v>
      </c>
      <c r="N70">
        <f t="shared" ca="1" si="7"/>
        <v>366</v>
      </c>
      <c r="O70">
        <f t="shared" ca="1" si="8"/>
        <v>26</v>
      </c>
      <c r="P70" s="15">
        <f t="shared" ca="1" si="9"/>
        <v>25</v>
      </c>
      <c r="Q70" s="16">
        <f t="shared" ca="1" si="10"/>
        <v>6</v>
      </c>
    </row>
    <row r="71" spans="1:17" x14ac:dyDescent="0.35">
      <c r="A71" s="23">
        <f t="shared" si="11"/>
        <v>53</v>
      </c>
      <c r="B71" s="19">
        <f ca="1">EDATE($B$18,53)</f>
        <v>46809</v>
      </c>
      <c r="C71" s="19">
        <f t="shared" ca="1" si="5"/>
        <v>46809</v>
      </c>
      <c r="D71" s="23">
        <f t="shared" ca="1" si="15"/>
        <v>31</v>
      </c>
      <c r="E71" s="20">
        <f t="shared" si="16"/>
        <v>87500</v>
      </c>
      <c r="F71" s="20">
        <f>IF(AND(A70="",A72=""),"",IF(A71="",ROUND(SUM($F$19:F70),2),IF(A71=$D$8,$E$18-ROUND(SUM($F$19:F70),2),ROUND($E$18/$D$8,2))))</f>
        <v>12500</v>
      </c>
      <c r="G71" s="20">
        <f ca="1">IF(A70=$D$8,ROUND(SUM($G$19:G70),2),IF(A71&gt;$F$8,"",IF(N71&lt;&gt;N70,ROUND(SUM(P71*$F$9*E70/N71,Q71*$F$9*E70/N70),2),ROUND(E70*$F$9*D71/N70,2))))</f>
        <v>2540.14</v>
      </c>
      <c r="H71" s="20">
        <f ca="1">IF(A70=$D$8,SUM($H$19:H70),IF(A70&gt;$D$8,"",F71+G71))</f>
        <v>15040.14</v>
      </c>
      <c r="I71" s="20" t="str">
        <f t="shared" si="14"/>
        <v/>
      </c>
      <c r="J71" s="20"/>
      <c r="K71" s="44" t="str">
        <f>IF(A70=$D$8,XIRR(H$18:H70,C$18:C70),"")</f>
        <v/>
      </c>
      <c r="L71" s="20" t="str">
        <f t="shared" si="4"/>
        <v/>
      </c>
      <c r="M71">
        <f t="shared" ca="1" si="6"/>
        <v>2028</v>
      </c>
      <c r="N71">
        <f t="shared" ca="1" si="7"/>
        <v>366</v>
      </c>
      <c r="O71">
        <f t="shared" ca="1" si="8"/>
        <v>26</v>
      </c>
      <c r="P71" s="15">
        <f t="shared" ca="1" si="9"/>
        <v>25</v>
      </c>
      <c r="Q71" s="16">
        <f t="shared" ca="1" si="10"/>
        <v>6</v>
      </c>
    </row>
    <row r="72" spans="1:17" x14ac:dyDescent="0.35">
      <c r="A72" s="23">
        <f t="shared" si="11"/>
        <v>54</v>
      </c>
      <c r="B72" s="19">
        <f ca="1">EDATE($B$18,54)</f>
        <v>46838</v>
      </c>
      <c r="C72" s="19">
        <f t="shared" ca="1" si="5"/>
        <v>46838</v>
      </c>
      <c r="D72" s="23">
        <f t="shared" ca="1" si="15"/>
        <v>29</v>
      </c>
      <c r="E72" s="20">
        <f t="shared" si="16"/>
        <v>75000</v>
      </c>
      <c r="F72" s="20">
        <f>IF(AND(A71="",A73=""),"",IF(A72="",ROUND(SUM($F$19:F71),2),IF(A72=$D$8,$E$18-ROUND(SUM($F$19:F71),2),ROUND($E$18/$D$8,2))))</f>
        <v>12500</v>
      </c>
      <c r="G72" s="20">
        <f ca="1">IF(A71=$D$8,ROUND(SUM($G$19:G71),2),IF(A72&gt;$F$8,"",IF(N72&lt;&gt;N71,ROUND(SUM(P72*$F$9*E71/N72,Q72*$F$9*E71/N71),2),ROUND(E71*$F$9*D72/N71,2))))</f>
        <v>2079.2199999999998</v>
      </c>
      <c r="H72" s="20">
        <f ca="1">IF(A71=$D$8,SUM($H$19:H71),IF(A71&gt;$D$8,"",F72+G72))</f>
        <v>14579.22</v>
      </c>
      <c r="I72" s="20" t="str">
        <f t="shared" si="14"/>
        <v/>
      </c>
      <c r="J72" s="20"/>
      <c r="K72" s="44" t="str">
        <f>IF(A71=$D$8,XIRR(H$18:H71,C$18:C71),"")</f>
        <v/>
      </c>
      <c r="L72" s="20" t="str">
        <f t="shared" si="4"/>
        <v/>
      </c>
      <c r="M72">
        <f t="shared" ca="1" si="6"/>
        <v>2028</v>
      </c>
      <c r="N72">
        <f t="shared" ca="1" si="7"/>
        <v>366</v>
      </c>
      <c r="O72">
        <f t="shared" ca="1" si="8"/>
        <v>26</v>
      </c>
      <c r="P72" s="15">
        <f t="shared" ca="1" si="9"/>
        <v>25</v>
      </c>
      <c r="Q72" s="16">
        <f t="shared" ca="1" si="10"/>
        <v>4</v>
      </c>
    </row>
    <row r="73" spans="1:17" x14ac:dyDescent="0.35">
      <c r="A73" s="23">
        <f t="shared" si="11"/>
        <v>55</v>
      </c>
      <c r="B73" s="19">
        <f ca="1">EDATE($B$18,55)</f>
        <v>46869</v>
      </c>
      <c r="C73" s="19">
        <f t="shared" ca="1" si="5"/>
        <v>46869</v>
      </c>
      <c r="D73" s="23">
        <f t="shared" ca="1" si="15"/>
        <v>31</v>
      </c>
      <c r="E73" s="20">
        <f t="shared" si="16"/>
        <v>62500</v>
      </c>
      <c r="F73" s="20">
        <f>IF(AND(A72="",A74=""),"",IF(A73="",ROUND(SUM($F$19:F72),2),IF(A73=$D$8,$E$18-ROUND(SUM($F$19:F72),2),ROUND($E$18/$D$8,2))))</f>
        <v>12500</v>
      </c>
      <c r="G73" s="20">
        <f ca="1">IF(A72=$D$8,ROUND(SUM($G$19:G72),2),IF(A73&gt;$F$8,"",IF(N73&lt;&gt;N72,ROUND(SUM(P73*$F$9*E72/N73,Q73*$F$9*E72/N72),2),ROUND(E72*$F$9*D73/N72,2))))</f>
        <v>1905.1</v>
      </c>
      <c r="H73" s="20">
        <f ca="1">IF(A72=$D$8,SUM($H$19:H72),IF(A72&gt;$D$8,"",F73+G73))</f>
        <v>14405.1</v>
      </c>
      <c r="I73" s="20" t="str">
        <f t="shared" si="14"/>
        <v/>
      </c>
      <c r="J73" s="20"/>
      <c r="K73" s="44" t="str">
        <f>IF(A72=$D$8,XIRR(H$18:H72,C$18:C72),"")</f>
        <v/>
      </c>
      <c r="L73" s="20" t="str">
        <f t="shared" si="4"/>
        <v/>
      </c>
      <c r="M73">
        <f t="shared" ca="1" si="6"/>
        <v>2028</v>
      </c>
      <c r="N73">
        <f t="shared" ca="1" si="7"/>
        <v>366</v>
      </c>
      <c r="O73">
        <f t="shared" ca="1" si="8"/>
        <v>26</v>
      </c>
      <c r="P73" s="15">
        <f t="shared" ca="1" si="9"/>
        <v>25</v>
      </c>
      <c r="Q73" s="16">
        <f t="shared" ca="1" si="10"/>
        <v>6</v>
      </c>
    </row>
    <row r="74" spans="1:17" x14ac:dyDescent="0.35">
      <c r="A74" s="23">
        <f t="shared" si="11"/>
        <v>56</v>
      </c>
      <c r="B74" s="19">
        <f ca="1">EDATE($B$18,56)</f>
        <v>46899</v>
      </c>
      <c r="C74" s="19">
        <f t="shared" ca="1" si="5"/>
        <v>46899</v>
      </c>
      <c r="D74" s="23">
        <f t="shared" ca="1" si="15"/>
        <v>30</v>
      </c>
      <c r="E74" s="20">
        <f t="shared" si="16"/>
        <v>50000</v>
      </c>
      <c r="F74" s="20">
        <f>IF(AND(A73="",A75=""),"",IF(A74="",ROUND(SUM($F$19:F73),2),IF(A74=$D$8,$E$18-ROUND(SUM($F$19:F73),2),ROUND($E$18/$D$8,2))))</f>
        <v>12500</v>
      </c>
      <c r="G74" s="20">
        <f ca="1">IF(A73=$D$8,ROUND(SUM($G$19:G73),2),IF(A74&gt;$F$8,"",IF(N74&lt;&gt;N73,ROUND(SUM(P74*$F$9*E73/N74,Q74*$F$9*E73/N73),2),ROUND(E73*$F$9*D74/N73,2))))</f>
        <v>1536.37</v>
      </c>
      <c r="H74" s="20">
        <f ca="1">IF(A73=$D$8,SUM($H$19:H73),IF(A73&gt;$D$8,"",F74+G74))</f>
        <v>14036.369999999999</v>
      </c>
      <c r="I74" s="20" t="str">
        <f t="shared" si="14"/>
        <v/>
      </c>
      <c r="J74" s="20"/>
      <c r="K74" s="44" t="str">
        <f>IF(A73=$D$8,XIRR(H$18:H73,C$18:C73),"")</f>
        <v/>
      </c>
      <c r="L74" s="20" t="str">
        <f t="shared" si="4"/>
        <v/>
      </c>
      <c r="M74">
        <f t="shared" ca="1" si="6"/>
        <v>2028</v>
      </c>
      <c r="N74">
        <f t="shared" ca="1" si="7"/>
        <v>366</v>
      </c>
      <c r="O74">
        <f t="shared" ca="1" si="8"/>
        <v>26</v>
      </c>
      <c r="P74" s="15">
        <f t="shared" ca="1" si="9"/>
        <v>25</v>
      </c>
      <c r="Q74" s="16">
        <f t="shared" ca="1" si="10"/>
        <v>5</v>
      </c>
    </row>
    <row r="75" spans="1:17" x14ac:dyDescent="0.35">
      <c r="A75" s="23">
        <f t="shared" si="11"/>
        <v>57</v>
      </c>
      <c r="B75" s="19">
        <f ca="1">EDATE($B$18,57)</f>
        <v>46930</v>
      </c>
      <c r="C75" s="19">
        <f t="shared" ca="1" si="5"/>
        <v>46930</v>
      </c>
      <c r="D75" s="23">
        <f t="shared" ca="1" si="15"/>
        <v>31</v>
      </c>
      <c r="E75" s="20">
        <f t="shared" si="16"/>
        <v>37500</v>
      </c>
      <c r="F75" s="20">
        <f>IF(AND(A74="",A76=""),"",IF(A75="",ROUND(SUM($F$19:F74),2),IF(A75=$D$8,$E$18-ROUND(SUM($F$19:F74),2),ROUND($E$18/$D$8,2))))</f>
        <v>12500</v>
      </c>
      <c r="G75" s="20">
        <f ca="1">IF(A74=$D$8,ROUND(SUM($G$19:G74),2),IF(A75&gt;$F$8,"",IF(N75&lt;&gt;N74,ROUND(SUM(P75*$F$9*E74/N75,Q75*$F$9*E74/N74),2),ROUND(E74*$F$9*D75/N74,2))))</f>
        <v>1270.07</v>
      </c>
      <c r="H75" s="20">
        <f ca="1">IF(A74=$D$8,SUM($H$19:H74),IF(A74&gt;$D$8,"",F75+G75))</f>
        <v>13770.07</v>
      </c>
      <c r="I75" s="20" t="str">
        <f t="shared" si="14"/>
        <v/>
      </c>
      <c r="J75" s="20"/>
      <c r="K75" s="44" t="str">
        <f>IF(A74=$D$8,XIRR(H$18:H74,C$18:C74),"")</f>
        <v/>
      </c>
      <c r="L75" s="20" t="str">
        <f t="shared" si="4"/>
        <v/>
      </c>
      <c r="M75">
        <f t="shared" ca="1" si="6"/>
        <v>2028</v>
      </c>
      <c r="N75">
        <f t="shared" ca="1" si="7"/>
        <v>366</v>
      </c>
      <c r="O75">
        <f t="shared" ca="1" si="8"/>
        <v>26</v>
      </c>
      <c r="P75" s="15">
        <f t="shared" ca="1" si="9"/>
        <v>25</v>
      </c>
      <c r="Q75" s="16">
        <f t="shared" ca="1" si="10"/>
        <v>6</v>
      </c>
    </row>
    <row r="76" spans="1:17" x14ac:dyDescent="0.35">
      <c r="A76" s="23">
        <f t="shared" si="11"/>
        <v>58</v>
      </c>
      <c r="B76" s="19">
        <f ca="1">EDATE($B$18,58)</f>
        <v>46960</v>
      </c>
      <c r="C76" s="19">
        <f t="shared" ca="1" si="5"/>
        <v>46960</v>
      </c>
      <c r="D76" s="23">
        <f t="shared" ca="1" si="15"/>
        <v>30</v>
      </c>
      <c r="E76" s="20">
        <f t="shared" si="16"/>
        <v>25000</v>
      </c>
      <c r="F76" s="20">
        <f>IF(AND(A75="",A77=""),"",IF(A76="",ROUND(SUM($F$19:F75),2),IF(A76=$D$8,$E$18-ROUND(SUM($F$19:F75),2),ROUND($E$18/$D$8,2))))</f>
        <v>12500</v>
      </c>
      <c r="G76" s="20">
        <f ca="1">IF(A75=$D$8,ROUND(SUM($G$19:G75),2),IF(A76&gt;$F$8,"",IF(N76&lt;&gt;N75,ROUND(SUM(P76*$F$9*E75/N76,Q76*$F$9*E75/N75),2),ROUND(E75*$F$9*D76/N75,2))))</f>
        <v>921.82</v>
      </c>
      <c r="H76" s="20">
        <f ca="1">IF(A75=$D$8,SUM($H$19:H75),IF(A75&gt;$D$8,"",F76+G76))</f>
        <v>13421.82</v>
      </c>
      <c r="I76" s="20" t="str">
        <f t="shared" si="14"/>
        <v/>
      </c>
      <c r="J76" s="20"/>
      <c r="K76" s="44" t="str">
        <f>IF(A75=$D$8,XIRR(H$18:H75,C$18:C75),"")</f>
        <v/>
      </c>
      <c r="L76" s="20" t="str">
        <f t="shared" si="4"/>
        <v/>
      </c>
      <c r="M76">
        <f t="shared" ca="1" si="6"/>
        <v>2028</v>
      </c>
      <c r="N76">
        <f t="shared" ca="1" si="7"/>
        <v>366</v>
      </c>
      <c r="O76">
        <f t="shared" ca="1" si="8"/>
        <v>26</v>
      </c>
      <c r="P76" s="15">
        <f t="shared" ca="1" si="9"/>
        <v>25</v>
      </c>
      <c r="Q76" s="16">
        <f t="shared" ca="1" si="10"/>
        <v>5</v>
      </c>
    </row>
    <row r="77" spans="1:17" x14ac:dyDescent="0.35">
      <c r="A77" s="23">
        <f t="shared" si="11"/>
        <v>59</v>
      </c>
      <c r="B77" s="19">
        <f ca="1">EDATE($B$18,59)</f>
        <v>46991</v>
      </c>
      <c r="C77" s="19">
        <f t="shared" ca="1" si="5"/>
        <v>46991</v>
      </c>
      <c r="D77" s="23">
        <f t="shared" ca="1" si="15"/>
        <v>31</v>
      </c>
      <c r="E77" s="20">
        <f t="shared" si="16"/>
        <v>12500</v>
      </c>
      <c r="F77" s="20">
        <f>IF(AND(A76="",A78=""),"",IF(A77="",ROUND(SUM($F$19:F76),2),IF(A77=$D$8,$E$18-ROUND(SUM($F$19:F76),2),ROUND($E$18/$D$8,2))))</f>
        <v>12500</v>
      </c>
      <c r="G77" s="20">
        <f ca="1">IF(A76=$D$8,ROUND(SUM($G$19:G76),2),IF(A77&gt;$F$8,"",IF(N77&lt;&gt;N76,ROUND(SUM(P77*$F$9*E76/N77,Q77*$F$9*E76/N76),2),ROUND(E76*$F$9*D77/N76,2))))</f>
        <v>635.03</v>
      </c>
      <c r="H77" s="20">
        <f ca="1">IF(A76=$D$8,SUM($H$19:H76),IF(A76&gt;$D$8,"",F77+G77))</f>
        <v>13135.03</v>
      </c>
      <c r="I77" s="20" t="str">
        <f t="shared" si="14"/>
        <v/>
      </c>
      <c r="J77" s="20"/>
      <c r="K77" s="44" t="str">
        <f>IF(A76=$D$8,XIRR(H$18:H76,C$18:C76),"")</f>
        <v/>
      </c>
      <c r="L77" s="20" t="str">
        <f t="shared" si="4"/>
        <v/>
      </c>
      <c r="M77">
        <f t="shared" ca="1" si="6"/>
        <v>2028</v>
      </c>
      <c r="N77">
        <f t="shared" ca="1" si="7"/>
        <v>366</v>
      </c>
      <c r="O77">
        <f t="shared" ca="1" si="8"/>
        <v>26</v>
      </c>
      <c r="P77" s="15">
        <f t="shared" ca="1" si="9"/>
        <v>25</v>
      </c>
      <c r="Q77" s="16">
        <f t="shared" ca="1" si="10"/>
        <v>6</v>
      </c>
    </row>
    <row r="78" spans="1:17" x14ac:dyDescent="0.35">
      <c r="A78" s="23">
        <f t="shared" si="11"/>
        <v>60</v>
      </c>
      <c r="B78" s="19">
        <f ca="1">EDATE($B$18,60)</f>
        <v>47022</v>
      </c>
      <c r="C78" s="19">
        <f t="shared" ca="1" si="5"/>
        <v>47021</v>
      </c>
      <c r="D78" s="23">
        <f t="shared" ca="1" si="15"/>
        <v>30</v>
      </c>
      <c r="E78" s="20">
        <f t="shared" si="16"/>
        <v>0</v>
      </c>
      <c r="F78" s="20">
        <f>IF(AND(A77="",A79=""),"",IF(A78="",ROUND(SUM($F$19:F77),2),IF(A78=$D$8,$E$18-ROUND(SUM($F$19:F77),2),ROUND($E$18/$D$8,2))))</f>
        <v>12500</v>
      </c>
      <c r="G78" s="20">
        <f ca="1">IF(A77=$D$8,ROUND(SUM($G$19:G77),2),IF(A78&gt;$F$8,"",IF(N78&lt;&gt;N77,ROUND(SUM(P78*$F$9*E77/N78,Q78*$F$9*E77/N77),2),ROUND(E77*$F$9*D78/N77,2))))</f>
        <v>307.27</v>
      </c>
      <c r="H78" s="20">
        <f ca="1">IF(A77=$D$8,SUM($H$19:H77),IF(A77&gt;$D$8,"",F78+G78))</f>
        <v>12807.27</v>
      </c>
      <c r="I78" s="20" t="str">
        <f t="shared" si="14"/>
        <v/>
      </c>
      <c r="J78" s="20"/>
      <c r="K78" s="44" t="str">
        <f>IF(A77=$D$8,XIRR(H$18:H77,C$18:C77),"")</f>
        <v/>
      </c>
      <c r="L78" s="20" t="str">
        <f t="shared" si="4"/>
        <v/>
      </c>
      <c r="M78">
        <f t="shared" ca="1" si="6"/>
        <v>2028</v>
      </c>
      <c r="N78">
        <f t="shared" ca="1" si="7"/>
        <v>366</v>
      </c>
      <c r="O78">
        <f t="shared" ca="1" si="8"/>
        <v>25</v>
      </c>
      <c r="P78" s="15">
        <f t="shared" ca="1" si="9"/>
        <v>24</v>
      </c>
      <c r="Q78" s="16">
        <f t="shared" ca="1" si="10"/>
        <v>6</v>
      </c>
    </row>
    <row r="79" spans="1:17" x14ac:dyDescent="0.35">
      <c r="A79" s="23" t="str">
        <f t="shared" si="11"/>
        <v/>
      </c>
      <c r="B79" s="19">
        <f ca="1">EDATE($B$18,61)</f>
        <v>47052</v>
      </c>
      <c r="C79" s="19" t="str">
        <f t="shared" ca="1" si="5"/>
        <v xml:space="preserve"> </v>
      </c>
      <c r="D79" s="23" t="str">
        <f t="shared" si="15"/>
        <v/>
      </c>
      <c r="E79" s="20" t="str">
        <f t="shared" si="16"/>
        <v/>
      </c>
      <c r="F79" s="20">
        <f>IF(AND(A78="",A80=""),"",IF(A79="",ROUND(SUM($F$19:F78),2),IF(A79=$D$8,$E$18-ROUND(SUM($F$19:F78),2),ROUND($E$18/$D$8,2))))</f>
        <v>750000</v>
      </c>
      <c r="G79" s="20">
        <f ca="1">IF(A78=$D$8,SUM($G$19:G78),IF(A79&gt;$F$8,"",IF(N79&lt;&gt;N78,SUM(P79*$F$15*E78/N79,Q79*$F$15*E78/N78),E78*$F$15*D79/N78)))</f>
        <v>571464.49000000011</v>
      </c>
      <c r="H79" s="20">
        <f ca="1">IF(A78=$D$8,SUM($H$19:H78),IF(A78&gt;$D$8,"",F79+G79))</f>
        <v>1321464.49</v>
      </c>
      <c r="I79" s="20">
        <f t="shared" si="14"/>
        <v>0</v>
      </c>
      <c r="J79" s="20"/>
      <c r="K79" s="44">
        <f ca="1">IF(A78=$D$8,XIRR(H$18:H78,C$18:C78),"")</f>
        <v>0.34428817629814157</v>
      </c>
      <c r="L79" s="20">
        <f ca="1">IF(A78=$D$8,G79+$I$18+$J$18+F79,"")</f>
        <v>1321464.4900000002</v>
      </c>
      <c r="M79" t="e">
        <f t="shared" ca="1" si="6"/>
        <v>#VALUE!</v>
      </c>
      <c r="N79" t="e">
        <f t="shared" ca="1" si="7"/>
        <v>#VALUE!</v>
      </c>
      <c r="O79" t="e">
        <f t="shared" ca="1" si="8"/>
        <v>#VALUE!</v>
      </c>
      <c r="P79" s="15" t="e">
        <f t="shared" ca="1" si="9"/>
        <v>#VALUE!</v>
      </c>
      <c r="Q79" s="16" t="e">
        <f t="shared" ca="1" si="10"/>
        <v>#VALUE!</v>
      </c>
    </row>
    <row r="80" spans="1:17" x14ac:dyDescent="0.35">
      <c r="A80" s="23" t="str">
        <f t="shared" si="11"/>
        <v/>
      </c>
      <c r="B80" s="19">
        <f ca="1">EDATE($B$18,62)</f>
        <v>47083</v>
      </c>
      <c r="C80" s="19" t="str">
        <f t="shared" ca="1" si="5"/>
        <v xml:space="preserve"> </v>
      </c>
      <c r="D80" s="23" t="str">
        <f t="shared" si="15"/>
        <v/>
      </c>
      <c r="E80" s="20" t="str">
        <f t="shared" si="16"/>
        <v/>
      </c>
      <c r="F80" s="20" t="str">
        <f>IF(AND(A79="",A81=""),"",IF(A80="",ROUND(SUM($F$19:F79),2),IF(A80=$D$8,$E$18-ROUND(SUM($F$19:F79),2),ROUND($E$18/$D$8,2))))</f>
        <v/>
      </c>
      <c r="G80" s="20" t="str">
        <f>IF(A79=$D$8,SUM($G$19:G79),IF(A80&gt;$F$8,"",IF(N80&lt;&gt;N79,SUM(P80*$F$15*E79/N80,Q80*$F$15*E79/N79),E79*$F$15*D80/N79)))</f>
        <v/>
      </c>
      <c r="H80" s="20" t="str">
        <f>IF(A79=$D$8,SUM($H$19:H79),IF(A79&gt;$D$8,"",F80+G80))</f>
        <v/>
      </c>
      <c r="I80" s="20" t="str">
        <f t="shared" si="14"/>
        <v/>
      </c>
      <c r="J80" s="20"/>
      <c r="K80" s="44" t="str">
        <f>IF(A79=$D$8,XIRR(H$18:H79,C$18:C79),"")</f>
        <v/>
      </c>
      <c r="L80" s="20" t="str">
        <f t="shared" ref="L80:L83" si="17">IF(A79=$D$8,G80+I80+F80,"")</f>
        <v/>
      </c>
      <c r="M80" t="e">
        <f t="shared" ca="1" si="6"/>
        <v>#VALUE!</v>
      </c>
      <c r="N80" t="e">
        <f t="shared" ca="1" si="7"/>
        <v>#VALUE!</v>
      </c>
      <c r="O80" t="e">
        <f t="shared" ca="1" si="8"/>
        <v>#VALUE!</v>
      </c>
      <c r="P80" s="15" t="e">
        <f t="shared" ca="1" si="9"/>
        <v>#VALUE!</v>
      </c>
      <c r="Q80" s="16" t="e">
        <f t="shared" ca="1" si="10"/>
        <v>#VALUE!</v>
      </c>
    </row>
    <row r="81" spans="1:17" x14ac:dyDescent="0.35">
      <c r="A81" s="23" t="str">
        <f t="shared" si="11"/>
        <v/>
      </c>
      <c r="B81" s="19">
        <f ca="1">EDATE($B$18,63)</f>
        <v>47113</v>
      </c>
      <c r="C81" s="19" t="str">
        <f t="shared" ca="1" si="5"/>
        <v xml:space="preserve"> </v>
      </c>
      <c r="D81" s="23" t="str">
        <f t="shared" si="15"/>
        <v/>
      </c>
      <c r="E81" s="20" t="str">
        <f t="shared" si="16"/>
        <v/>
      </c>
      <c r="F81" s="20" t="str">
        <f>IF(AND(A80="",A82=""),"",IF(A81="",ROUND(SUM($F$19:F80),2),IF(A81=$D$8,$E$18-ROUND(SUM($F$19:F80),2),ROUND($E$18/$D$8,2))))</f>
        <v/>
      </c>
      <c r="G81" s="20" t="str">
        <f>IF(A80=$D$8,SUM($G$19:G80),IF(A81&gt;$F$8,"",IF(N81&lt;&gt;N80,SUM(P81*$F$15*E80/N81,Q81*$F$15*E80/N80),E80*$F$15*D81/N80)))</f>
        <v/>
      </c>
      <c r="H81" s="20" t="str">
        <f>IF(A80=$D$8,SUM($H$19:H80),IF(A80&gt;$D$8,"",F81+G81))</f>
        <v/>
      </c>
      <c r="I81" s="20" t="str">
        <f t="shared" si="14"/>
        <v/>
      </c>
      <c r="J81" s="20"/>
      <c r="K81" s="44" t="str">
        <f>IF(A80=$D$8,XIRR(H$18:H80,C$18:C80),"")</f>
        <v/>
      </c>
      <c r="L81" s="20" t="str">
        <f t="shared" si="17"/>
        <v/>
      </c>
      <c r="M81" t="e">
        <f t="shared" ca="1" si="6"/>
        <v>#VALUE!</v>
      </c>
      <c r="N81" t="e">
        <f t="shared" ca="1" si="7"/>
        <v>#VALUE!</v>
      </c>
      <c r="O81" t="e">
        <f t="shared" ca="1" si="8"/>
        <v>#VALUE!</v>
      </c>
      <c r="P81" s="15" t="e">
        <f t="shared" ca="1" si="9"/>
        <v>#VALUE!</v>
      </c>
      <c r="Q81" s="16" t="e">
        <f t="shared" ca="1" si="10"/>
        <v>#VALUE!</v>
      </c>
    </row>
    <row r="82" spans="1:17" x14ac:dyDescent="0.35">
      <c r="A82" s="23" t="str">
        <f t="shared" si="11"/>
        <v/>
      </c>
      <c r="B82" s="19">
        <f ca="1">EDATE($B$18,64)</f>
        <v>47144</v>
      </c>
      <c r="C82" s="19" t="str">
        <f t="shared" ca="1" si="5"/>
        <v xml:space="preserve"> </v>
      </c>
      <c r="D82" s="23" t="str">
        <f t="shared" si="15"/>
        <v/>
      </c>
      <c r="E82" s="20" t="str">
        <f t="shared" si="16"/>
        <v/>
      </c>
      <c r="F82" s="20" t="str">
        <f>IF(AND(A81="",A83=""),"",IF(A82="",ROUND(SUM($F$19:F81),2),IF(A82=$D$8,$E$18-ROUND(SUM($F$19:F81),2),ROUND($E$18/$D$8,2))))</f>
        <v/>
      </c>
      <c r="G82" s="20" t="str">
        <f>IF(A81=$D$8,SUM($G$19:G81),IF(A82&gt;$F$8,"",IF(N82&lt;&gt;N81,SUM(P82*$F$15*E81/N82,Q82*$F$15*E81/N81),E81*$F$15*D82/N81)))</f>
        <v/>
      </c>
      <c r="H82" s="20" t="str">
        <f>IF(A81=$D$8,SUM($H$19:H81),IF(A81&gt;$D$8,"",F82+G82))</f>
        <v/>
      </c>
      <c r="I82" s="20" t="str">
        <f t="shared" si="14"/>
        <v/>
      </c>
      <c r="J82" s="20"/>
      <c r="K82" s="44" t="str">
        <f>IF(A81=$D$8,XIRR(H$18:H81,C$18:C81),"")</f>
        <v/>
      </c>
      <c r="L82" s="20" t="str">
        <f t="shared" si="17"/>
        <v/>
      </c>
      <c r="M82" t="e">
        <f t="shared" ca="1" si="6"/>
        <v>#VALUE!</v>
      </c>
      <c r="N82" t="e">
        <f t="shared" ca="1" si="7"/>
        <v>#VALUE!</v>
      </c>
      <c r="O82" t="e">
        <f t="shared" ca="1" si="8"/>
        <v>#VALUE!</v>
      </c>
      <c r="P82" s="15" t="e">
        <f t="shared" ca="1" si="9"/>
        <v>#VALUE!</v>
      </c>
      <c r="Q82" s="16" t="e">
        <f t="shared" ca="1" si="10"/>
        <v>#VALUE!</v>
      </c>
    </row>
    <row r="83" spans="1:17" x14ac:dyDescent="0.35">
      <c r="A83" s="23" t="str">
        <f t="shared" si="11"/>
        <v/>
      </c>
      <c r="B83" s="19">
        <f ca="1">EDATE($B$18,65)</f>
        <v>47175</v>
      </c>
      <c r="C83" s="19" t="str">
        <f t="shared" ca="1" si="5"/>
        <v xml:space="preserve"> </v>
      </c>
      <c r="D83" s="23" t="str">
        <f t="shared" si="15"/>
        <v/>
      </c>
      <c r="E83" s="20" t="str">
        <f t="shared" si="16"/>
        <v/>
      </c>
      <c r="F83" s="20" t="str">
        <f>IF(AND(A82="",A84=""),"",IF(A83="",ROUND(SUM($F$19:F82),2),IF(A83=$D$8,$E$18-ROUND(SUM($F$19:F82),2),ROUND($E$18/$D$8,2))))</f>
        <v/>
      </c>
      <c r="G83" s="20" t="str">
        <f>IF(A82=$D$8,SUM($G$19:G82),IF(A83&gt;$F$8,"",IF(N83&lt;&gt;N82,SUM(P83*$F$15*E82/N83,Q83*$F$15*E82/N82),E82*$F$15*D83/N82)))</f>
        <v/>
      </c>
      <c r="H83" s="20" t="str">
        <f>IF(A82=$D$8,SUM($H$19:H82),IF(A82&gt;$D$8,"",F83+G83))</f>
        <v/>
      </c>
      <c r="I83" s="20" t="str">
        <f t="shared" si="14"/>
        <v/>
      </c>
      <c r="J83" s="20"/>
      <c r="K83" s="44" t="str">
        <f>IF(A82=$D$8,XIRR(H$18:H82,C$18:C82),"")</f>
        <v/>
      </c>
      <c r="L83" s="20" t="str">
        <f t="shared" si="17"/>
        <v/>
      </c>
      <c r="M83" t="e">
        <f t="shared" ca="1" si="6"/>
        <v>#VALUE!</v>
      </c>
      <c r="N83" t="e">
        <f t="shared" ca="1" si="7"/>
        <v>#VALUE!</v>
      </c>
      <c r="O83" t="e">
        <f t="shared" ca="1" si="8"/>
        <v>#VALUE!</v>
      </c>
      <c r="P83" s="15" t="e">
        <f t="shared" ca="1" si="9"/>
        <v>#VALUE!</v>
      </c>
      <c r="Q83" s="16" t="e">
        <f t="shared" ca="1" si="10"/>
        <v>#VALUE!</v>
      </c>
    </row>
    <row r="84" spans="1:17" x14ac:dyDescent="0.35">
      <c r="A84" s="23" t="str">
        <f t="shared" si="11"/>
        <v/>
      </c>
      <c r="B84" s="19">
        <f ca="1">EDATE($B$18,66)</f>
        <v>47203</v>
      </c>
      <c r="C84" s="19" t="str">
        <f t="shared" ref="C84:C101" ca="1" si="18">IF(B84=$D$10,B84-1,(IF(B84&gt;$D$10," ",B84)))</f>
        <v xml:space="preserve"> </v>
      </c>
      <c r="D84" s="23" t="str">
        <f t="shared" si="15"/>
        <v/>
      </c>
      <c r="E84" s="20" t="str">
        <f t="shared" si="16"/>
        <v/>
      </c>
      <c r="F84" s="20" t="str">
        <f>IF(AND(A83="",A85=""),"",IF(A84="",ROUND(SUM($F$19:F83),2),IF(A84=$D$8,$E$18-ROUND(SUM($F$19:F83),2),ROUND($E$18/$D$8,2))))</f>
        <v/>
      </c>
      <c r="G84" s="20" t="str">
        <f>IF(A83=$D$8,SUM($G$19:G83),IF(A84&gt;$F$8,"",IF(N84&lt;&gt;N83,SUM(P84*$F$15*E83/N84,Q84*$F$15*E83/N83),E83*$F$15*D84/N83)))</f>
        <v/>
      </c>
      <c r="H84" s="20" t="str">
        <f>IF(A83=$D$8,SUM($H$19:H83),IF(A83&gt;$D$8,"",F84+G84))</f>
        <v/>
      </c>
      <c r="I84" s="20" t="str">
        <f t="shared" si="14"/>
        <v/>
      </c>
      <c r="J84" s="20"/>
      <c r="K84" s="44" t="str">
        <f>IF(A83=$D$8,XIRR(H$18:H83,C$18:C83),"")</f>
        <v/>
      </c>
      <c r="L84" s="20" t="str">
        <f t="shared" ref="L84:L102" si="19">IF(A83=$D$8,G84+I84+F84,"")</f>
        <v/>
      </c>
      <c r="M84" t="e">
        <f t="shared" ref="M84:M102" ca="1" si="20">IF(C84="","",YEAR(C84))</f>
        <v>#VALUE!</v>
      </c>
      <c r="N84" t="e">
        <f t="shared" ref="N84:N102" ca="1" si="21">IF(OR(M84=2024,M84=2028,M84=2016,M84=2020),366,365)</f>
        <v>#VALUE!</v>
      </c>
      <c r="O84" t="e">
        <f t="shared" ref="O84:O102" ca="1" si="22">IF(C84="","",DAY(C84))</f>
        <v>#VALUE!</v>
      </c>
      <c r="P84" s="15" t="e">
        <f t="shared" ref="P84:P102" ca="1" si="23">O84-1</f>
        <v>#VALUE!</v>
      </c>
      <c r="Q84" s="16" t="e">
        <f t="shared" ref="Q84:Q102" ca="1" si="24">D84-P84</f>
        <v>#VALUE!</v>
      </c>
    </row>
    <row r="85" spans="1:17" x14ac:dyDescent="0.35">
      <c r="A85" s="23" t="str">
        <f t="shared" ref="A85:A103" si="25">IF(A84&lt;$D$8,A84+1,"")</f>
        <v/>
      </c>
      <c r="B85" s="19">
        <f ca="1">EDATE($B$18,67)</f>
        <v>47234</v>
      </c>
      <c r="C85" s="19" t="str">
        <f t="shared" ca="1" si="18"/>
        <v xml:space="preserve"> </v>
      </c>
      <c r="D85" s="23" t="str">
        <f t="shared" si="15"/>
        <v/>
      </c>
      <c r="E85" s="20" t="str">
        <f t="shared" si="16"/>
        <v/>
      </c>
      <c r="F85" s="20" t="str">
        <f>IF(AND(A84="",A86=""),"",IF(A85="",ROUND(SUM($F$19:F84),2),IF(A85=$D$8,$E$18-ROUND(SUM($F$19:F84),2),ROUND($E$18/$D$8,2))))</f>
        <v/>
      </c>
      <c r="G85" s="20" t="str">
        <f>IF(A84=$D$8,SUM($G$19:G84),IF(A85&gt;$F$8,"",IF(N85&lt;&gt;N84,SUM(P85*$F$15*E84/N85,Q85*$F$15*E84/N84),E84*$F$15*D85/N84)))</f>
        <v/>
      </c>
      <c r="H85" s="20" t="str">
        <f>IF(A84=$D$8,SUM($H$19:H84),IF(A84&gt;$D$8,"",F85+G85))</f>
        <v/>
      </c>
      <c r="I85" s="20" t="str">
        <f t="shared" si="14"/>
        <v/>
      </c>
      <c r="J85" s="20"/>
      <c r="K85" s="44" t="str">
        <f>IF(A84=$D$8,XIRR(H$18:H84,C$18:C84),"")</f>
        <v/>
      </c>
      <c r="L85" s="20" t="str">
        <f t="shared" si="19"/>
        <v/>
      </c>
      <c r="M85" t="e">
        <f t="shared" ca="1" si="20"/>
        <v>#VALUE!</v>
      </c>
      <c r="N85" t="e">
        <f t="shared" ca="1" si="21"/>
        <v>#VALUE!</v>
      </c>
      <c r="O85" t="e">
        <f t="shared" ca="1" si="22"/>
        <v>#VALUE!</v>
      </c>
      <c r="P85" s="15" t="e">
        <f t="shared" ca="1" si="23"/>
        <v>#VALUE!</v>
      </c>
      <c r="Q85" s="16" t="e">
        <f t="shared" ca="1" si="24"/>
        <v>#VALUE!</v>
      </c>
    </row>
    <row r="86" spans="1:17" x14ac:dyDescent="0.35">
      <c r="A86" s="23" t="str">
        <f t="shared" si="25"/>
        <v/>
      </c>
      <c r="B86" s="19">
        <f ca="1">EDATE($B$18,68)</f>
        <v>47264</v>
      </c>
      <c r="C86" s="19" t="str">
        <f t="shared" ca="1" si="18"/>
        <v xml:space="preserve"> </v>
      </c>
      <c r="D86" s="23" t="str">
        <f t="shared" si="15"/>
        <v/>
      </c>
      <c r="E86" s="20" t="str">
        <f t="shared" si="16"/>
        <v/>
      </c>
      <c r="F86" s="20" t="str">
        <f>IF(AND(A85="",A87=""),"",IF(A86="",ROUND(SUM($F$19:F85),2),IF(A86=$D$8,$E$18-ROUND(SUM($F$19:F85),2),ROUND($E$18/$D$8,2))))</f>
        <v/>
      </c>
      <c r="G86" s="20" t="str">
        <f>IF(A85=$D$8,SUM($G$19:G85),IF(A86&gt;$F$8,"",IF(N86&lt;&gt;N85,SUM(P86*$F$15*E85/N86,Q86*$F$15*E85/N85),E85*$F$15*D86/N85)))</f>
        <v/>
      </c>
      <c r="H86" s="20" t="str">
        <f>IF(A85=$D$8,SUM($H$19:H85),IF(A85&gt;$D$8,"",F86+G86))</f>
        <v/>
      </c>
      <c r="I86" s="20" t="str">
        <f t="shared" si="14"/>
        <v/>
      </c>
      <c r="J86" s="20"/>
      <c r="K86" s="44" t="str">
        <f>IF(A85=$D$8,XIRR(H$18:H85,C$18:C85),"")</f>
        <v/>
      </c>
      <c r="L86" s="20" t="str">
        <f t="shared" si="19"/>
        <v/>
      </c>
      <c r="M86" t="e">
        <f t="shared" ca="1" si="20"/>
        <v>#VALUE!</v>
      </c>
      <c r="N86" t="e">
        <f t="shared" ca="1" si="21"/>
        <v>#VALUE!</v>
      </c>
      <c r="O86" t="e">
        <f t="shared" ca="1" si="22"/>
        <v>#VALUE!</v>
      </c>
      <c r="P86" s="15" t="e">
        <f t="shared" ca="1" si="23"/>
        <v>#VALUE!</v>
      </c>
      <c r="Q86" s="16" t="e">
        <f t="shared" ca="1" si="24"/>
        <v>#VALUE!</v>
      </c>
    </row>
    <row r="87" spans="1:17" x14ac:dyDescent="0.35">
      <c r="A87" s="23" t="str">
        <f t="shared" si="25"/>
        <v/>
      </c>
      <c r="B87" s="19">
        <f ca="1">EDATE($B$18,69)</f>
        <v>47295</v>
      </c>
      <c r="C87" s="19" t="str">
        <f t="shared" ca="1" si="18"/>
        <v xml:space="preserve"> </v>
      </c>
      <c r="D87" s="23" t="str">
        <f t="shared" si="15"/>
        <v/>
      </c>
      <c r="E87" s="20" t="str">
        <f t="shared" si="16"/>
        <v/>
      </c>
      <c r="F87" s="20" t="str">
        <f>IF(AND(A86="",A88=""),"",IF(A87="",ROUND(SUM($F$19:F86),2),IF(A87=$D$8,$E$18-ROUND(SUM($F$19:F86),2),ROUND($E$18/$D$8,2))))</f>
        <v/>
      </c>
      <c r="G87" s="20" t="str">
        <f>IF(A86=$D$8,SUM($G$19:G86),IF(A87&gt;$F$8,"",IF(N87&lt;&gt;N86,SUM(P87*$F$15*E86/N87,Q87*$F$15*E86/N86),E86*$F$15*D87/N86)))</f>
        <v/>
      </c>
      <c r="H87" s="20" t="str">
        <f>IF(A86=$D$8,SUM($H$19:H86),IF(A86&gt;$D$8,"",F87+G87))</f>
        <v/>
      </c>
      <c r="I87" s="20" t="str">
        <f t="shared" si="14"/>
        <v/>
      </c>
      <c r="J87" s="20"/>
      <c r="K87" s="44" t="str">
        <f>IF(A86=$D$8,XIRR(H$18:H86,C$18:C86),"")</f>
        <v/>
      </c>
      <c r="L87" s="20" t="str">
        <f t="shared" si="19"/>
        <v/>
      </c>
      <c r="M87" t="e">
        <f t="shared" ca="1" si="20"/>
        <v>#VALUE!</v>
      </c>
      <c r="N87" t="e">
        <f t="shared" ca="1" si="21"/>
        <v>#VALUE!</v>
      </c>
      <c r="O87" t="e">
        <f t="shared" ca="1" si="22"/>
        <v>#VALUE!</v>
      </c>
      <c r="P87" s="15" t="e">
        <f t="shared" ca="1" si="23"/>
        <v>#VALUE!</v>
      </c>
      <c r="Q87" s="16" t="e">
        <f t="shared" ca="1" si="24"/>
        <v>#VALUE!</v>
      </c>
    </row>
    <row r="88" spans="1:17" x14ac:dyDescent="0.35">
      <c r="A88" s="23" t="str">
        <f t="shared" si="25"/>
        <v/>
      </c>
      <c r="B88" s="19">
        <f ca="1">EDATE($B$18,70)</f>
        <v>47325</v>
      </c>
      <c r="C88" s="19" t="str">
        <f t="shared" ca="1" si="18"/>
        <v xml:space="preserve"> </v>
      </c>
      <c r="D88" s="23" t="str">
        <f t="shared" si="15"/>
        <v/>
      </c>
      <c r="E88" s="20" t="str">
        <f t="shared" si="16"/>
        <v/>
      </c>
      <c r="F88" s="20" t="str">
        <f>IF(AND(A87="",A89=""),"",IF(A88="",ROUND(SUM($F$19:F87),2),IF(A88=$D$8,$E$18-ROUND(SUM($F$19:F87),2),ROUND($E$18/$D$8,2))))</f>
        <v/>
      </c>
      <c r="G88" s="20" t="str">
        <f>IF(A87=$D$8,SUM($G$19:G87),IF(A88&gt;$F$8,"",IF(N88&lt;&gt;N87,SUM(P88*$F$15*E87/N88,Q88*$F$15*E87/N87),E87*$F$15*D88/N87)))</f>
        <v/>
      </c>
      <c r="H88" s="20" t="str">
        <f>IF(A87=$D$8,SUM($H$19:H87),IF(A87&gt;$D$8,"",F88+G88))</f>
        <v/>
      </c>
      <c r="I88" s="20" t="str">
        <f t="shared" si="14"/>
        <v/>
      </c>
      <c r="J88" s="20"/>
      <c r="K88" s="44" t="str">
        <f>IF(A87=$D$8,XIRR(H$18:H87,C$18:C87),"")</f>
        <v/>
      </c>
      <c r="L88" s="20" t="str">
        <f t="shared" si="19"/>
        <v/>
      </c>
      <c r="M88" t="e">
        <f t="shared" ca="1" si="20"/>
        <v>#VALUE!</v>
      </c>
      <c r="N88" t="e">
        <f t="shared" ca="1" si="21"/>
        <v>#VALUE!</v>
      </c>
      <c r="O88" t="e">
        <f t="shared" ca="1" si="22"/>
        <v>#VALUE!</v>
      </c>
      <c r="P88" s="15" t="e">
        <f t="shared" ca="1" si="23"/>
        <v>#VALUE!</v>
      </c>
      <c r="Q88" s="16" t="e">
        <f t="shared" ca="1" si="24"/>
        <v>#VALUE!</v>
      </c>
    </row>
    <row r="89" spans="1:17" x14ac:dyDescent="0.35">
      <c r="A89" s="23" t="str">
        <f t="shared" si="25"/>
        <v/>
      </c>
      <c r="B89" s="19">
        <f ca="1">EDATE($B$18,71)</f>
        <v>47356</v>
      </c>
      <c r="C89" s="19" t="str">
        <f t="shared" ca="1" si="18"/>
        <v xml:space="preserve"> </v>
      </c>
      <c r="D89" s="23" t="str">
        <f t="shared" si="15"/>
        <v/>
      </c>
      <c r="E89" s="20" t="str">
        <f t="shared" si="16"/>
        <v/>
      </c>
      <c r="F89" s="20" t="str">
        <f>IF(AND(A88="",A90=""),"",IF(A89="",ROUND(SUM($F$19:F88),2),IF(A89=$D$8,$E$18-ROUND(SUM($F$19:F88),2),ROUND($E$18/$D$8,2))))</f>
        <v/>
      </c>
      <c r="G89" s="20" t="str">
        <f>IF(A88=$D$8,SUM($G$19:G88),IF(A89&gt;$F$8,"",IF(N89&lt;&gt;N88,SUM(P89*$F$15*E88/N89,Q89*$F$15*E88/N88),E88*$F$15*D89/N88)))</f>
        <v/>
      </c>
      <c r="H89" s="20" t="str">
        <f>IF(A88=$D$8,SUM($H$19:H88),IF(A88&gt;$D$8,"",F89+G89))</f>
        <v/>
      </c>
      <c r="I89" s="20" t="str">
        <f t="shared" si="14"/>
        <v/>
      </c>
      <c r="J89" s="20"/>
      <c r="K89" s="44" t="str">
        <f>IF(A88=$D$8,XIRR(H$18:H88,C$18:C88),"")</f>
        <v/>
      </c>
      <c r="L89" s="20" t="str">
        <f t="shared" si="19"/>
        <v/>
      </c>
      <c r="M89" t="e">
        <f t="shared" ca="1" si="20"/>
        <v>#VALUE!</v>
      </c>
      <c r="N89" t="e">
        <f t="shared" ca="1" si="21"/>
        <v>#VALUE!</v>
      </c>
      <c r="O89" t="e">
        <f t="shared" ca="1" si="22"/>
        <v>#VALUE!</v>
      </c>
      <c r="P89" s="15" t="e">
        <f t="shared" ca="1" si="23"/>
        <v>#VALUE!</v>
      </c>
      <c r="Q89" s="16" t="e">
        <f t="shared" ca="1" si="24"/>
        <v>#VALUE!</v>
      </c>
    </row>
    <row r="90" spans="1:17" x14ac:dyDescent="0.35">
      <c r="A90" s="23" t="str">
        <f t="shared" si="25"/>
        <v/>
      </c>
      <c r="B90" s="19">
        <f ca="1">EDATE($B$18,72)</f>
        <v>47387</v>
      </c>
      <c r="C90" s="19" t="str">
        <f t="shared" ca="1" si="18"/>
        <v xml:space="preserve"> </v>
      </c>
      <c r="D90" s="23" t="str">
        <f t="shared" si="15"/>
        <v/>
      </c>
      <c r="E90" s="20" t="str">
        <f t="shared" si="16"/>
        <v/>
      </c>
      <c r="F90" s="20" t="str">
        <f>IF(AND(A89="",A91=""),"",IF(A90="",ROUND(SUM($F$19:F89),2),IF(A90=$D$8,$E$18-ROUND(SUM($F$19:F89),2),ROUND($E$18/$D$8,2))))</f>
        <v/>
      </c>
      <c r="G90" s="20" t="str">
        <f>IF(A89=$D$8,SUM($G$19:G89),IF(A90&gt;$F$8,"",IF(N90&lt;&gt;N89,SUM(P90*$F$15*E89/N90,Q90*$F$15*E89/N89),E89*$F$15*D90/N89)))</f>
        <v/>
      </c>
      <c r="H90" s="20" t="str">
        <f>IF(A89=$D$8,SUM($H$19:H89),IF(A89&gt;$D$8,"",F90+G90))</f>
        <v/>
      </c>
      <c r="I90" s="20" t="str">
        <f t="shared" ref="I90:I103" si="26">IF(A89=$D$8,$I$18,"")</f>
        <v/>
      </c>
      <c r="J90" s="20"/>
      <c r="K90" s="44" t="str">
        <f>IF(A89=$D$8,XIRR(H$18:H89,C$18:C89),"")</f>
        <v/>
      </c>
      <c r="L90" s="20" t="str">
        <f t="shared" si="19"/>
        <v/>
      </c>
      <c r="M90" t="e">
        <f t="shared" ca="1" si="20"/>
        <v>#VALUE!</v>
      </c>
      <c r="N90" t="e">
        <f t="shared" ca="1" si="21"/>
        <v>#VALUE!</v>
      </c>
      <c r="O90" t="e">
        <f t="shared" ca="1" si="22"/>
        <v>#VALUE!</v>
      </c>
      <c r="P90" s="15" t="e">
        <f t="shared" ca="1" si="23"/>
        <v>#VALUE!</v>
      </c>
      <c r="Q90" s="16" t="e">
        <f t="shared" ca="1" si="24"/>
        <v>#VALUE!</v>
      </c>
    </row>
    <row r="91" spans="1:17" x14ac:dyDescent="0.35">
      <c r="A91" s="23" t="str">
        <f t="shared" si="25"/>
        <v/>
      </c>
      <c r="B91" s="19">
        <f ca="1">EDATE($B$18,73)</f>
        <v>47417</v>
      </c>
      <c r="C91" s="19" t="str">
        <f t="shared" ca="1" si="18"/>
        <v xml:space="preserve"> </v>
      </c>
      <c r="D91" s="23" t="str">
        <f t="shared" si="15"/>
        <v/>
      </c>
      <c r="E91" s="20" t="str">
        <f t="shared" si="16"/>
        <v/>
      </c>
      <c r="F91" s="20" t="str">
        <f>IF(AND(A90="",A92=""),"",IF(A91="",ROUND(SUM($F$19:F90),2),IF(A91=$D$8,$E$18-ROUND(SUM($F$19:F90),2),ROUND($E$18/$D$8,2))))</f>
        <v/>
      </c>
      <c r="G91" s="20" t="str">
        <f>IF(A90=$D$8,SUM($G$19:G90),IF(A91&gt;$F$8,"",IF(N91&lt;&gt;N90,SUM(P91*$F$15*E90/N91,Q91*$F$15*E90/N90),E90*$F$15*D91/N90)))</f>
        <v/>
      </c>
      <c r="H91" s="20" t="str">
        <f>IF(A90=$D$8,SUM($H$19:H90),IF(A90&gt;$D$8,"",F91+G91))</f>
        <v/>
      </c>
      <c r="I91" s="20" t="str">
        <f t="shared" si="26"/>
        <v/>
      </c>
      <c r="J91" s="20"/>
      <c r="K91" s="44" t="str">
        <f>IF(A90=$D$8,XIRR(H$18:H90,C$18:C90),"")</f>
        <v/>
      </c>
      <c r="L91" s="20" t="str">
        <f t="shared" si="19"/>
        <v/>
      </c>
      <c r="M91" t="e">
        <f t="shared" ca="1" si="20"/>
        <v>#VALUE!</v>
      </c>
      <c r="N91" t="e">
        <f t="shared" ca="1" si="21"/>
        <v>#VALUE!</v>
      </c>
      <c r="O91" t="e">
        <f t="shared" ca="1" si="22"/>
        <v>#VALUE!</v>
      </c>
      <c r="P91" s="15" t="e">
        <f t="shared" ca="1" si="23"/>
        <v>#VALUE!</v>
      </c>
      <c r="Q91" s="16" t="e">
        <f t="shared" ca="1" si="24"/>
        <v>#VALUE!</v>
      </c>
    </row>
    <row r="92" spans="1:17" x14ac:dyDescent="0.35">
      <c r="A92" s="23" t="str">
        <f t="shared" si="25"/>
        <v/>
      </c>
      <c r="B92" s="19">
        <f ca="1">EDATE($B$18,74)</f>
        <v>47448</v>
      </c>
      <c r="C92" s="19" t="str">
        <f t="shared" ca="1" si="18"/>
        <v xml:space="preserve"> </v>
      </c>
      <c r="D92" s="23" t="str">
        <f t="shared" si="15"/>
        <v/>
      </c>
      <c r="E92" s="20" t="str">
        <f t="shared" si="16"/>
        <v/>
      </c>
      <c r="F92" s="20" t="str">
        <f>IF(AND(A91="",A93=""),"",IF(A92="",ROUND(SUM($F$19:F91),2),IF(A92=$D$8,$E$18-ROUND(SUM($F$19:F91),2),ROUND($E$18/$D$8,2))))</f>
        <v/>
      </c>
      <c r="G92" s="20" t="str">
        <f>IF(A91=$D$8,SUM($G$19:G91),IF(A92&gt;$F$8,"",IF(N92&lt;&gt;N91,SUM(P92*$F$15*E91/N92,Q92*$F$15*E91/N91),E91*$F$15*D92/N91)))</f>
        <v/>
      </c>
      <c r="H92" s="20" t="str">
        <f>IF(A91=$D$8,SUM($H$19:H91),IF(A91&gt;$D$8,"",F92+G92))</f>
        <v/>
      </c>
      <c r="I92" s="20" t="str">
        <f t="shared" si="26"/>
        <v/>
      </c>
      <c r="J92" s="20"/>
      <c r="K92" s="44" t="str">
        <f>IF(A91=$D$8,XIRR(H$18:H91,C$18:C91),"")</f>
        <v/>
      </c>
      <c r="L92" s="20" t="str">
        <f t="shared" si="19"/>
        <v/>
      </c>
      <c r="M92" t="e">
        <f t="shared" ca="1" si="20"/>
        <v>#VALUE!</v>
      </c>
      <c r="N92" t="e">
        <f t="shared" ca="1" si="21"/>
        <v>#VALUE!</v>
      </c>
      <c r="O92" t="e">
        <f t="shared" ca="1" si="22"/>
        <v>#VALUE!</v>
      </c>
      <c r="P92" s="15" t="e">
        <f t="shared" ca="1" si="23"/>
        <v>#VALUE!</v>
      </c>
      <c r="Q92" s="16" t="e">
        <f t="shared" ca="1" si="24"/>
        <v>#VALUE!</v>
      </c>
    </row>
    <row r="93" spans="1:17" x14ac:dyDescent="0.35">
      <c r="A93" s="23" t="str">
        <f t="shared" si="25"/>
        <v/>
      </c>
      <c r="B93" s="19">
        <f ca="1">EDATE($B$18,75)</f>
        <v>47478</v>
      </c>
      <c r="C93" s="19" t="str">
        <f t="shared" ca="1" si="18"/>
        <v xml:space="preserve"> </v>
      </c>
      <c r="D93" s="23" t="str">
        <f t="shared" si="15"/>
        <v/>
      </c>
      <c r="E93" s="20" t="str">
        <f t="shared" si="16"/>
        <v/>
      </c>
      <c r="F93" s="20" t="str">
        <f>IF(AND(A92="",A94=""),"",IF(A93="",ROUND(SUM($F$19:F92),2),IF(A93=$D$8,$E$18-ROUND(SUM($F$19:F92),2),ROUND($E$18/$D$8,2))))</f>
        <v/>
      </c>
      <c r="G93" s="20" t="str">
        <f>IF(A92=$D$8,SUM($G$19:G92),IF(A93&gt;$F$8,"",IF(N93&lt;&gt;N92,SUM(P93*$F$15*E92/N93,Q93*$F$15*E92/N92),E92*$F$15*D93/N92)))</f>
        <v/>
      </c>
      <c r="H93" s="20" t="str">
        <f>IF(A92=$D$8,SUM($H$19:H92),IF(A92&gt;$D$8,"",F93+G93))</f>
        <v/>
      </c>
      <c r="I93" s="20" t="str">
        <f t="shared" si="26"/>
        <v/>
      </c>
      <c r="J93" s="20"/>
      <c r="K93" s="44" t="str">
        <f>IF(A92=$D$8,XIRR(H$18:H92,C$18:C92),"")</f>
        <v/>
      </c>
      <c r="L93" s="20" t="str">
        <f t="shared" si="19"/>
        <v/>
      </c>
      <c r="M93" t="e">
        <f t="shared" ca="1" si="20"/>
        <v>#VALUE!</v>
      </c>
      <c r="N93" t="e">
        <f t="shared" ca="1" si="21"/>
        <v>#VALUE!</v>
      </c>
      <c r="O93" t="e">
        <f t="shared" ca="1" si="22"/>
        <v>#VALUE!</v>
      </c>
      <c r="P93" s="15" t="e">
        <f t="shared" ca="1" si="23"/>
        <v>#VALUE!</v>
      </c>
      <c r="Q93" s="16" t="e">
        <f t="shared" ca="1" si="24"/>
        <v>#VALUE!</v>
      </c>
    </row>
    <row r="94" spans="1:17" x14ac:dyDescent="0.35">
      <c r="A94" s="23" t="str">
        <f t="shared" si="25"/>
        <v/>
      </c>
      <c r="B94" s="19">
        <f ca="1">EDATE($B$18,76)</f>
        <v>47509</v>
      </c>
      <c r="C94" s="19" t="str">
        <f t="shared" ca="1" si="18"/>
        <v xml:space="preserve"> </v>
      </c>
      <c r="D94" s="23" t="str">
        <f t="shared" si="15"/>
        <v/>
      </c>
      <c r="E94" s="20" t="str">
        <f t="shared" si="16"/>
        <v/>
      </c>
      <c r="F94" s="20" t="str">
        <f>IF(AND(A93="",A95=""),"",IF(A94="",ROUND(SUM($F$19:F93),2),IF(A94=$D$8,$E$18-ROUND(SUM($F$19:F93),2),ROUND($E$18/$D$8,2))))</f>
        <v/>
      </c>
      <c r="G94" s="20" t="str">
        <f>IF(A93=$D$8,SUM($G$19:G93),IF(A94&gt;$F$8,"",IF(N94&lt;&gt;N93,SUM(P94*$F$15*E93/N94,Q94*$F$15*E93/N93),E93*$F$15*D94/N93)))</f>
        <v/>
      </c>
      <c r="H94" s="20" t="str">
        <f>IF(A93=$D$8,SUM($H$19:H93),IF(A93&gt;$D$8,"",F94+G94))</f>
        <v/>
      </c>
      <c r="I94" s="20" t="str">
        <f t="shared" si="26"/>
        <v/>
      </c>
      <c r="J94" s="20"/>
      <c r="K94" s="44" t="str">
        <f>IF(A93=$D$8,XIRR(H$18:H93,C$18:C93),"")</f>
        <v/>
      </c>
      <c r="L94" s="20" t="str">
        <f t="shared" si="19"/>
        <v/>
      </c>
      <c r="M94" t="e">
        <f t="shared" ca="1" si="20"/>
        <v>#VALUE!</v>
      </c>
      <c r="N94" t="e">
        <f t="shared" ca="1" si="21"/>
        <v>#VALUE!</v>
      </c>
      <c r="O94" t="e">
        <f t="shared" ca="1" si="22"/>
        <v>#VALUE!</v>
      </c>
      <c r="P94" s="15" t="e">
        <f t="shared" ca="1" si="23"/>
        <v>#VALUE!</v>
      </c>
      <c r="Q94" s="16" t="e">
        <f t="shared" ca="1" si="24"/>
        <v>#VALUE!</v>
      </c>
    </row>
    <row r="95" spans="1:17" x14ac:dyDescent="0.35">
      <c r="A95" s="23" t="str">
        <f t="shared" si="25"/>
        <v/>
      </c>
      <c r="B95" s="19">
        <f ca="1">EDATE($B$18,77)</f>
        <v>47540</v>
      </c>
      <c r="C95" s="19" t="str">
        <f t="shared" ca="1" si="18"/>
        <v xml:space="preserve"> </v>
      </c>
      <c r="D95" s="23" t="str">
        <f t="shared" si="15"/>
        <v/>
      </c>
      <c r="E95" s="20" t="str">
        <f t="shared" si="16"/>
        <v/>
      </c>
      <c r="F95" s="20" t="str">
        <f>IF(AND(A94="",A96=""),"",IF(A95="",ROUND(SUM($F$19:F94),2),IF(A95=$D$8,$E$18-ROUND(SUM($F$19:F94),2),ROUND($E$18/$D$8,2))))</f>
        <v/>
      </c>
      <c r="G95" s="20" t="str">
        <f>IF(A94=$D$8,SUM($G$19:G94),IF(A95&gt;$F$8,"",IF(N95&lt;&gt;N94,SUM(P95*$F$15*E94/N95,Q95*$F$15*E94/N94),E94*$F$15*D95/N94)))</f>
        <v/>
      </c>
      <c r="H95" s="20" t="str">
        <f>IF(A94=$D$8,SUM($H$19:H94),IF(A94&gt;$D$8,"",F95+G95))</f>
        <v/>
      </c>
      <c r="I95" s="20" t="str">
        <f t="shared" si="26"/>
        <v/>
      </c>
      <c r="J95" s="20"/>
      <c r="K95" s="44" t="str">
        <f>IF(A94=$D$8,XIRR(H$18:H94,C$18:C94),"")</f>
        <v/>
      </c>
      <c r="L95" s="20" t="str">
        <f t="shared" si="19"/>
        <v/>
      </c>
      <c r="M95" t="e">
        <f t="shared" ca="1" si="20"/>
        <v>#VALUE!</v>
      </c>
      <c r="N95" t="e">
        <f t="shared" ca="1" si="21"/>
        <v>#VALUE!</v>
      </c>
      <c r="O95" t="e">
        <f t="shared" ca="1" si="22"/>
        <v>#VALUE!</v>
      </c>
      <c r="P95" s="15" t="e">
        <f t="shared" ca="1" si="23"/>
        <v>#VALUE!</v>
      </c>
      <c r="Q95" s="16" t="e">
        <f t="shared" ca="1" si="24"/>
        <v>#VALUE!</v>
      </c>
    </row>
    <row r="96" spans="1:17" x14ac:dyDescent="0.35">
      <c r="A96" s="23" t="str">
        <f t="shared" si="25"/>
        <v/>
      </c>
      <c r="B96" s="19">
        <f ca="1">EDATE($B$18,78)</f>
        <v>47568</v>
      </c>
      <c r="C96" s="19" t="str">
        <f t="shared" ca="1" si="18"/>
        <v xml:space="preserve"> </v>
      </c>
      <c r="D96" s="23" t="str">
        <f t="shared" ref="D96:D102" si="27">IF(A96&gt;$D$8,"",C96-C95)</f>
        <v/>
      </c>
      <c r="E96" s="20" t="str">
        <f t="shared" ref="E96:E102" si="28">IF(A96&gt;$D$8,"",E95-F96)</f>
        <v/>
      </c>
      <c r="F96" s="20" t="str">
        <f>IF(AND(A95="",A97=""),"",IF(A96="",ROUND(SUM($F$19:F95),2),IF(A96=$D$8,$E$18-ROUND(SUM($F$19:F95),2),ROUND($E$18/$D$8,2))))</f>
        <v/>
      </c>
      <c r="G96" s="20" t="str">
        <f>IF(A95=$D$8,SUM($G$19:G95),IF(A96&gt;$F$8,"",IF(N96&lt;&gt;N95,SUM(P96*$F$15*E95/N96,Q96*$F$15*E95/N95),E95*$F$15*D96/N95)))</f>
        <v/>
      </c>
      <c r="H96" s="20" t="str">
        <f>IF(A95=$D$8,SUM($H$19:H95),IF(A95&gt;$D$8,"",F96+G96))</f>
        <v/>
      </c>
      <c r="I96" s="20" t="str">
        <f t="shared" si="26"/>
        <v/>
      </c>
      <c r="J96" s="20"/>
      <c r="K96" s="44" t="str">
        <f>IF(A95=$D$8,XIRR(H$18:H95,C$18:C95),"")</f>
        <v/>
      </c>
      <c r="L96" s="20" t="str">
        <f t="shared" si="19"/>
        <v/>
      </c>
      <c r="M96" t="e">
        <f t="shared" ca="1" si="20"/>
        <v>#VALUE!</v>
      </c>
      <c r="N96" t="e">
        <f t="shared" ca="1" si="21"/>
        <v>#VALUE!</v>
      </c>
      <c r="O96" t="e">
        <f t="shared" ca="1" si="22"/>
        <v>#VALUE!</v>
      </c>
      <c r="P96" s="15" t="e">
        <f t="shared" ca="1" si="23"/>
        <v>#VALUE!</v>
      </c>
      <c r="Q96" s="16" t="e">
        <f t="shared" ca="1" si="24"/>
        <v>#VALUE!</v>
      </c>
    </row>
    <row r="97" spans="1:21" x14ac:dyDescent="0.35">
      <c r="A97" s="23" t="str">
        <f t="shared" si="25"/>
        <v/>
      </c>
      <c r="B97" s="19">
        <f ca="1">EDATE($B$18,79)</f>
        <v>47599</v>
      </c>
      <c r="C97" s="19" t="str">
        <f t="shared" ca="1" si="18"/>
        <v xml:space="preserve"> </v>
      </c>
      <c r="D97" s="23" t="str">
        <f t="shared" si="27"/>
        <v/>
      </c>
      <c r="E97" s="20" t="str">
        <f t="shared" si="28"/>
        <v/>
      </c>
      <c r="F97" s="20" t="str">
        <f>IF(AND(A96="",A98=""),"",IF(A97="",ROUND(SUM($F$19:F96),2),IF(A97=$D$8,$E$18-ROUND(SUM($F$19:F96),2),ROUND($E$18/$D$8,2))))</f>
        <v/>
      </c>
      <c r="G97" s="20" t="str">
        <f>IF(A96=$D$8,SUM($G$19:G96),IF(A97&gt;$F$8,"",IF(N97&lt;&gt;N96,SUM(P97*$F$15*E96/N97,Q97*$F$15*E96/N96),E96*$F$15*D97/N96)))</f>
        <v/>
      </c>
      <c r="H97" s="20" t="str">
        <f>IF(A96=$D$8,SUM($H$19:H96),IF(A96&gt;$D$8,"",F97+G97))</f>
        <v/>
      </c>
      <c r="I97" s="20" t="str">
        <f t="shared" si="26"/>
        <v/>
      </c>
      <c r="J97" s="20"/>
      <c r="K97" s="44" t="str">
        <f>IF(A96=$D$8,XIRR(H$18:H96,C$18:C96),"")</f>
        <v/>
      </c>
      <c r="L97" s="20" t="str">
        <f t="shared" si="19"/>
        <v/>
      </c>
      <c r="M97" t="e">
        <f t="shared" ca="1" si="20"/>
        <v>#VALUE!</v>
      </c>
      <c r="N97" t="e">
        <f t="shared" ca="1" si="21"/>
        <v>#VALUE!</v>
      </c>
      <c r="O97" t="e">
        <f t="shared" ca="1" si="22"/>
        <v>#VALUE!</v>
      </c>
      <c r="P97" s="15" t="e">
        <f t="shared" ca="1" si="23"/>
        <v>#VALUE!</v>
      </c>
      <c r="Q97" s="16" t="e">
        <f t="shared" ca="1" si="24"/>
        <v>#VALUE!</v>
      </c>
    </row>
    <row r="98" spans="1:21" x14ac:dyDescent="0.35">
      <c r="A98" s="23" t="str">
        <f t="shared" si="25"/>
        <v/>
      </c>
      <c r="B98" s="19">
        <f ca="1">EDATE($B$18,80)</f>
        <v>47629</v>
      </c>
      <c r="C98" s="19" t="str">
        <f t="shared" ca="1" si="18"/>
        <v xml:space="preserve"> </v>
      </c>
      <c r="D98" s="23" t="str">
        <f t="shared" si="27"/>
        <v/>
      </c>
      <c r="E98" s="20" t="str">
        <f t="shared" si="28"/>
        <v/>
      </c>
      <c r="F98" s="20" t="str">
        <f>IF(AND(A97="",A99=""),"",IF(A98="",ROUND(SUM($F$19:F97),2),IF(A98=$D$8,$E$18-ROUND(SUM($F$19:F97),2),ROUND($E$18/$D$8,2))))</f>
        <v/>
      </c>
      <c r="G98" s="20" t="str">
        <f>IF(A97=$D$8,SUM($G$19:G97),IF(A98&gt;$F$8,"",IF(N98&lt;&gt;N97,SUM(P98*$F$15*E97/N98,Q98*$F$15*E97/N97),E97*$F$15*D98/N97)))</f>
        <v/>
      </c>
      <c r="H98" s="20" t="str">
        <f>IF(A97=$D$8,SUM($H$19:H97),IF(A97&gt;$D$8,"",F98+G98))</f>
        <v/>
      </c>
      <c r="I98" s="20" t="str">
        <f t="shared" si="26"/>
        <v/>
      </c>
      <c r="J98" s="20"/>
      <c r="K98" s="44" t="str">
        <f>IF(A97=$D$8,XIRR(H$18:H97,C$18:C97),"")</f>
        <v/>
      </c>
      <c r="L98" s="20" t="str">
        <f t="shared" si="19"/>
        <v/>
      </c>
      <c r="M98" t="e">
        <f t="shared" ca="1" si="20"/>
        <v>#VALUE!</v>
      </c>
      <c r="N98" t="e">
        <f t="shared" ca="1" si="21"/>
        <v>#VALUE!</v>
      </c>
      <c r="O98" t="e">
        <f t="shared" ca="1" si="22"/>
        <v>#VALUE!</v>
      </c>
      <c r="P98" s="15" t="e">
        <f t="shared" ca="1" si="23"/>
        <v>#VALUE!</v>
      </c>
      <c r="Q98" s="16" t="e">
        <f t="shared" ca="1" si="24"/>
        <v>#VALUE!</v>
      </c>
    </row>
    <row r="99" spans="1:21" x14ac:dyDescent="0.35">
      <c r="A99" s="23" t="str">
        <f t="shared" si="25"/>
        <v/>
      </c>
      <c r="B99" s="19">
        <f ca="1">EDATE($B$18,81)</f>
        <v>47660</v>
      </c>
      <c r="C99" s="19" t="str">
        <f t="shared" ca="1" si="18"/>
        <v xml:space="preserve"> </v>
      </c>
      <c r="D99" s="23" t="str">
        <f t="shared" si="27"/>
        <v/>
      </c>
      <c r="E99" s="20" t="str">
        <f t="shared" si="28"/>
        <v/>
      </c>
      <c r="F99" s="20" t="str">
        <f>IF(AND(A98="",A100=""),"",IF(A99="",ROUND(SUM($F$19:F98),2),IF(A99=$D$8,$E$18-ROUND(SUM($F$19:F98),2),ROUND($E$18/$D$8,2))))</f>
        <v/>
      </c>
      <c r="G99" s="20" t="str">
        <f>IF(A98=$D$8,SUM($G$19:G98),IF(A99&gt;$F$8,"",IF(N99&lt;&gt;N98,SUM(P99*$F$15*E98/N99,Q99*$F$15*E98/N98),E98*$F$15*D99/N98)))</f>
        <v/>
      </c>
      <c r="H99" s="20" t="str">
        <f>IF(A98=$D$8,SUM($H$19:H98),IF(A98&gt;$D$8,"",F99+G99))</f>
        <v/>
      </c>
      <c r="I99" s="20" t="str">
        <f t="shared" si="26"/>
        <v/>
      </c>
      <c r="J99" s="20"/>
      <c r="K99" s="44" t="str">
        <f>IF(A98=$D$8,XIRR(H$18:H98,C$18:C98),"")</f>
        <v/>
      </c>
      <c r="L99" s="20" t="str">
        <f t="shared" si="19"/>
        <v/>
      </c>
      <c r="M99" t="e">
        <f t="shared" ca="1" si="20"/>
        <v>#VALUE!</v>
      </c>
      <c r="N99" t="e">
        <f t="shared" ca="1" si="21"/>
        <v>#VALUE!</v>
      </c>
      <c r="O99" t="e">
        <f t="shared" ca="1" si="22"/>
        <v>#VALUE!</v>
      </c>
      <c r="P99" s="15" t="e">
        <f t="shared" ca="1" si="23"/>
        <v>#VALUE!</v>
      </c>
      <c r="Q99" s="16" t="e">
        <f t="shared" ca="1" si="24"/>
        <v>#VALUE!</v>
      </c>
    </row>
    <row r="100" spans="1:21" x14ac:dyDescent="0.35">
      <c r="A100" s="23" t="str">
        <f t="shared" si="25"/>
        <v/>
      </c>
      <c r="B100" s="19">
        <f ca="1">EDATE($B$18,82)</f>
        <v>47690</v>
      </c>
      <c r="C100" s="19" t="str">
        <f t="shared" ca="1" si="18"/>
        <v xml:space="preserve"> </v>
      </c>
      <c r="D100" s="23" t="str">
        <f t="shared" si="27"/>
        <v/>
      </c>
      <c r="E100" s="20" t="str">
        <f t="shared" si="28"/>
        <v/>
      </c>
      <c r="F100" s="20" t="str">
        <f>IF(AND(A99="",A101=""),"",IF(A100="",ROUND(SUM($F$19:F99),2),IF(A100=$D$8,$E$18-ROUND(SUM($F$19:F99),2),ROUND($E$18/$D$8,2))))</f>
        <v/>
      </c>
      <c r="G100" s="20" t="str">
        <f>IF(A99=$D$8,SUM($G$19:G99),IF(A100&gt;$F$8,"",IF(N100&lt;&gt;N99,SUM(P100*$F$15*E99/N100,Q100*$F$15*E99/N99),E99*$F$15*D100/N99)))</f>
        <v/>
      </c>
      <c r="H100" s="20" t="str">
        <f>IF(A99=$D$8,SUM($H$19:H99),IF(A99&gt;$D$8,"",F100+G100))</f>
        <v/>
      </c>
      <c r="I100" s="20" t="str">
        <f t="shared" si="26"/>
        <v/>
      </c>
      <c r="J100" s="20"/>
      <c r="K100" s="44" t="str">
        <f>IF(A99=$D$8,XIRR(H$18:H99,C$18:C99),"")</f>
        <v/>
      </c>
      <c r="L100" s="20" t="str">
        <f t="shared" si="19"/>
        <v/>
      </c>
      <c r="M100" t="e">
        <f t="shared" ca="1" si="20"/>
        <v>#VALUE!</v>
      </c>
      <c r="N100" t="e">
        <f t="shared" ca="1" si="21"/>
        <v>#VALUE!</v>
      </c>
      <c r="O100" t="e">
        <f t="shared" ca="1" si="22"/>
        <v>#VALUE!</v>
      </c>
      <c r="P100" s="15" t="e">
        <f t="shared" ca="1" si="23"/>
        <v>#VALUE!</v>
      </c>
      <c r="Q100" s="16" t="e">
        <f t="shared" ca="1" si="24"/>
        <v>#VALUE!</v>
      </c>
    </row>
    <row r="101" spans="1:21" x14ac:dyDescent="0.35">
      <c r="A101" s="23" t="str">
        <f t="shared" si="25"/>
        <v/>
      </c>
      <c r="B101" s="19">
        <f ca="1">EDATE($B$18,83)</f>
        <v>47721</v>
      </c>
      <c r="C101" s="19" t="str">
        <f t="shared" ca="1" si="18"/>
        <v xml:space="preserve"> </v>
      </c>
      <c r="D101" s="23" t="str">
        <f t="shared" si="27"/>
        <v/>
      </c>
      <c r="E101" s="20" t="str">
        <f t="shared" si="28"/>
        <v/>
      </c>
      <c r="F101" s="20" t="str">
        <f>IF(AND(A100="",A102=""),"",IF(A101="",ROUND(SUM($F$19:F100),2),IF(A101=$D$8,$E$18-ROUND(SUM($F$19:F100),2),ROUND($E$18/$D$8,2))))</f>
        <v/>
      </c>
      <c r="G101" s="20" t="str">
        <f>IF(A100=$D$8,SUM($G$19:G100),IF(A101&gt;$F$8,"",IF(N101&lt;&gt;N100,SUM(P101*$F$15*E100/N101,Q101*$F$15*E100/N100),E100*$F$15*D101/N100)))</f>
        <v/>
      </c>
      <c r="H101" s="20" t="str">
        <f>IF(A100=$D$8,SUM($H$19:H100),IF(A100&gt;$D$8,"",F101+G101))</f>
        <v/>
      </c>
      <c r="I101" s="20" t="str">
        <f t="shared" si="26"/>
        <v/>
      </c>
      <c r="J101" s="20"/>
      <c r="K101" s="44" t="str">
        <f>IF(A100=$D$8,XIRR(H$18:H100,C$18:C100),"")</f>
        <v/>
      </c>
      <c r="L101" s="20" t="str">
        <f t="shared" si="19"/>
        <v/>
      </c>
      <c r="M101" t="e">
        <f t="shared" ca="1" si="20"/>
        <v>#VALUE!</v>
      </c>
      <c r="N101" t="e">
        <f t="shared" ca="1" si="21"/>
        <v>#VALUE!</v>
      </c>
      <c r="O101" t="e">
        <f t="shared" ca="1" si="22"/>
        <v>#VALUE!</v>
      </c>
      <c r="P101" s="15" t="e">
        <f t="shared" ca="1" si="23"/>
        <v>#VALUE!</v>
      </c>
      <c r="Q101" s="16" t="e">
        <f t="shared" ca="1" si="24"/>
        <v>#VALUE!</v>
      </c>
      <c r="U101" s="45"/>
    </row>
    <row r="102" spans="1:21" x14ac:dyDescent="0.35">
      <c r="A102" s="23" t="str">
        <f t="shared" si="25"/>
        <v/>
      </c>
      <c r="B102" s="19">
        <f ca="1">EDATE($B$18,84)</f>
        <v>47752</v>
      </c>
      <c r="C102" s="19" t="str">
        <f ca="1">IF(B102=$D$10,B102-1,(IF(B102&gt;$D$10," ",B102)))</f>
        <v xml:space="preserve"> </v>
      </c>
      <c r="D102" s="23" t="str">
        <f t="shared" si="27"/>
        <v/>
      </c>
      <c r="E102" s="20" t="str">
        <f t="shared" si="28"/>
        <v/>
      </c>
      <c r="F102" s="20" t="str">
        <f>IF(AND(A101="",A103=""),"",IF(A102="",ROUND(SUM($F$19:F101),2),IF(A102=$D$8,$E$18-ROUND(SUM($F$19:F101),2),ROUND($E$18/$D$8,2))))</f>
        <v/>
      </c>
      <c r="G102" s="20" t="str">
        <f>IF(A101=$D$8,SUM($G$19:G101),IF(A102&gt;$F$8,"",IF(N102&lt;&gt;N101,SUM(P102*$F$15*E101/N102,Q102*$F$15*E101/N101),E101*$F$15*D102/N101)))</f>
        <v/>
      </c>
      <c r="H102" s="20" t="str">
        <f>IF(A101=$D$8,SUM($H$19:H101),IF(A101&gt;$D$8,"",F102+G102))</f>
        <v/>
      </c>
      <c r="I102" s="20" t="str">
        <f t="shared" si="26"/>
        <v/>
      </c>
      <c r="J102" s="20"/>
      <c r="K102" s="44" t="str">
        <f>IF(A101=$D$8,XIRR(H$18:H101,C$18:C101),"")</f>
        <v/>
      </c>
      <c r="L102" s="20" t="str">
        <f t="shared" si="19"/>
        <v/>
      </c>
      <c r="M102" t="e">
        <f t="shared" ca="1" si="20"/>
        <v>#VALUE!</v>
      </c>
      <c r="N102" t="e">
        <f t="shared" ca="1" si="21"/>
        <v>#VALUE!</v>
      </c>
      <c r="O102" t="e">
        <f t="shared" ca="1" si="22"/>
        <v>#VALUE!</v>
      </c>
      <c r="P102" s="15" t="e">
        <f t="shared" ca="1" si="23"/>
        <v>#VALUE!</v>
      </c>
      <c r="Q102" s="16" t="e">
        <f t="shared" ca="1" si="24"/>
        <v>#VALUE!</v>
      </c>
    </row>
    <row r="103" spans="1:21" x14ac:dyDescent="0.35">
      <c r="A103" s="23" t="str">
        <f t="shared" si="25"/>
        <v/>
      </c>
      <c r="C103" s="19"/>
      <c r="F103" s="20" t="str">
        <f>IF(AND(A102="",A104=""),"",IF(A103="",ROUND(SUM($F$19:F102),2),IF(A103=$D$8,$E$18-ROUND(SUM($F$19:F102),2),ROUND($E$18/$D$8,2))))</f>
        <v/>
      </c>
      <c r="G103" s="20" t="str">
        <f>IF(A102=$D$8,SUM($G$19:G102),IF(A103&gt;$F$8,"",IF(N103&lt;&gt;N102,SUM(P103*$F$15*E102/N103,Q103*$F$15*E102/N102),E102*$F$15*D103/N102)))</f>
        <v/>
      </c>
      <c r="H103" s="20" t="str">
        <f>IF(A102=$D$8,SUM($H$19:H102),IF(A102&gt;$D$8,"",F103+G103))</f>
        <v/>
      </c>
      <c r="I103" s="20" t="str">
        <f t="shared" si="26"/>
        <v/>
      </c>
      <c r="J103" s="20"/>
      <c r="K103" s="44" t="str">
        <f>IF(A102=$D$8,XIRR(H$18:H102,C$18:C102),"")</f>
        <v/>
      </c>
      <c r="L103" s="20" t="str">
        <f>IF(A102=$D$8,G103+I103+F103,"")</f>
        <v/>
      </c>
    </row>
    <row r="104" spans="1:21" x14ac:dyDescent="0.35">
      <c r="C104" s="19"/>
      <c r="K104" s="44"/>
    </row>
    <row r="105" spans="1:21" x14ac:dyDescent="0.35">
      <c r="C105" s="19"/>
      <c r="K105" s="44"/>
    </row>
    <row r="106" spans="1:21" x14ac:dyDescent="0.35">
      <c r="C106" s="19"/>
      <c r="K106" s="44"/>
    </row>
    <row r="107" spans="1:21" x14ac:dyDescent="0.35">
      <c r="C107" s="19"/>
    </row>
  </sheetData>
  <sheetProtection password="C455" sheet="1" objects="1" scenarios="1"/>
  <protectedRanges>
    <protectedRange password="C797" sqref="K4 A17:L114" name="Диапазон1"/>
  </protectedRanges>
  <mergeCells count="9">
    <mergeCell ref="D11:F11"/>
    <mergeCell ref="A1:L1"/>
    <mergeCell ref="H3:I3"/>
    <mergeCell ref="H4:I4"/>
    <mergeCell ref="H5:K5"/>
    <mergeCell ref="H6:I6"/>
    <mergeCell ref="H9:J9"/>
    <mergeCell ref="H8:J8"/>
    <mergeCell ref="H7:J7"/>
  </mergeCells>
  <dataValidations disablePrompts="1" count="2">
    <dataValidation type="list" allowBlank="1" showInputMessage="1" showErrorMessage="1" sqref="I12:J12" xr:uid="{00000000-0002-0000-0300-000000000000}">
      <formula1>$U$7:$U$8</formula1>
    </dataValidation>
    <dataValidation type="list" allowBlank="1" showInputMessage="1" showErrorMessage="1" sqref="L8" xr:uid="{00000000-0002-0000-0300-000001000000}">
      <formula1>$N$8:$N$9</formula1>
    </dataValidation>
  </dataValidations>
  <pageMargins left="0.7" right="0.7" top="0.75" bottom="0.75" header="0.3" footer="0.3"/>
  <ignoredErrors>
    <ignoredError sqref="F4:F6 D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62"/>
  <sheetViews>
    <sheetView zoomScale="60" zoomScaleNormal="60" workbookViewId="0"/>
  </sheetViews>
  <sheetFormatPr defaultColWidth="9.1796875" defaultRowHeight="14.5" x14ac:dyDescent="0.35"/>
  <cols>
    <col min="1" max="1" width="12.54296875" customWidth="1"/>
    <col min="2" max="2" width="10.453125" bestFit="1" customWidth="1"/>
    <col min="4" max="4" width="17.453125" customWidth="1"/>
    <col min="5" max="5" width="15" customWidth="1"/>
    <col min="6" max="6" width="17" customWidth="1"/>
    <col min="7" max="7" width="13.1796875" bestFit="1" customWidth="1"/>
    <col min="8" max="16" width="15" customWidth="1"/>
    <col min="17" max="17" width="11.81640625" customWidth="1"/>
    <col min="18" max="18" width="16.26953125" customWidth="1"/>
  </cols>
  <sheetData>
    <row r="1" spans="1:18" x14ac:dyDescent="0.35">
      <c r="A1" s="25"/>
    </row>
    <row r="2" spans="1:18" ht="33.75" customHeight="1" x14ac:dyDescent="0.35">
      <c r="A2" s="414" t="s">
        <v>508</v>
      </c>
      <c r="B2" s="414"/>
      <c r="C2" s="414"/>
      <c r="D2" s="414"/>
      <c r="E2" s="414"/>
      <c r="F2" s="414"/>
      <c r="G2" s="414"/>
      <c r="H2" s="414"/>
      <c r="I2" s="414"/>
      <c r="J2" s="414"/>
      <c r="K2" s="414"/>
      <c r="L2" s="414"/>
      <c r="M2" s="414"/>
      <c r="N2" s="414"/>
      <c r="O2" s="414"/>
      <c r="P2" s="414"/>
      <c r="Q2" s="414"/>
      <c r="R2" s="414"/>
    </row>
    <row r="3" spans="1:18" hidden="1" x14ac:dyDescent="0.35">
      <c r="A3" s="415" t="s">
        <v>84</v>
      </c>
      <c r="B3" s="415"/>
      <c r="C3" s="415"/>
      <c r="D3" s="415"/>
      <c r="E3" s="415"/>
      <c r="F3" s="28"/>
      <c r="G3" s="26"/>
      <c r="H3" s="26"/>
      <c r="I3" s="26"/>
      <c r="J3" s="26"/>
      <c r="K3" s="26"/>
      <c r="L3" s="26"/>
      <c r="M3" s="26"/>
      <c r="N3" s="26"/>
      <c r="O3" s="26"/>
      <c r="P3" s="26"/>
      <c r="Q3" s="27"/>
      <c r="R3" s="27"/>
    </row>
    <row r="4" spans="1:18" hidden="1" x14ac:dyDescent="0.35">
      <c r="A4" s="416" t="s">
        <v>85</v>
      </c>
      <c r="B4" s="417"/>
      <c r="C4" s="29"/>
      <c r="D4" s="29" t="s">
        <v>86</v>
      </c>
      <c r="E4" s="30" t="s">
        <v>87</v>
      </c>
      <c r="F4" s="30" t="s">
        <v>88</v>
      </c>
      <c r="G4" s="31"/>
      <c r="H4" s="31"/>
      <c r="I4" s="31"/>
      <c r="J4" s="31"/>
      <c r="K4" s="31"/>
      <c r="L4" s="31"/>
      <c r="M4" s="31"/>
      <c r="N4" s="31"/>
      <c r="O4" s="31"/>
      <c r="P4" s="31"/>
      <c r="Q4" s="27"/>
      <c r="R4" s="27"/>
    </row>
    <row r="5" spans="1:18" hidden="1" x14ac:dyDescent="0.35">
      <c r="A5" s="422" t="e">
        <f xml:space="preserve"> IF(#REF!&gt;60,графік!D11," ")</f>
        <v>#REF!</v>
      </c>
      <c r="B5" s="417"/>
      <c r="C5" s="29"/>
      <c r="D5" s="110" t="e">
        <f>IF(#REF!&gt;60,графік!F15," ")</f>
        <v>#REF!</v>
      </c>
      <c r="E5" s="111" t="e">
        <f>IF(#REF!&gt;60,графік!F13," ")</f>
        <v>#REF!</v>
      </c>
      <c r="F5" s="111" t="e">
        <f>IF(#REF!&gt;60,графік!F12," ")</f>
        <v>#REF!</v>
      </c>
      <c r="G5" s="31"/>
      <c r="H5" s="31"/>
      <c r="I5" s="31"/>
      <c r="J5" s="31"/>
      <c r="K5" s="31"/>
      <c r="L5" s="31"/>
      <c r="M5" s="31"/>
      <c r="N5" s="31"/>
      <c r="O5" s="31"/>
      <c r="P5" s="31"/>
      <c r="Q5" s="32"/>
      <c r="R5" s="32"/>
    </row>
    <row r="6" spans="1:18" hidden="1" x14ac:dyDescent="0.35">
      <c r="A6" s="33" t="s">
        <v>90</v>
      </c>
      <c r="B6" s="32"/>
      <c r="C6" s="32"/>
      <c r="D6" s="32"/>
      <c r="E6" s="32"/>
      <c r="F6" s="32"/>
      <c r="G6" s="34"/>
      <c r="H6" s="34"/>
      <c r="I6" s="34"/>
      <c r="J6" s="34"/>
      <c r="K6" s="34"/>
      <c r="L6" s="34"/>
      <c r="M6" s="34"/>
      <c r="N6" s="34"/>
      <c r="O6" s="34"/>
      <c r="P6" s="34"/>
      <c r="Q6" s="32"/>
      <c r="R6" s="32"/>
    </row>
    <row r="7" spans="1:18" hidden="1" x14ac:dyDescent="0.35">
      <c r="A7" s="35"/>
      <c r="B7" s="35"/>
      <c r="C7" s="35"/>
      <c r="D7" s="35"/>
      <c r="E7" s="35"/>
      <c r="F7" s="32"/>
      <c r="G7" s="36"/>
      <c r="H7" s="36"/>
      <c r="I7" s="36"/>
      <c r="J7" s="36"/>
      <c r="K7" s="36"/>
      <c r="L7" s="36"/>
      <c r="M7" s="36"/>
      <c r="N7" s="36"/>
      <c r="O7" s="36"/>
      <c r="P7" s="36"/>
      <c r="Q7" s="36"/>
      <c r="R7" s="36"/>
    </row>
    <row r="8" spans="1:18" x14ac:dyDescent="0.35">
      <c r="A8" s="37"/>
      <c r="B8" s="38"/>
      <c r="C8" s="38"/>
      <c r="D8" s="38"/>
      <c r="E8" s="38"/>
      <c r="F8" s="38"/>
      <c r="G8" s="38"/>
      <c r="H8" s="38"/>
      <c r="I8" s="38"/>
      <c r="J8" s="38"/>
      <c r="K8" s="38"/>
      <c r="L8" s="38"/>
      <c r="M8" s="38"/>
      <c r="N8" s="38"/>
      <c r="O8" s="38"/>
      <c r="P8" s="38"/>
      <c r="Q8" s="39"/>
      <c r="R8" s="39"/>
    </row>
    <row r="9" spans="1:18" ht="24" customHeight="1" x14ac:dyDescent="0.35">
      <c r="A9" s="418" t="str">
        <f>графік!A22</f>
        <v>№ з/п</v>
      </c>
      <c r="B9" s="419" t="str">
        <f>графік!C22</f>
        <v>Дата видачі кредиту/дата платежу</v>
      </c>
      <c r="C9" s="420" t="s">
        <v>503</v>
      </c>
      <c r="D9" s="421" t="str">
        <f>графік!F22</f>
        <v>Чиста сума кредиту/сума платежу за розрахунковий період, грн</v>
      </c>
      <c r="E9" s="423" t="str">
        <f>графік!G22</f>
        <v>Види платежів за кредитом</v>
      </c>
      <c r="F9" s="423"/>
      <c r="G9" s="423"/>
      <c r="H9" s="423"/>
      <c r="I9" s="423"/>
      <c r="J9" s="423"/>
      <c r="K9" s="423"/>
      <c r="L9" s="423"/>
      <c r="M9" s="423"/>
      <c r="N9" s="423"/>
      <c r="O9" s="423"/>
      <c r="P9" s="423"/>
      <c r="Q9" s="406" t="str">
        <f>графік!S22</f>
        <v>Реальна річна процентна ставка, %</v>
      </c>
      <c r="R9" s="403" t="str">
        <f>графік!T22</f>
        <v>Загальна вартість кредиту, грн</v>
      </c>
    </row>
    <row r="10" spans="1:18" ht="24" customHeight="1" x14ac:dyDescent="0.35">
      <c r="A10" s="418"/>
      <c r="B10" s="419"/>
      <c r="C10" s="420"/>
      <c r="D10" s="421"/>
      <c r="E10" s="403" t="str">
        <f>графік!G23</f>
        <v>Cума кредиту за договором/погашення суми кредиту</v>
      </c>
      <c r="F10" s="403" t="str">
        <f>графік!H23</f>
        <v>Проценти за користування кредитом</v>
      </c>
      <c r="G10" s="423" t="str">
        <f>графік!I23</f>
        <v>Платежі за супровідні послуги</v>
      </c>
      <c r="H10" s="423"/>
      <c r="I10" s="423"/>
      <c r="J10" s="423"/>
      <c r="K10" s="423"/>
      <c r="L10" s="423"/>
      <c r="M10" s="423"/>
      <c r="N10" s="423"/>
      <c r="O10" s="423"/>
      <c r="P10" s="423"/>
      <c r="Q10" s="406"/>
      <c r="R10" s="403"/>
    </row>
    <row r="11" spans="1:18" ht="24" customHeight="1" x14ac:dyDescent="0.35">
      <c r="A11" s="418"/>
      <c r="B11" s="419"/>
      <c r="C11" s="420"/>
      <c r="D11" s="421"/>
      <c r="E11" s="403"/>
      <c r="F11" s="403"/>
      <c r="G11" s="407" t="str">
        <f>графік!I24</f>
        <v>Банку</v>
      </c>
      <c r="H11" s="408"/>
      <c r="I11" s="408"/>
      <c r="J11" s="409"/>
      <c r="K11" s="407" t="str">
        <f>графік!M24</f>
        <v>Кредитного посередника (за наявності)</v>
      </c>
      <c r="L11" s="409"/>
      <c r="M11" s="407" t="str">
        <f>графік!O24</f>
        <v>Третіх осіб</v>
      </c>
      <c r="N11" s="408"/>
      <c r="O11" s="408"/>
      <c r="P11" s="409"/>
      <c r="Q11" s="406"/>
      <c r="R11" s="403"/>
    </row>
    <row r="12" spans="1:18" ht="24" customHeight="1" x14ac:dyDescent="0.35">
      <c r="A12" s="418"/>
      <c r="B12" s="419"/>
      <c r="C12" s="420"/>
      <c r="D12" s="421"/>
      <c r="E12" s="403"/>
      <c r="F12" s="403"/>
      <c r="G12" s="403" t="str">
        <f>графік!I25</f>
        <v>За обслуговування кредитної заборгованості</v>
      </c>
      <c r="H12" s="403" t="str">
        <f>графік!J25</f>
        <v>За розрахунково-касове обслуговування</v>
      </c>
      <c r="I12" s="403" t="str">
        <f>графік!K25</f>
        <v>Комісія за надання кредиту</v>
      </c>
      <c r="J12" s="410" t="str">
        <f>графік!L25</f>
        <v>Комісія за обслуговування пакету «Фамільний»</v>
      </c>
      <c r="K12" s="412" t="str">
        <f>графік!M25</f>
        <v>Комісійний збір</v>
      </c>
      <c r="L12" s="410" t="str">
        <f>графік!N25</f>
        <v>Інша плата за послуги кредитного посередника</v>
      </c>
      <c r="M12" s="403" t="str">
        <f>графік!O25</f>
        <v>Послуги нотаріуса</v>
      </c>
      <c r="N12" s="403" t="str">
        <f>графік!P25</f>
        <v>Послуги оцінювача</v>
      </c>
      <c r="O12" s="405" t="str">
        <f>графік!Q25</f>
        <v>Послуги страховика</v>
      </c>
      <c r="P12" s="403" t="str">
        <f>графік!R25</f>
        <v>Інші послуги третіх осіб</v>
      </c>
      <c r="Q12" s="406"/>
      <c r="R12" s="403"/>
    </row>
    <row r="13" spans="1:18" ht="15" customHeight="1" x14ac:dyDescent="0.35">
      <c r="A13" s="418"/>
      <c r="B13" s="419"/>
      <c r="C13" s="420"/>
      <c r="D13" s="421"/>
      <c r="E13" s="403"/>
      <c r="F13" s="403"/>
      <c r="G13" s="403"/>
      <c r="H13" s="403"/>
      <c r="I13" s="403"/>
      <c r="J13" s="411"/>
      <c r="K13" s="412"/>
      <c r="L13" s="411"/>
      <c r="M13" s="403"/>
      <c r="N13" s="403"/>
      <c r="O13" s="406"/>
      <c r="P13" s="403"/>
      <c r="Q13" s="406"/>
      <c r="R13" s="403"/>
    </row>
    <row r="14" spans="1:18" x14ac:dyDescent="0.35">
      <c r="A14" s="418"/>
      <c r="B14" s="419"/>
      <c r="C14" s="420"/>
      <c r="D14" s="421"/>
      <c r="E14" s="403"/>
      <c r="F14" s="403"/>
      <c r="G14" s="403"/>
      <c r="H14" s="403"/>
      <c r="I14" s="403"/>
      <c r="J14" s="411"/>
      <c r="K14" s="412"/>
      <c r="L14" s="411"/>
      <c r="M14" s="403"/>
      <c r="N14" s="403"/>
      <c r="O14" s="406"/>
      <c r="P14" s="403"/>
      <c r="Q14" s="406"/>
      <c r="R14" s="403"/>
    </row>
    <row r="15" spans="1:18" x14ac:dyDescent="0.35">
      <c r="A15" s="418"/>
      <c r="B15" s="419"/>
      <c r="C15" s="420"/>
      <c r="D15" s="421"/>
      <c r="E15" s="403"/>
      <c r="F15" s="403"/>
      <c r="G15" s="403"/>
      <c r="H15" s="403"/>
      <c r="I15" s="403"/>
      <c r="J15" s="411"/>
      <c r="K15" s="412"/>
      <c r="L15" s="411"/>
      <c r="M15" s="403"/>
      <c r="N15" s="403"/>
      <c r="O15" s="406"/>
      <c r="P15" s="403"/>
      <c r="Q15" s="406"/>
      <c r="R15" s="403"/>
    </row>
    <row r="16" spans="1:18" x14ac:dyDescent="0.35">
      <c r="A16" s="418"/>
      <c r="B16" s="419"/>
      <c r="C16" s="420"/>
      <c r="D16" s="421"/>
      <c r="E16" s="403"/>
      <c r="F16" s="403"/>
      <c r="G16" s="403"/>
      <c r="H16" s="403"/>
      <c r="I16" s="403"/>
      <c r="J16" s="411"/>
      <c r="K16" s="412"/>
      <c r="L16" s="411"/>
      <c r="M16" s="403"/>
      <c r="N16" s="403"/>
      <c r="O16" s="406"/>
      <c r="P16" s="403"/>
      <c r="Q16" s="406"/>
      <c r="R16" s="403"/>
    </row>
    <row r="17" spans="1:18" x14ac:dyDescent="0.35">
      <c r="A17" s="418"/>
      <c r="B17" s="419"/>
      <c r="C17" s="420"/>
      <c r="D17" s="421"/>
      <c r="E17" s="403"/>
      <c r="F17" s="403"/>
      <c r="G17" s="403"/>
      <c r="H17" s="403"/>
      <c r="I17" s="403"/>
      <c r="J17" s="411"/>
      <c r="K17" s="412"/>
      <c r="L17" s="411"/>
      <c r="M17" s="403"/>
      <c r="N17" s="403"/>
      <c r="O17" s="406"/>
      <c r="P17" s="403"/>
      <c r="Q17" s="406"/>
      <c r="R17" s="403"/>
    </row>
    <row r="18" spans="1:18" x14ac:dyDescent="0.35">
      <c r="A18" s="418"/>
      <c r="B18" s="419"/>
      <c r="C18" s="420"/>
      <c r="D18" s="421"/>
      <c r="E18" s="403"/>
      <c r="F18" s="403"/>
      <c r="G18" s="403"/>
      <c r="H18" s="403"/>
      <c r="I18" s="403"/>
      <c r="J18" s="411"/>
      <c r="K18" s="412"/>
      <c r="L18" s="411"/>
      <c r="M18" s="403"/>
      <c r="N18" s="403"/>
      <c r="O18" s="406"/>
      <c r="P18" s="403"/>
      <c r="Q18" s="406"/>
      <c r="R18" s="403"/>
    </row>
    <row r="19" spans="1:18" ht="15" thickBot="1" x14ac:dyDescent="0.4">
      <c r="A19" s="418"/>
      <c r="B19" s="419"/>
      <c r="C19" s="420"/>
      <c r="D19" s="421"/>
      <c r="E19" s="404"/>
      <c r="F19" s="404"/>
      <c r="G19" s="404"/>
      <c r="H19" s="404"/>
      <c r="I19" s="404"/>
      <c r="J19" s="411"/>
      <c r="K19" s="413"/>
      <c r="L19" s="411"/>
      <c r="M19" s="404"/>
      <c r="N19" s="404"/>
      <c r="O19" s="406"/>
      <c r="P19" s="404"/>
      <c r="Q19" s="406"/>
      <c r="R19" s="404"/>
    </row>
    <row r="20" spans="1:18" ht="15" thickBot="1" x14ac:dyDescent="0.4">
      <c r="A20" s="195">
        <v>1</v>
      </c>
      <c r="B20" s="196">
        <v>2</v>
      </c>
      <c r="C20" s="196">
        <v>3</v>
      </c>
      <c r="D20" s="197">
        <v>4</v>
      </c>
      <c r="E20" s="196">
        <v>5</v>
      </c>
      <c r="F20" s="196">
        <v>6</v>
      </c>
      <c r="G20" s="196">
        <v>7</v>
      </c>
      <c r="H20" s="196">
        <v>8</v>
      </c>
      <c r="I20" s="196">
        <v>9</v>
      </c>
      <c r="J20" s="196">
        <v>10</v>
      </c>
      <c r="K20" s="196">
        <v>11</v>
      </c>
      <c r="L20" s="196">
        <v>12</v>
      </c>
      <c r="M20" s="196">
        <v>13</v>
      </c>
      <c r="N20" s="196">
        <v>14</v>
      </c>
      <c r="O20" s="196">
        <v>15</v>
      </c>
      <c r="P20" s="196">
        <v>16</v>
      </c>
      <c r="Q20" s="196">
        <v>17</v>
      </c>
      <c r="R20" s="198">
        <v>18</v>
      </c>
    </row>
    <row r="21" spans="1:18" x14ac:dyDescent="0.35">
      <c r="A21" s="190"/>
      <c r="B21" s="191">
        <f ca="1">графік!C27</f>
        <v>45195</v>
      </c>
      <c r="C21" s="192"/>
      <c r="D21" s="194">
        <f>графік!F27</f>
        <v>710150</v>
      </c>
      <c r="E21" s="194">
        <f>графік!G27</f>
        <v>750000</v>
      </c>
      <c r="F21" s="194"/>
      <c r="G21" s="194">
        <f>графік!I27</f>
        <v>0</v>
      </c>
      <c r="H21" s="194">
        <f>графік!J27</f>
        <v>0</v>
      </c>
      <c r="I21" s="194">
        <f>графік!K27</f>
        <v>14925</v>
      </c>
      <c r="J21" s="194">
        <f>графік!L27</f>
        <v>2500</v>
      </c>
      <c r="K21" s="194">
        <f>графік!M27</f>
        <v>0</v>
      </c>
      <c r="L21" s="194">
        <f>графік!N27</f>
        <v>0</v>
      </c>
      <c r="M21" s="194">
        <f>графік!O27</f>
        <v>0</v>
      </c>
      <c r="N21" s="194">
        <f>графік!P27</f>
        <v>0</v>
      </c>
      <c r="O21" s="194">
        <f>графік!Q27</f>
        <v>22425</v>
      </c>
      <c r="P21" s="194">
        <f>графік!R27</f>
        <v>0</v>
      </c>
      <c r="Q21" s="194"/>
      <c r="R21" s="194"/>
    </row>
    <row r="22" spans="1:18" x14ac:dyDescent="0.35">
      <c r="A22" s="40">
        <f>графік!A28</f>
        <v>1</v>
      </c>
      <c r="B22" s="42">
        <f ca="1">графік!C28</f>
        <v>45225</v>
      </c>
      <c r="C22" s="41">
        <f ca="1">графік!D28</f>
        <v>30</v>
      </c>
      <c r="D22" s="194">
        <f ca="1">графік!F28</f>
        <v>24206.16</v>
      </c>
      <c r="E22" s="193">
        <f>графік!G28</f>
        <v>12500</v>
      </c>
      <c r="F22" s="194">
        <f ca="1">графік!H28</f>
        <v>11706.16</v>
      </c>
      <c r="G22" s="194"/>
      <c r="H22" s="194"/>
      <c r="I22" s="194"/>
      <c r="J22" s="194"/>
      <c r="K22" s="194"/>
      <c r="L22" s="194"/>
      <c r="M22" s="194"/>
      <c r="N22" s="194"/>
      <c r="O22" s="194"/>
      <c r="P22" s="194"/>
      <c r="Q22" s="209" t="str">
        <f>графік!S28</f>
        <v/>
      </c>
      <c r="R22" s="194" t="str">
        <f>графік!T28</f>
        <v/>
      </c>
    </row>
    <row r="23" spans="1:18" x14ac:dyDescent="0.35">
      <c r="A23" s="40">
        <f>графік!A29</f>
        <v>2</v>
      </c>
      <c r="B23" s="42">
        <f ca="1">графік!C29</f>
        <v>45256</v>
      </c>
      <c r="C23" s="41">
        <f ca="1">графік!D29</f>
        <v>31</v>
      </c>
      <c r="D23" s="194">
        <f ca="1">графік!F29</f>
        <v>24394.760000000002</v>
      </c>
      <c r="E23" s="193">
        <f>графік!G29</f>
        <v>12500</v>
      </c>
      <c r="F23" s="194">
        <f ca="1">графік!H29</f>
        <v>11894.76</v>
      </c>
      <c r="G23" s="194"/>
      <c r="H23" s="194"/>
      <c r="I23" s="194"/>
      <c r="J23" s="194"/>
      <c r="K23" s="194"/>
      <c r="L23" s="194"/>
      <c r="M23" s="194"/>
      <c r="N23" s="194"/>
      <c r="O23" s="194"/>
      <c r="P23" s="194"/>
      <c r="Q23" s="209" t="str">
        <f>графік!S29</f>
        <v/>
      </c>
      <c r="R23" s="194" t="str">
        <f>графік!T29</f>
        <v/>
      </c>
    </row>
    <row r="24" spans="1:18" x14ac:dyDescent="0.35">
      <c r="A24" s="40">
        <f>графік!A30</f>
        <v>3</v>
      </c>
      <c r="B24" s="42">
        <f ca="1">графік!C30</f>
        <v>45286</v>
      </c>
      <c r="C24" s="41">
        <f ca="1">графік!D30</f>
        <v>30</v>
      </c>
      <c r="D24" s="194">
        <f ca="1">графік!F30</f>
        <v>23815.96</v>
      </c>
      <c r="E24" s="193">
        <f>графік!G30</f>
        <v>12500</v>
      </c>
      <c r="F24" s="194">
        <f ca="1">графік!H30</f>
        <v>11315.96</v>
      </c>
      <c r="G24" s="194"/>
      <c r="H24" s="194"/>
      <c r="I24" s="194"/>
      <c r="J24" s="194"/>
      <c r="K24" s="194"/>
      <c r="L24" s="194"/>
      <c r="M24" s="194" t="str">
        <f>графік!O30</f>
        <v/>
      </c>
      <c r="N24" s="194"/>
      <c r="O24" s="194"/>
      <c r="P24" s="194"/>
      <c r="Q24" s="209" t="str">
        <f>графік!S30</f>
        <v/>
      </c>
      <c r="R24" s="194" t="str">
        <f>графік!T30</f>
        <v/>
      </c>
    </row>
    <row r="25" spans="1:18" x14ac:dyDescent="0.35">
      <c r="A25" s="40">
        <f>графік!A31</f>
        <v>4</v>
      </c>
      <c r="B25" s="42">
        <f ca="1">графік!C31</f>
        <v>45317</v>
      </c>
      <c r="C25" s="41">
        <f ca="1">графік!D31</f>
        <v>31</v>
      </c>
      <c r="D25" s="194">
        <f ca="1">графік!F31</f>
        <v>23966.23</v>
      </c>
      <c r="E25" s="193">
        <f>графік!G31</f>
        <v>12500</v>
      </c>
      <c r="F25" s="194">
        <f ca="1">графік!H31</f>
        <v>11466.23</v>
      </c>
      <c r="G25" s="194"/>
      <c r="H25" s="194"/>
      <c r="I25" s="194"/>
      <c r="J25" s="194"/>
      <c r="K25" s="194" t="str">
        <f>графік!M31</f>
        <v/>
      </c>
      <c r="L25" s="194" t="str">
        <f>графік!N31</f>
        <v/>
      </c>
      <c r="M25" s="194" t="str">
        <f>графік!O31</f>
        <v/>
      </c>
      <c r="N25" s="194"/>
      <c r="O25" s="194"/>
      <c r="P25" s="194" t="str">
        <f>графік!R31</f>
        <v/>
      </c>
      <c r="Q25" s="209" t="str">
        <f>графік!S31</f>
        <v/>
      </c>
      <c r="R25" s="194" t="str">
        <f>графік!T31</f>
        <v/>
      </c>
    </row>
    <row r="26" spans="1:18" x14ac:dyDescent="0.35">
      <c r="A26" s="40">
        <f>графік!A32</f>
        <v>5</v>
      </c>
      <c r="B26" s="42">
        <f ca="1">графік!C32</f>
        <v>45348</v>
      </c>
      <c r="C26" s="41">
        <f ca="1">графік!D32</f>
        <v>31</v>
      </c>
      <c r="D26" s="194">
        <f ca="1">графік!F32</f>
        <v>23759.1</v>
      </c>
      <c r="E26" s="193">
        <f>графік!G32</f>
        <v>12500</v>
      </c>
      <c r="F26" s="194">
        <f ca="1">графік!H32</f>
        <v>11259.1</v>
      </c>
      <c r="G26" s="194"/>
      <c r="H26" s="194" t="str">
        <f>графік!J32</f>
        <v/>
      </c>
      <c r="I26" s="194" t="str">
        <f>графік!K32</f>
        <v/>
      </c>
      <c r="J26" s="194"/>
      <c r="K26" s="194" t="str">
        <f>графік!M32</f>
        <v/>
      </c>
      <c r="L26" s="194" t="str">
        <f>графік!N32</f>
        <v/>
      </c>
      <c r="M26" s="194" t="str">
        <f>графік!O32</f>
        <v/>
      </c>
      <c r="N26" s="194"/>
      <c r="O26" s="194" t="str">
        <f>графік!Q32</f>
        <v/>
      </c>
      <c r="P26" s="194" t="str">
        <f>графік!R32</f>
        <v/>
      </c>
      <c r="Q26" s="209" t="str">
        <f>графік!S32</f>
        <v/>
      </c>
      <c r="R26" s="194" t="str">
        <f>графік!T32</f>
        <v/>
      </c>
    </row>
    <row r="27" spans="1:18" x14ac:dyDescent="0.35">
      <c r="A27" s="40">
        <f>графік!A33</f>
        <v>6</v>
      </c>
      <c r="B27" s="42">
        <f ca="1">графік!C33</f>
        <v>45377</v>
      </c>
      <c r="C27" s="41">
        <f ca="1">графік!D33</f>
        <v>29</v>
      </c>
      <c r="D27" s="194">
        <f ca="1">графік!F33</f>
        <v>22844.620000000003</v>
      </c>
      <c r="E27" s="193">
        <f>графік!G33</f>
        <v>12500</v>
      </c>
      <c r="F27" s="194">
        <f ca="1">графік!H33</f>
        <v>10344.620000000001</v>
      </c>
      <c r="G27" s="194" t="str">
        <f>графік!I33</f>
        <v/>
      </c>
      <c r="H27" s="194" t="str">
        <f>графік!J33</f>
        <v/>
      </c>
      <c r="I27" s="194" t="str">
        <f>графік!K33</f>
        <v/>
      </c>
      <c r="J27" s="194"/>
      <c r="K27" s="194" t="str">
        <f>графік!M33</f>
        <v/>
      </c>
      <c r="L27" s="194" t="str">
        <f>графік!N33</f>
        <v/>
      </c>
      <c r="M27" s="194" t="str">
        <f>графік!O33</f>
        <v/>
      </c>
      <c r="N27" s="194"/>
      <c r="O27" s="194" t="str">
        <f>графік!Q33</f>
        <v/>
      </c>
      <c r="P27" s="194" t="str">
        <f>графік!R33</f>
        <v/>
      </c>
      <c r="Q27" s="209" t="str">
        <f>графік!S33</f>
        <v/>
      </c>
      <c r="R27" s="194" t="str">
        <f>графік!T33</f>
        <v/>
      </c>
    </row>
    <row r="28" spans="1:18" x14ac:dyDescent="0.35">
      <c r="A28" s="40">
        <f>графік!A34</f>
        <v>7</v>
      </c>
      <c r="B28" s="42">
        <f ca="1">графік!C34</f>
        <v>45408</v>
      </c>
      <c r="C28" s="41">
        <f ca="1">графік!D34</f>
        <v>31</v>
      </c>
      <c r="D28" s="194">
        <f ca="1">графік!F34</f>
        <v>23356.989999999998</v>
      </c>
      <c r="E28" s="193">
        <f>графік!G34</f>
        <v>12500</v>
      </c>
      <c r="F28" s="194">
        <f ca="1">графік!H34</f>
        <v>10856.99</v>
      </c>
      <c r="G28" s="194" t="str">
        <f>графік!I34</f>
        <v/>
      </c>
      <c r="H28" s="194" t="str">
        <f>графік!J34</f>
        <v/>
      </c>
      <c r="I28" s="194" t="str">
        <f>графік!K34</f>
        <v/>
      </c>
      <c r="J28" s="194" t="str">
        <f ca="1">графік!L34</f>
        <v/>
      </c>
      <c r="K28" s="194" t="str">
        <f>графік!M34</f>
        <v/>
      </c>
      <c r="L28" s="194" t="str">
        <f>графік!N34</f>
        <v/>
      </c>
      <c r="M28" s="194" t="str">
        <f>графік!O34</f>
        <v/>
      </c>
      <c r="N28" s="194"/>
      <c r="O28" s="194" t="str">
        <f>графік!Q34</f>
        <v/>
      </c>
      <c r="P28" s="194" t="str">
        <f>графік!R34</f>
        <v/>
      </c>
      <c r="Q28" s="209" t="str">
        <f>графік!S34</f>
        <v/>
      </c>
      <c r="R28" s="194" t="str">
        <f>графік!T34</f>
        <v/>
      </c>
    </row>
    <row r="29" spans="1:18" x14ac:dyDescent="0.35">
      <c r="A29" s="40">
        <f>графік!A35</f>
        <v>8</v>
      </c>
      <c r="B29" s="42">
        <f ca="1">графік!C35</f>
        <v>45438</v>
      </c>
      <c r="C29" s="41">
        <f ca="1">графік!D35</f>
        <v>30</v>
      </c>
      <c r="D29" s="194">
        <f ca="1">графік!F35</f>
        <v>22812.190000000002</v>
      </c>
      <c r="E29" s="193">
        <f>графік!G35</f>
        <v>12500</v>
      </c>
      <c r="F29" s="194">
        <f ca="1">графік!H35</f>
        <v>10312.19</v>
      </c>
      <c r="G29" s="194" t="str">
        <f>графік!I35</f>
        <v/>
      </c>
      <c r="H29" s="194" t="str">
        <f>графік!J35</f>
        <v/>
      </c>
      <c r="I29" s="194" t="str">
        <f>графік!K35</f>
        <v/>
      </c>
      <c r="J29" s="194" t="str">
        <f ca="1">графік!L35</f>
        <v/>
      </c>
      <c r="K29" s="194" t="str">
        <f>графік!M35</f>
        <v/>
      </c>
      <c r="L29" s="194" t="str">
        <f>графік!N35</f>
        <v/>
      </c>
      <c r="M29" s="194" t="str">
        <f>графік!O35</f>
        <v/>
      </c>
      <c r="N29" s="194" t="str">
        <f>графік!P35</f>
        <v/>
      </c>
      <c r="O29" s="194" t="str">
        <f>графік!Q35</f>
        <v/>
      </c>
      <c r="P29" s="194" t="str">
        <f>графік!R35</f>
        <v/>
      </c>
      <c r="Q29" s="209" t="str">
        <f>графік!S35</f>
        <v/>
      </c>
      <c r="R29" s="194" t="str">
        <f>графік!T35</f>
        <v/>
      </c>
    </row>
    <row r="30" spans="1:18" x14ac:dyDescent="0.35">
      <c r="A30" s="40">
        <f>графік!A36</f>
        <v>9</v>
      </c>
      <c r="B30" s="42">
        <f ca="1">графік!C36</f>
        <v>45469</v>
      </c>
      <c r="C30" s="41">
        <f ca="1">графік!D36</f>
        <v>31</v>
      </c>
      <c r="D30" s="194">
        <f ca="1">графік!F36</f>
        <v>22954.879999999997</v>
      </c>
      <c r="E30" s="193">
        <f>графік!G36</f>
        <v>12500</v>
      </c>
      <c r="F30" s="194">
        <f ca="1">графік!H36</f>
        <v>10454.879999999999</v>
      </c>
      <c r="G30" s="194" t="str">
        <f>графік!I36</f>
        <v/>
      </c>
      <c r="H30" s="194" t="str">
        <f>графік!J36</f>
        <v/>
      </c>
      <c r="I30" s="194" t="str">
        <f>графік!K36</f>
        <v/>
      </c>
      <c r="J30" s="194" t="str">
        <f ca="1">графік!L36</f>
        <v/>
      </c>
      <c r="K30" s="194" t="str">
        <f>графік!M36</f>
        <v/>
      </c>
      <c r="L30" s="194" t="str">
        <f>графік!N36</f>
        <v/>
      </c>
      <c r="M30" s="194" t="str">
        <f>графік!O36</f>
        <v/>
      </c>
      <c r="N30" s="194" t="str">
        <f>графік!P36</f>
        <v/>
      </c>
      <c r="O30" s="194" t="str">
        <f>графік!Q36</f>
        <v/>
      </c>
      <c r="P30" s="194" t="str">
        <f>графік!R36</f>
        <v/>
      </c>
      <c r="Q30" s="209" t="str">
        <f>графік!S36</f>
        <v/>
      </c>
      <c r="R30" s="194" t="str">
        <f>графік!T36</f>
        <v/>
      </c>
    </row>
    <row r="31" spans="1:18" x14ac:dyDescent="0.35">
      <c r="A31" s="40">
        <f>графік!A37</f>
        <v>10</v>
      </c>
      <c r="B31" s="42">
        <f ca="1">графік!C37</f>
        <v>45499</v>
      </c>
      <c r="C31" s="41">
        <f ca="1">графік!D37</f>
        <v>30</v>
      </c>
      <c r="D31" s="194">
        <f ca="1">графік!F37</f>
        <v>22423.05</v>
      </c>
      <c r="E31" s="193">
        <f>графік!G37</f>
        <v>12500</v>
      </c>
      <c r="F31" s="194">
        <f ca="1">графік!H37</f>
        <v>9923.0499999999993</v>
      </c>
      <c r="G31" s="194" t="str">
        <f>графік!I37</f>
        <v/>
      </c>
      <c r="H31" s="194" t="str">
        <f>графік!J37</f>
        <v/>
      </c>
      <c r="I31" s="194" t="str">
        <f>графік!K37</f>
        <v/>
      </c>
      <c r="J31" s="194" t="str">
        <f ca="1">графік!L37</f>
        <v/>
      </c>
      <c r="K31" s="194" t="str">
        <f>графік!M37</f>
        <v/>
      </c>
      <c r="L31" s="194" t="str">
        <f>графік!N37</f>
        <v/>
      </c>
      <c r="M31" s="194" t="str">
        <f>графік!O37</f>
        <v/>
      </c>
      <c r="N31" s="194" t="str">
        <f>графік!P37</f>
        <v/>
      </c>
      <c r="O31" s="194" t="str">
        <f>графік!Q37</f>
        <v/>
      </c>
      <c r="P31" s="194" t="str">
        <f>графік!R37</f>
        <v/>
      </c>
      <c r="Q31" s="209" t="str">
        <f>графік!S37</f>
        <v/>
      </c>
      <c r="R31" s="194" t="str">
        <f>графік!T37</f>
        <v/>
      </c>
    </row>
    <row r="32" spans="1:18" x14ac:dyDescent="0.35">
      <c r="A32" s="40">
        <f>графік!A38</f>
        <v>11</v>
      </c>
      <c r="B32" s="42">
        <f ca="1">графік!C38</f>
        <v>45530</v>
      </c>
      <c r="C32" s="41">
        <f ca="1">графік!D38</f>
        <v>31</v>
      </c>
      <c r="D32" s="194">
        <f ca="1">графік!F38</f>
        <v>22552.77</v>
      </c>
      <c r="E32" s="193">
        <f>графік!G38</f>
        <v>12500</v>
      </c>
      <c r="F32" s="194">
        <f ca="1">графік!H38</f>
        <v>10052.77</v>
      </c>
      <c r="G32" s="194" t="str">
        <f>графік!I38</f>
        <v/>
      </c>
      <c r="H32" s="194" t="str">
        <f>графік!J38</f>
        <v/>
      </c>
      <c r="I32" s="194" t="str">
        <f>графік!K38</f>
        <v/>
      </c>
      <c r="J32" s="194" t="str">
        <f ca="1">графік!L38</f>
        <v/>
      </c>
      <c r="K32" s="194" t="str">
        <f>графік!M38</f>
        <v/>
      </c>
      <c r="L32" s="194" t="str">
        <f>графік!N38</f>
        <v/>
      </c>
      <c r="M32" s="194" t="str">
        <f>графік!O38</f>
        <v/>
      </c>
      <c r="N32" s="194" t="str">
        <f>графік!P38</f>
        <v/>
      </c>
      <c r="O32" s="194" t="str">
        <f>графік!Q38</f>
        <v/>
      </c>
      <c r="P32" s="194" t="str">
        <f>графік!R38</f>
        <v/>
      </c>
      <c r="Q32" s="209" t="str">
        <f>графік!S38</f>
        <v/>
      </c>
      <c r="R32" s="194" t="str">
        <f>графік!T38</f>
        <v/>
      </c>
    </row>
    <row r="33" spans="1:18" x14ac:dyDescent="0.35">
      <c r="A33" s="40">
        <f>графік!A39</f>
        <v>12</v>
      </c>
      <c r="B33" s="42">
        <f ca="1">графік!C39</f>
        <v>45561</v>
      </c>
      <c r="C33" s="41">
        <f ca="1">графік!D39</f>
        <v>31</v>
      </c>
      <c r="D33" s="194">
        <f ca="1">графік!F39</f>
        <v>22351.71</v>
      </c>
      <c r="E33" s="193">
        <f>графік!G39</f>
        <v>12500</v>
      </c>
      <c r="F33" s="194">
        <f ca="1">графік!H39</f>
        <v>9851.7099999999991</v>
      </c>
      <c r="G33" s="194" t="str">
        <f>графік!I39</f>
        <v/>
      </c>
      <c r="H33" s="194" t="str">
        <f>графік!J39</f>
        <v/>
      </c>
      <c r="I33" s="194" t="str">
        <f>графік!K39</f>
        <v/>
      </c>
      <c r="J33" s="194" t="str">
        <f ca="1">графік!L39</f>
        <v/>
      </c>
      <c r="K33" s="194" t="str">
        <f>графік!M39</f>
        <v/>
      </c>
      <c r="L33" s="194" t="str">
        <f>графік!N39</f>
        <v/>
      </c>
      <c r="M33" s="194" t="str">
        <f>графік!O39</f>
        <v/>
      </c>
      <c r="N33" s="194" t="str">
        <f>графік!P39</f>
        <v/>
      </c>
      <c r="O33" s="194" t="str">
        <f>графік!Q39</f>
        <v/>
      </c>
      <c r="P33" s="194" t="str">
        <f>графік!R39</f>
        <v/>
      </c>
      <c r="Q33" s="209" t="str">
        <f>графік!S39</f>
        <v/>
      </c>
      <c r="R33" s="194" t="str">
        <f>графік!T39</f>
        <v/>
      </c>
    </row>
    <row r="34" spans="1:18" x14ac:dyDescent="0.35">
      <c r="A34" s="40">
        <f>графік!A40</f>
        <v>13</v>
      </c>
      <c r="B34" s="42">
        <f ca="1">графік!C40</f>
        <v>45591</v>
      </c>
      <c r="C34" s="41">
        <f ca="1">графік!D40</f>
        <v>30</v>
      </c>
      <c r="D34" s="194">
        <f ca="1">графік!F40</f>
        <v>21839.34</v>
      </c>
      <c r="E34" s="193">
        <f>графік!G40</f>
        <v>12500</v>
      </c>
      <c r="F34" s="194">
        <f ca="1">графік!H40</f>
        <v>9339.34</v>
      </c>
      <c r="G34" s="194" t="str">
        <f>графік!I40</f>
        <v/>
      </c>
      <c r="H34" s="194" t="str">
        <f>графік!J40</f>
        <v/>
      </c>
      <c r="I34" s="194" t="str">
        <f>графік!K40</f>
        <v/>
      </c>
      <c r="J34" s="194">
        <f>графік!L40</f>
        <v>2500</v>
      </c>
      <c r="K34" s="194" t="str">
        <f>графік!M40</f>
        <v/>
      </c>
      <c r="L34" s="194" t="str">
        <f>графік!N40</f>
        <v/>
      </c>
      <c r="M34" s="194" t="str">
        <f>графік!O40</f>
        <v/>
      </c>
      <c r="N34" s="194" t="str">
        <f>графік!P40</f>
        <v/>
      </c>
      <c r="O34" s="194" t="str">
        <f>графік!Q40</f>
        <v/>
      </c>
      <c r="P34" s="194" t="str">
        <f>графік!R40</f>
        <v/>
      </c>
      <c r="Q34" s="209" t="str">
        <f>графік!S40</f>
        <v/>
      </c>
      <c r="R34" s="194" t="str">
        <f>графік!T40</f>
        <v/>
      </c>
    </row>
    <row r="35" spans="1:18" x14ac:dyDescent="0.35">
      <c r="A35" s="40">
        <f>графік!A41</f>
        <v>14</v>
      </c>
      <c r="B35" s="42">
        <f ca="1">графік!C41</f>
        <v>45622</v>
      </c>
      <c r="C35" s="41">
        <f ca="1">графік!D41</f>
        <v>31</v>
      </c>
      <c r="D35" s="194">
        <f ca="1">графік!F41</f>
        <v>21949.599999999999</v>
      </c>
      <c r="E35" s="193">
        <f>графік!G41</f>
        <v>12500</v>
      </c>
      <c r="F35" s="194">
        <f ca="1">графік!H41</f>
        <v>9449.6</v>
      </c>
      <c r="G35" s="194" t="str">
        <f>графік!I41</f>
        <v/>
      </c>
      <c r="H35" s="194" t="str">
        <f>графік!J41</f>
        <v/>
      </c>
      <c r="I35" s="194" t="str">
        <f>графік!K41</f>
        <v/>
      </c>
      <c r="J35" s="194" t="str">
        <f ca="1">графік!L41</f>
        <v/>
      </c>
      <c r="K35" s="194" t="str">
        <f>графік!M41</f>
        <v/>
      </c>
      <c r="L35" s="194" t="str">
        <f>графік!N41</f>
        <v/>
      </c>
      <c r="M35" s="194" t="str">
        <f>графік!O41</f>
        <v/>
      </c>
      <c r="N35" s="194" t="str">
        <f>графік!P41</f>
        <v/>
      </c>
      <c r="O35" s="194" t="str">
        <f>графік!Q41</f>
        <v/>
      </c>
      <c r="P35" s="194" t="str">
        <f>графік!R41</f>
        <v/>
      </c>
      <c r="Q35" s="209" t="str">
        <f>графік!S41</f>
        <v/>
      </c>
      <c r="R35" s="194" t="str">
        <f>графік!T41</f>
        <v/>
      </c>
    </row>
    <row r="36" spans="1:18" x14ac:dyDescent="0.35">
      <c r="A36" s="40">
        <f>графік!A42</f>
        <v>15</v>
      </c>
      <c r="B36" s="42">
        <f ca="1">графік!C42</f>
        <v>45652</v>
      </c>
      <c r="C36" s="41">
        <f ca="1">графік!D42</f>
        <v>30</v>
      </c>
      <c r="D36" s="194">
        <f ca="1">графік!F42</f>
        <v>21450.2</v>
      </c>
      <c r="E36" s="193">
        <f>графік!G42</f>
        <v>12500</v>
      </c>
      <c r="F36" s="194">
        <f ca="1">графік!H42</f>
        <v>8950.2000000000007</v>
      </c>
      <c r="G36" s="194" t="str">
        <f>графік!I42</f>
        <v/>
      </c>
      <c r="H36" s="194" t="str">
        <f>графік!J42</f>
        <v/>
      </c>
      <c r="I36" s="194" t="str">
        <f>графік!K42</f>
        <v/>
      </c>
      <c r="J36" s="194" t="str">
        <f ca="1">графік!L42</f>
        <v/>
      </c>
      <c r="K36" s="194" t="str">
        <f>графік!M42</f>
        <v/>
      </c>
      <c r="L36" s="194" t="str">
        <f>графік!N42</f>
        <v/>
      </c>
      <c r="M36" s="194" t="str">
        <f>графік!O42</f>
        <v/>
      </c>
      <c r="N36" s="194" t="str">
        <f>графік!P42</f>
        <v/>
      </c>
      <c r="O36" s="194" t="str">
        <f>графік!Q42</f>
        <v/>
      </c>
      <c r="P36" s="194" t="str">
        <f>графік!R42</f>
        <v/>
      </c>
      <c r="Q36" s="209" t="str">
        <f>графік!S42</f>
        <v/>
      </c>
      <c r="R36" s="194" t="str">
        <f>графік!T42</f>
        <v/>
      </c>
    </row>
    <row r="37" spans="1:18" x14ac:dyDescent="0.35">
      <c r="A37" s="40">
        <f>графік!A43</f>
        <v>16</v>
      </c>
      <c r="B37" s="42">
        <f ca="1">графік!C43</f>
        <v>45683</v>
      </c>
      <c r="C37" s="41">
        <f ca="1">графік!D43</f>
        <v>31</v>
      </c>
      <c r="D37" s="194">
        <f ca="1">графік!F43</f>
        <v>21567.48</v>
      </c>
      <c r="E37" s="193">
        <f>графік!G43</f>
        <v>12500</v>
      </c>
      <c r="F37" s="194">
        <f ca="1">графік!H43</f>
        <v>9067.48</v>
      </c>
      <c r="G37" s="194" t="str">
        <f>графік!I43</f>
        <v/>
      </c>
      <c r="H37" s="194" t="str">
        <f>графік!J43</f>
        <v/>
      </c>
      <c r="I37" s="194" t="str">
        <f>графік!K43</f>
        <v/>
      </c>
      <c r="J37" s="194" t="str">
        <f ca="1">графік!L43</f>
        <v/>
      </c>
      <c r="K37" s="194" t="str">
        <f>графік!M43</f>
        <v/>
      </c>
      <c r="L37" s="194" t="str">
        <f>графік!N43</f>
        <v/>
      </c>
      <c r="M37" s="194" t="str">
        <f>графік!O43</f>
        <v/>
      </c>
      <c r="N37" s="194" t="str">
        <f>графік!P43</f>
        <v/>
      </c>
      <c r="O37" s="194" t="str">
        <f>графік!Q43</f>
        <v/>
      </c>
      <c r="P37" s="194" t="str">
        <f>графік!R43</f>
        <v/>
      </c>
      <c r="Q37" s="209" t="str">
        <f>графік!S43</f>
        <v/>
      </c>
      <c r="R37" s="194" t="str">
        <f>графік!T43</f>
        <v/>
      </c>
    </row>
    <row r="38" spans="1:18" x14ac:dyDescent="0.35">
      <c r="A38" s="40">
        <f>графік!A44</f>
        <v>17</v>
      </c>
      <c r="B38" s="42">
        <f ca="1">графік!C44</f>
        <v>45714</v>
      </c>
      <c r="C38" s="41">
        <f ca="1">графік!D44</f>
        <v>31</v>
      </c>
      <c r="D38" s="194">
        <f ca="1">графік!F44</f>
        <v>21370.67</v>
      </c>
      <c r="E38" s="193">
        <f>графік!G44</f>
        <v>12500</v>
      </c>
      <c r="F38" s="194">
        <f ca="1">графік!H44</f>
        <v>8870.67</v>
      </c>
      <c r="G38" s="194" t="str">
        <f>графік!I44</f>
        <v/>
      </c>
      <c r="H38" s="194" t="str">
        <f>графік!J44</f>
        <v/>
      </c>
      <c r="I38" s="194" t="str">
        <f>графік!K44</f>
        <v/>
      </c>
      <c r="J38" s="194" t="str">
        <f ca="1">графік!L44</f>
        <v/>
      </c>
      <c r="K38" s="194" t="str">
        <f>графік!M44</f>
        <v/>
      </c>
      <c r="L38" s="194" t="str">
        <f>графік!N44</f>
        <v/>
      </c>
      <c r="M38" s="194" t="str">
        <f>графік!O44</f>
        <v/>
      </c>
      <c r="N38" s="194" t="str">
        <f>графік!P44</f>
        <v/>
      </c>
      <c r="O38" s="194" t="str">
        <f>графік!Q44</f>
        <v/>
      </c>
      <c r="P38" s="194" t="str">
        <f>графік!R44</f>
        <v/>
      </c>
      <c r="Q38" s="209" t="str">
        <f>графік!S44</f>
        <v/>
      </c>
      <c r="R38" s="194" t="str">
        <f>графік!T44</f>
        <v/>
      </c>
    </row>
    <row r="39" spans="1:18" x14ac:dyDescent="0.35">
      <c r="A39" s="40">
        <f>графік!A45</f>
        <v>18</v>
      </c>
      <c r="B39" s="42">
        <f ca="1">графік!C45</f>
        <v>45742</v>
      </c>
      <c r="C39" s="41">
        <f ca="1">графік!D45</f>
        <v>28</v>
      </c>
      <c r="D39" s="194">
        <f ca="1">графік!F45</f>
        <v>20330.12</v>
      </c>
      <c r="E39" s="193">
        <f>графік!G45</f>
        <v>12500</v>
      </c>
      <c r="F39" s="194">
        <f ca="1">графік!H45</f>
        <v>7830.12</v>
      </c>
      <c r="G39" s="194" t="str">
        <f>графік!I45</f>
        <v/>
      </c>
      <c r="H39" s="194" t="str">
        <f>графік!J45</f>
        <v/>
      </c>
      <c r="I39" s="194" t="str">
        <f>графік!K45</f>
        <v/>
      </c>
      <c r="J39" s="194" t="str">
        <f ca="1">графік!L45</f>
        <v/>
      </c>
      <c r="K39" s="194" t="str">
        <f>графік!M45</f>
        <v/>
      </c>
      <c r="L39" s="194" t="str">
        <f>графік!N45</f>
        <v/>
      </c>
      <c r="M39" s="194" t="str">
        <f>графік!O45</f>
        <v/>
      </c>
      <c r="N39" s="194" t="str">
        <f>графік!P45</f>
        <v/>
      </c>
      <c r="O39" s="194" t="str">
        <f>графік!Q45</f>
        <v/>
      </c>
      <c r="P39" s="194" t="str">
        <f>графік!R45</f>
        <v/>
      </c>
      <c r="Q39" s="209" t="str">
        <f>графік!S45</f>
        <v/>
      </c>
      <c r="R39" s="194" t="str">
        <f>графік!T45</f>
        <v/>
      </c>
    </row>
    <row r="40" spans="1:18" x14ac:dyDescent="0.35">
      <c r="A40" s="40">
        <f>графік!A46</f>
        <v>19</v>
      </c>
      <c r="B40" s="42">
        <f ca="1">графік!C46</f>
        <v>45773</v>
      </c>
      <c r="C40" s="41">
        <f ca="1">графік!D46</f>
        <v>31</v>
      </c>
      <c r="D40" s="194">
        <f ca="1">графік!F46</f>
        <v>20967.46</v>
      </c>
      <c r="E40" s="193">
        <f>графік!G46</f>
        <v>12500</v>
      </c>
      <c r="F40" s="194">
        <f ca="1">графік!H46</f>
        <v>8467.4599999999991</v>
      </c>
      <c r="G40" s="194" t="str">
        <f>графік!I46</f>
        <v/>
      </c>
      <c r="H40" s="194" t="str">
        <f>графік!J46</f>
        <v/>
      </c>
      <c r="I40" s="194" t="str">
        <f>графік!K46</f>
        <v/>
      </c>
      <c r="J40" s="194" t="str">
        <f ca="1">графік!L46</f>
        <v/>
      </c>
      <c r="K40" s="194" t="str">
        <f>графік!M46</f>
        <v/>
      </c>
      <c r="L40" s="194" t="str">
        <f>графік!N46</f>
        <v/>
      </c>
      <c r="M40" s="194" t="str">
        <f>графік!O46</f>
        <v/>
      </c>
      <c r="N40" s="194" t="str">
        <f>графік!P46</f>
        <v/>
      </c>
      <c r="O40" s="194" t="str">
        <f>графік!Q46</f>
        <v/>
      </c>
      <c r="P40" s="194" t="str">
        <f>графік!R46</f>
        <v/>
      </c>
      <c r="Q40" s="209" t="str">
        <f>графік!S46</f>
        <v/>
      </c>
      <c r="R40" s="194" t="str">
        <f>графік!T46</f>
        <v/>
      </c>
    </row>
    <row r="41" spans="1:18" x14ac:dyDescent="0.35">
      <c r="A41" s="40">
        <f>графік!A47</f>
        <v>20</v>
      </c>
      <c r="B41" s="42">
        <f ca="1">графік!C47</f>
        <v>45803</v>
      </c>
      <c r="C41" s="41">
        <f ca="1">графік!D47</f>
        <v>30</v>
      </c>
      <c r="D41" s="194">
        <f ca="1">графік!F47</f>
        <v>20499.21</v>
      </c>
      <c r="E41" s="193">
        <f>графік!G47</f>
        <v>12500</v>
      </c>
      <c r="F41" s="194">
        <f ca="1">графік!H47</f>
        <v>7999.21</v>
      </c>
      <c r="G41" s="194" t="str">
        <f>графік!I47</f>
        <v/>
      </c>
      <c r="H41" s="194" t="str">
        <f>графік!J47</f>
        <v/>
      </c>
      <c r="I41" s="194" t="str">
        <f>графік!K47</f>
        <v/>
      </c>
      <c r="J41" s="194" t="str">
        <f ca="1">графік!L47</f>
        <v/>
      </c>
      <c r="K41" s="194" t="str">
        <f>графік!M47</f>
        <v/>
      </c>
      <c r="L41" s="194" t="str">
        <f>графік!N47</f>
        <v/>
      </c>
      <c r="M41" s="194" t="str">
        <f>графік!O47</f>
        <v/>
      </c>
      <c r="N41" s="194" t="str">
        <f>графік!P47</f>
        <v/>
      </c>
      <c r="O41" s="194" t="str">
        <f>графік!Q47</f>
        <v/>
      </c>
      <c r="P41" s="194" t="str">
        <f>графік!R47</f>
        <v/>
      </c>
      <c r="Q41" s="209" t="str">
        <f>графік!S47</f>
        <v/>
      </c>
      <c r="R41" s="194" t="str">
        <f>графік!T47</f>
        <v/>
      </c>
    </row>
    <row r="42" spans="1:18" x14ac:dyDescent="0.35">
      <c r="A42" s="40">
        <f>графік!A48</f>
        <v>21</v>
      </c>
      <c r="B42" s="42">
        <f ca="1">графік!C48</f>
        <v>45834</v>
      </c>
      <c r="C42" s="41">
        <f ca="1">графік!D48</f>
        <v>31</v>
      </c>
      <c r="D42" s="194">
        <f ca="1">графік!F48</f>
        <v>20564.25</v>
      </c>
      <c r="E42" s="193">
        <f>графік!G48</f>
        <v>12500</v>
      </c>
      <c r="F42" s="194">
        <f ca="1">графік!H48</f>
        <v>8064.25</v>
      </c>
      <c r="G42" s="194" t="str">
        <f>графік!I48</f>
        <v/>
      </c>
      <c r="H42" s="194" t="str">
        <f>графік!J48</f>
        <v/>
      </c>
      <c r="I42" s="194" t="str">
        <f>графік!K48</f>
        <v/>
      </c>
      <c r="J42" s="194" t="str">
        <f ca="1">графік!L48</f>
        <v/>
      </c>
      <c r="K42" s="194" t="str">
        <f>графік!M48</f>
        <v/>
      </c>
      <c r="L42" s="194" t="str">
        <f>графік!N48</f>
        <v/>
      </c>
      <c r="M42" s="194" t="str">
        <f>графік!O48</f>
        <v/>
      </c>
      <c r="N42" s="194" t="str">
        <f>графік!P48</f>
        <v/>
      </c>
      <c r="O42" s="194" t="str">
        <f>графік!Q48</f>
        <v/>
      </c>
      <c r="P42" s="194" t="str">
        <f>графік!R48</f>
        <v/>
      </c>
      <c r="Q42" s="209" t="str">
        <f>графік!S48</f>
        <v/>
      </c>
      <c r="R42" s="194" t="str">
        <f>графік!T48</f>
        <v/>
      </c>
    </row>
    <row r="43" spans="1:18" x14ac:dyDescent="0.35">
      <c r="A43" s="40">
        <f>графік!A49</f>
        <v>22</v>
      </c>
      <c r="B43" s="42">
        <f ca="1">графік!C49</f>
        <v>45864</v>
      </c>
      <c r="C43" s="41">
        <f ca="1">графік!D49</f>
        <v>30</v>
      </c>
      <c r="D43" s="194">
        <f ca="1">графік!F49</f>
        <v>20109.010000000002</v>
      </c>
      <c r="E43" s="193">
        <f>графік!G49</f>
        <v>12500</v>
      </c>
      <c r="F43" s="194">
        <f ca="1">графік!H49</f>
        <v>7609.01</v>
      </c>
      <c r="G43" s="194" t="str">
        <f>графік!I49</f>
        <v/>
      </c>
      <c r="H43" s="194" t="str">
        <f>графік!J49</f>
        <v/>
      </c>
      <c r="I43" s="194" t="str">
        <f>графік!K49</f>
        <v/>
      </c>
      <c r="J43" s="194" t="str">
        <f ca="1">графік!L49</f>
        <v/>
      </c>
      <c r="K43" s="194" t="str">
        <f>графік!M49</f>
        <v/>
      </c>
      <c r="L43" s="194" t="str">
        <f>графік!N49</f>
        <v/>
      </c>
      <c r="M43" s="194" t="str">
        <f>графік!O49</f>
        <v/>
      </c>
      <c r="N43" s="194" t="str">
        <f>графік!P49</f>
        <v/>
      </c>
      <c r="O43" s="194" t="str">
        <f>графік!Q49</f>
        <v/>
      </c>
      <c r="P43" s="194" t="str">
        <f>графік!R49</f>
        <v/>
      </c>
      <c r="Q43" s="209" t="str">
        <f>графік!S49</f>
        <v/>
      </c>
      <c r="R43" s="194" t="str">
        <f>графік!T49</f>
        <v/>
      </c>
    </row>
    <row r="44" spans="1:18" x14ac:dyDescent="0.35">
      <c r="A44" s="40">
        <f>графік!A50</f>
        <v>23</v>
      </c>
      <c r="B44" s="42">
        <f ca="1">графік!C50</f>
        <v>45895</v>
      </c>
      <c r="C44" s="41">
        <f ca="1">графік!D50</f>
        <v>31</v>
      </c>
      <c r="D44" s="194">
        <f ca="1">графік!F50</f>
        <v>20161.03</v>
      </c>
      <c r="E44" s="193">
        <f>графік!G50</f>
        <v>12500</v>
      </c>
      <c r="F44" s="194">
        <f ca="1">графік!H50</f>
        <v>7661.03</v>
      </c>
      <c r="G44" s="194" t="str">
        <f>графік!I50</f>
        <v/>
      </c>
      <c r="H44" s="194" t="str">
        <f>графік!J50</f>
        <v/>
      </c>
      <c r="I44" s="194" t="str">
        <f>графік!K50</f>
        <v/>
      </c>
      <c r="J44" s="194" t="str">
        <f ca="1">графік!L50</f>
        <v/>
      </c>
      <c r="K44" s="194" t="str">
        <f>графік!M50</f>
        <v/>
      </c>
      <c r="L44" s="194" t="str">
        <f>графік!N50</f>
        <v/>
      </c>
      <c r="M44" s="194" t="str">
        <f>графік!O50</f>
        <v/>
      </c>
      <c r="N44" s="194" t="str">
        <f>графік!P50</f>
        <v/>
      </c>
      <c r="O44" s="194" t="str">
        <f>графік!Q50</f>
        <v/>
      </c>
      <c r="P44" s="194" t="str">
        <f>графік!R50</f>
        <v/>
      </c>
      <c r="Q44" s="209" t="str">
        <f>графік!S50</f>
        <v/>
      </c>
      <c r="R44" s="194" t="str">
        <f>графік!T50</f>
        <v/>
      </c>
    </row>
    <row r="45" spans="1:18" x14ac:dyDescent="0.35">
      <c r="A45" s="40">
        <f>графік!A51</f>
        <v>24</v>
      </c>
      <c r="B45" s="42">
        <f ca="1">графік!C51</f>
        <v>45926</v>
      </c>
      <c r="C45" s="41">
        <f ca="1">графік!D51</f>
        <v>31</v>
      </c>
      <c r="D45" s="194">
        <f ca="1">графік!F51</f>
        <v>19959.43</v>
      </c>
      <c r="E45" s="193">
        <f>графік!G51</f>
        <v>12500</v>
      </c>
      <c r="F45" s="194">
        <f ca="1">графік!H51</f>
        <v>7459.43</v>
      </c>
      <c r="G45" s="194" t="str">
        <f>графік!I51</f>
        <v/>
      </c>
      <c r="H45" s="194" t="str">
        <f>графік!J51</f>
        <v/>
      </c>
      <c r="I45" s="194" t="str">
        <f>графік!K51</f>
        <v/>
      </c>
      <c r="J45" s="194" t="str">
        <f ca="1">графік!L51</f>
        <v/>
      </c>
      <c r="K45" s="194" t="str">
        <f>графік!M51</f>
        <v/>
      </c>
      <c r="L45" s="194" t="str">
        <f>графік!N51</f>
        <v/>
      </c>
      <c r="M45" s="194" t="str">
        <f>графік!O51</f>
        <v/>
      </c>
      <c r="N45" s="194" t="str">
        <f>графік!P51</f>
        <v/>
      </c>
      <c r="O45" s="194" t="str">
        <f>графік!Q51</f>
        <v/>
      </c>
      <c r="P45" s="194" t="str">
        <f>графік!R51</f>
        <v/>
      </c>
      <c r="Q45" s="209" t="str">
        <f>графік!S51</f>
        <v/>
      </c>
      <c r="R45" s="194" t="str">
        <f>графік!T51</f>
        <v/>
      </c>
    </row>
    <row r="46" spans="1:18" x14ac:dyDescent="0.35">
      <c r="A46" s="40">
        <f>графік!A52</f>
        <v>25</v>
      </c>
      <c r="B46" s="42">
        <f ca="1">графік!C52</f>
        <v>45956</v>
      </c>
      <c r="C46" s="41">
        <f ca="1">графік!D52</f>
        <v>30</v>
      </c>
      <c r="D46" s="194">
        <f ca="1">графік!F52</f>
        <v>19523.7</v>
      </c>
      <c r="E46" s="193">
        <f>графік!G52</f>
        <v>12500</v>
      </c>
      <c r="F46" s="194">
        <f ca="1">графік!H52</f>
        <v>7023.7</v>
      </c>
      <c r="G46" s="194" t="str">
        <f>графік!I52</f>
        <v/>
      </c>
      <c r="H46" s="194" t="str">
        <f>графік!J52</f>
        <v/>
      </c>
      <c r="I46" s="194" t="str">
        <f>графік!K52</f>
        <v/>
      </c>
      <c r="J46" s="194">
        <f>графік!L52</f>
        <v>2500</v>
      </c>
      <c r="K46" s="194" t="str">
        <f>графік!M52</f>
        <v/>
      </c>
      <c r="L46" s="194" t="str">
        <f>графік!N52</f>
        <v/>
      </c>
      <c r="M46" s="194" t="str">
        <f>графік!O52</f>
        <v/>
      </c>
      <c r="N46" s="194" t="str">
        <f>графік!P52</f>
        <v/>
      </c>
      <c r="O46" s="194" t="str">
        <f>графік!Q52</f>
        <v/>
      </c>
      <c r="P46" s="194" t="str">
        <f>графік!R52</f>
        <v/>
      </c>
      <c r="Q46" s="209" t="str">
        <f>графік!S52</f>
        <v/>
      </c>
      <c r="R46" s="194" t="str">
        <f>графік!T52</f>
        <v/>
      </c>
    </row>
    <row r="47" spans="1:18" x14ac:dyDescent="0.35">
      <c r="A47" s="40">
        <f>графік!A53</f>
        <v>26</v>
      </c>
      <c r="B47" s="42">
        <f ca="1">графік!C53</f>
        <v>45987</v>
      </c>
      <c r="C47" s="41">
        <f ca="1">графік!D53</f>
        <v>31</v>
      </c>
      <c r="D47" s="194">
        <f ca="1">графік!F53</f>
        <v>19556.22</v>
      </c>
      <c r="E47" s="193">
        <f>графік!G53</f>
        <v>12500</v>
      </c>
      <c r="F47" s="194">
        <f ca="1">графік!H53</f>
        <v>7056.22</v>
      </c>
      <c r="G47" s="194" t="str">
        <f>графік!I53</f>
        <v/>
      </c>
      <c r="H47" s="194" t="str">
        <f>графік!J53</f>
        <v/>
      </c>
      <c r="I47" s="194" t="str">
        <f>графік!K53</f>
        <v/>
      </c>
      <c r="J47" s="194" t="str">
        <f ca="1">графік!L53</f>
        <v/>
      </c>
      <c r="K47" s="194" t="str">
        <f>графік!M53</f>
        <v/>
      </c>
      <c r="L47" s="194" t="str">
        <f>графік!N53</f>
        <v/>
      </c>
      <c r="M47" s="194" t="str">
        <f>графік!O53</f>
        <v/>
      </c>
      <c r="N47" s="194" t="str">
        <f>графік!P53</f>
        <v/>
      </c>
      <c r="O47" s="194" t="str">
        <f>графік!Q53</f>
        <v/>
      </c>
      <c r="P47" s="194" t="str">
        <f>графік!R53</f>
        <v/>
      </c>
      <c r="Q47" s="209" t="str">
        <f>графік!S53</f>
        <v/>
      </c>
      <c r="R47" s="194" t="str">
        <f>графік!T53</f>
        <v/>
      </c>
    </row>
    <row r="48" spans="1:18" x14ac:dyDescent="0.35">
      <c r="A48" s="40">
        <f>графік!A54</f>
        <v>27</v>
      </c>
      <c r="B48" s="42">
        <f ca="1">графік!C54</f>
        <v>46017</v>
      </c>
      <c r="C48" s="41">
        <f ca="1">графік!D54</f>
        <v>30</v>
      </c>
      <c r="D48" s="194">
        <f ca="1">графік!F54</f>
        <v>19133.489999999998</v>
      </c>
      <c r="E48" s="193">
        <f>графік!G54</f>
        <v>12500</v>
      </c>
      <c r="F48" s="194">
        <f ca="1">графік!H54</f>
        <v>6633.49</v>
      </c>
      <c r="G48" s="194" t="str">
        <f>графік!I54</f>
        <v/>
      </c>
      <c r="H48" s="194" t="str">
        <f>графік!J54</f>
        <v/>
      </c>
      <c r="I48" s="194" t="str">
        <f>графік!K54</f>
        <v/>
      </c>
      <c r="J48" s="194" t="str">
        <f ca="1">графік!L54</f>
        <v/>
      </c>
      <c r="K48" s="194" t="str">
        <f>графік!M54</f>
        <v/>
      </c>
      <c r="L48" s="194" t="str">
        <f>графік!N54</f>
        <v/>
      </c>
      <c r="M48" s="194" t="str">
        <f>графік!O54</f>
        <v/>
      </c>
      <c r="N48" s="194" t="str">
        <f>графік!P54</f>
        <v/>
      </c>
      <c r="O48" s="194" t="str">
        <f>графік!Q54</f>
        <v/>
      </c>
      <c r="P48" s="194" t="str">
        <f>графік!R54</f>
        <v/>
      </c>
      <c r="Q48" s="209" t="str">
        <f>графік!S54</f>
        <v/>
      </c>
      <c r="R48" s="194" t="str">
        <f>графік!T54</f>
        <v/>
      </c>
    </row>
    <row r="49" spans="1:18" x14ac:dyDescent="0.35">
      <c r="A49" s="40">
        <f>графік!A55</f>
        <v>28</v>
      </c>
      <c r="B49" s="42">
        <f ca="1">графік!C55</f>
        <v>46048</v>
      </c>
      <c r="C49" s="41">
        <f ca="1">графік!D55</f>
        <v>31</v>
      </c>
      <c r="D49" s="194">
        <f ca="1">графік!F55</f>
        <v>19153</v>
      </c>
      <c r="E49" s="193">
        <f>графік!G55</f>
        <v>12500</v>
      </c>
      <c r="F49" s="194">
        <f ca="1">графік!H55</f>
        <v>6653</v>
      </c>
      <c r="G49" s="194" t="str">
        <f>графік!I55</f>
        <v/>
      </c>
      <c r="H49" s="194" t="str">
        <f>графік!J55</f>
        <v/>
      </c>
      <c r="I49" s="194" t="str">
        <f>графік!K55</f>
        <v/>
      </c>
      <c r="J49" s="194" t="str">
        <f ca="1">графік!L55</f>
        <v/>
      </c>
      <c r="K49" s="194" t="str">
        <f>графік!M55</f>
        <v/>
      </c>
      <c r="L49" s="194" t="str">
        <f>графік!N55</f>
        <v/>
      </c>
      <c r="M49" s="194" t="str">
        <f>графік!O55</f>
        <v/>
      </c>
      <c r="N49" s="194" t="str">
        <f>графік!P55</f>
        <v/>
      </c>
      <c r="O49" s="194" t="str">
        <f>графік!Q55</f>
        <v/>
      </c>
      <c r="P49" s="194" t="str">
        <f>графік!R55</f>
        <v/>
      </c>
      <c r="Q49" s="209" t="str">
        <f>графік!S55</f>
        <v/>
      </c>
      <c r="R49" s="194" t="str">
        <f>графік!T55</f>
        <v/>
      </c>
    </row>
    <row r="50" spans="1:18" x14ac:dyDescent="0.35">
      <c r="A50" s="40">
        <f>графік!A56</f>
        <v>29</v>
      </c>
      <c r="B50" s="42">
        <f ca="1">графік!C56</f>
        <v>46079</v>
      </c>
      <c r="C50" s="41">
        <f ca="1">графік!D56</f>
        <v>31</v>
      </c>
      <c r="D50" s="194">
        <f ca="1">графік!F56</f>
        <v>18951.400000000001</v>
      </c>
      <c r="E50" s="193">
        <f>графік!G56</f>
        <v>12500</v>
      </c>
      <c r="F50" s="194">
        <f ca="1">графік!H56</f>
        <v>6451.4</v>
      </c>
      <c r="G50" s="194" t="str">
        <f>графік!I56</f>
        <v/>
      </c>
      <c r="H50" s="194" t="str">
        <f>графік!J56</f>
        <v/>
      </c>
      <c r="I50" s="194" t="str">
        <f>графік!K56</f>
        <v/>
      </c>
      <c r="J50" s="194" t="str">
        <f ca="1">графік!L56</f>
        <v/>
      </c>
      <c r="K50" s="194" t="str">
        <f>графік!M56</f>
        <v/>
      </c>
      <c r="L50" s="194" t="str">
        <f>графік!N56</f>
        <v/>
      </c>
      <c r="M50" s="194" t="str">
        <f>графік!O56</f>
        <v/>
      </c>
      <c r="N50" s="194" t="str">
        <f>графік!P56</f>
        <v/>
      </c>
      <c r="O50" s="194" t="str">
        <f>графік!Q56</f>
        <v/>
      </c>
      <c r="P50" s="194" t="str">
        <f>графік!R56</f>
        <v/>
      </c>
      <c r="Q50" s="209" t="str">
        <f>графік!S56</f>
        <v/>
      </c>
      <c r="R50" s="194" t="str">
        <f>графік!T56</f>
        <v/>
      </c>
    </row>
    <row r="51" spans="1:18" x14ac:dyDescent="0.35">
      <c r="A51" s="40">
        <f>графік!A57</f>
        <v>30</v>
      </c>
      <c r="B51" s="42">
        <f ca="1">графік!C57</f>
        <v>46107</v>
      </c>
      <c r="C51" s="41">
        <f ca="1">графік!D57</f>
        <v>28</v>
      </c>
      <c r="D51" s="194">
        <f ca="1">графік!F57</f>
        <v>18144.97</v>
      </c>
      <c r="E51" s="193">
        <f>графік!G57</f>
        <v>12500</v>
      </c>
      <c r="F51" s="194">
        <f ca="1">графік!H57</f>
        <v>5644.97</v>
      </c>
      <c r="G51" s="194" t="str">
        <f>графік!I57</f>
        <v/>
      </c>
      <c r="H51" s="194" t="str">
        <f>графік!J57</f>
        <v/>
      </c>
      <c r="I51" s="194" t="str">
        <f>графік!K57</f>
        <v/>
      </c>
      <c r="J51" s="194" t="str">
        <f ca="1">графік!L57</f>
        <v/>
      </c>
      <c r="K51" s="194" t="str">
        <f>графік!M57</f>
        <v/>
      </c>
      <c r="L51" s="194" t="str">
        <f>графік!N57</f>
        <v/>
      </c>
      <c r="M51" s="194" t="str">
        <f>графік!O57</f>
        <v/>
      </c>
      <c r="N51" s="194" t="str">
        <f>графік!P57</f>
        <v/>
      </c>
      <c r="O51" s="194" t="str">
        <f>графік!Q57</f>
        <v/>
      </c>
      <c r="P51" s="194" t="str">
        <f>графік!R57</f>
        <v/>
      </c>
      <c r="Q51" s="209" t="str">
        <f>графік!S57</f>
        <v/>
      </c>
      <c r="R51" s="194" t="str">
        <f>графік!T57</f>
        <v/>
      </c>
    </row>
    <row r="52" spans="1:18" x14ac:dyDescent="0.35">
      <c r="A52" s="40">
        <f>графік!A58</f>
        <v>31</v>
      </c>
      <c r="B52" s="42">
        <f ca="1">графік!C58</f>
        <v>46138</v>
      </c>
      <c r="C52" s="41">
        <f ca="1">графік!D58</f>
        <v>31</v>
      </c>
      <c r="D52" s="194">
        <f ca="1">графік!F58</f>
        <v>18548.18</v>
      </c>
      <c r="E52" s="193">
        <f>графік!G58</f>
        <v>12500</v>
      </c>
      <c r="F52" s="194">
        <f ca="1">графік!H58</f>
        <v>6048.18</v>
      </c>
      <c r="G52" s="194" t="str">
        <f>графік!I58</f>
        <v/>
      </c>
      <c r="H52" s="194" t="str">
        <f>графік!J58</f>
        <v/>
      </c>
      <c r="I52" s="194" t="str">
        <f>графік!K58</f>
        <v/>
      </c>
      <c r="J52" s="194" t="str">
        <f ca="1">графік!L58</f>
        <v/>
      </c>
      <c r="K52" s="194" t="str">
        <f>графік!M58</f>
        <v/>
      </c>
      <c r="L52" s="194" t="str">
        <f>графік!N58</f>
        <v/>
      </c>
      <c r="M52" s="194" t="str">
        <f>графік!O58</f>
        <v/>
      </c>
      <c r="N52" s="194" t="str">
        <f>графік!P58</f>
        <v/>
      </c>
      <c r="O52" s="194" t="str">
        <f>графік!Q58</f>
        <v/>
      </c>
      <c r="P52" s="194" t="str">
        <f>графік!R58</f>
        <v/>
      </c>
      <c r="Q52" s="209" t="str">
        <f>графік!S58</f>
        <v/>
      </c>
      <c r="R52" s="194" t="str">
        <f>графік!T58</f>
        <v/>
      </c>
    </row>
    <row r="53" spans="1:18" x14ac:dyDescent="0.35">
      <c r="A53" s="40">
        <f>графік!A59</f>
        <v>32</v>
      </c>
      <c r="B53" s="42">
        <f ca="1">графік!C59</f>
        <v>46168</v>
      </c>
      <c r="C53" s="41">
        <f ca="1">графік!D59</f>
        <v>30</v>
      </c>
      <c r="D53" s="194">
        <f ca="1">графік!F59</f>
        <v>18157.98</v>
      </c>
      <c r="E53" s="193">
        <f>графік!G59</f>
        <v>12500</v>
      </c>
      <c r="F53" s="194">
        <f ca="1">графік!H59</f>
        <v>5657.98</v>
      </c>
      <c r="G53" s="194" t="str">
        <f>графік!I59</f>
        <v/>
      </c>
      <c r="H53" s="194" t="str">
        <f>графік!J59</f>
        <v/>
      </c>
      <c r="I53" s="194" t="str">
        <f>графік!K59</f>
        <v/>
      </c>
      <c r="J53" s="194" t="str">
        <f ca="1">графік!L59</f>
        <v/>
      </c>
      <c r="K53" s="194" t="str">
        <f>графік!M59</f>
        <v/>
      </c>
      <c r="L53" s="194" t="str">
        <f>графік!N59</f>
        <v/>
      </c>
      <c r="M53" s="194" t="str">
        <f>графік!O59</f>
        <v/>
      </c>
      <c r="N53" s="194" t="str">
        <f>графік!P59</f>
        <v/>
      </c>
      <c r="O53" s="194" t="str">
        <f>графік!Q59</f>
        <v/>
      </c>
      <c r="P53" s="194" t="str">
        <f>графік!R59</f>
        <v/>
      </c>
      <c r="Q53" s="209" t="str">
        <f>графік!S59</f>
        <v/>
      </c>
      <c r="R53" s="194" t="str">
        <f>графік!T59</f>
        <v/>
      </c>
    </row>
    <row r="54" spans="1:18" x14ac:dyDescent="0.35">
      <c r="A54" s="40">
        <f>графік!A60</f>
        <v>33</v>
      </c>
      <c r="B54" s="42">
        <f ca="1">графік!C60</f>
        <v>46199</v>
      </c>
      <c r="C54" s="41">
        <f ca="1">графік!D60</f>
        <v>31</v>
      </c>
      <c r="D54" s="194">
        <f ca="1">графік!F60</f>
        <v>18144.97</v>
      </c>
      <c r="E54" s="193">
        <f>графік!G60</f>
        <v>12500</v>
      </c>
      <c r="F54" s="194">
        <f ca="1">графік!H60</f>
        <v>5644.97</v>
      </c>
      <c r="G54" s="194" t="str">
        <f>графік!I60</f>
        <v/>
      </c>
      <c r="H54" s="194" t="str">
        <f>графік!J60</f>
        <v/>
      </c>
      <c r="I54" s="194" t="str">
        <f>графік!K60</f>
        <v/>
      </c>
      <c r="J54" s="194" t="str">
        <f ca="1">графік!L60</f>
        <v/>
      </c>
      <c r="K54" s="194" t="str">
        <f>графік!M60</f>
        <v/>
      </c>
      <c r="L54" s="194" t="str">
        <f>графік!N60</f>
        <v/>
      </c>
      <c r="M54" s="194" t="str">
        <f>графік!O60</f>
        <v/>
      </c>
      <c r="N54" s="194" t="str">
        <f>графік!P60</f>
        <v/>
      </c>
      <c r="O54" s="194" t="str">
        <f>графік!Q60</f>
        <v/>
      </c>
      <c r="P54" s="194" t="str">
        <f>графік!R60</f>
        <v/>
      </c>
      <c r="Q54" s="209" t="str">
        <f>графік!S60</f>
        <v/>
      </c>
      <c r="R54" s="194" t="str">
        <f>графік!T60</f>
        <v/>
      </c>
    </row>
    <row r="55" spans="1:18" x14ac:dyDescent="0.35">
      <c r="A55" s="40">
        <f>графік!A61</f>
        <v>34</v>
      </c>
      <c r="B55" s="42">
        <f ca="1">графік!C61</f>
        <v>46229</v>
      </c>
      <c r="C55" s="41">
        <f ca="1">графік!D61</f>
        <v>30</v>
      </c>
      <c r="D55" s="194">
        <f ca="1">графік!F61</f>
        <v>17767.77</v>
      </c>
      <c r="E55" s="193">
        <f>графік!G61</f>
        <v>12500</v>
      </c>
      <c r="F55" s="194">
        <f ca="1">графік!H61</f>
        <v>5267.77</v>
      </c>
      <c r="G55" s="194" t="str">
        <f>графік!I61</f>
        <v/>
      </c>
      <c r="H55" s="194" t="str">
        <f>графік!J61</f>
        <v/>
      </c>
      <c r="I55" s="194" t="str">
        <f>графік!K61</f>
        <v/>
      </c>
      <c r="J55" s="194" t="str">
        <f ca="1">графік!L61</f>
        <v/>
      </c>
      <c r="K55" s="194" t="str">
        <f>графік!M61</f>
        <v/>
      </c>
      <c r="L55" s="194" t="str">
        <f>графік!N61</f>
        <v/>
      </c>
      <c r="M55" s="194" t="str">
        <f>графік!O61</f>
        <v/>
      </c>
      <c r="N55" s="194" t="str">
        <f>графік!P61</f>
        <v/>
      </c>
      <c r="O55" s="194" t="str">
        <f>графік!Q61</f>
        <v/>
      </c>
      <c r="P55" s="194" t="str">
        <f>графік!R61</f>
        <v/>
      </c>
      <c r="Q55" s="209" t="str">
        <f>графік!S61</f>
        <v/>
      </c>
      <c r="R55" s="194" t="str">
        <f>графік!T61</f>
        <v/>
      </c>
    </row>
    <row r="56" spans="1:18" x14ac:dyDescent="0.35">
      <c r="A56" s="40">
        <f>графік!A62</f>
        <v>35</v>
      </c>
      <c r="B56" s="42">
        <f ca="1">графік!C62</f>
        <v>46260</v>
      </c>
      <c r="C56" s="41">
        <f ca="1">графік!D62</f>
        <v>31</v>
      </c>
      <c r="D56" s="194">
        <f ca="1">графік!F62</f>
        <v>17741.760000000002</v>
      </c>
      <c r="E56" s="193">
        <f>графік!G62</f>
        <v>12500</v>
      </c>
      <c r="F56" s="194">
        <f ca="1">графік!H62</f>
        <v>5241.76</v>
      </c>
      <c r="G56" s="194" t="str">
        <f>графік!I62</f>
        <v/>
      </c>
      <c r="H56" s="194" t="str">
        <f>графік!J62</f>
        <v/>
      </c>
      <c r="I56" s="194" t="str">
        <f>графік!K62</f>
        <v/>
      </c>
      <c r="J56" s="194" t="str">
        <f ca="1">графік!L62</f>
        <v/>
      </c>
      <c r="K56" s="194" t="str">
        <f>графік!M62</f>
        <v/>
      </c>
      <c r="L56" s="194" t="str">
        <f>графік!N62</f>
        <v/>
      </c>
      <c r="M56" s="194" t="str">
        <f>графік!O62</f>
        <v/>
      </c>
      <c r="N56" s="194" t="str">
        <f>графік!P62</f>
        <v/>
      </c>
      <c r="O56" s="194" t="str">
        <f>графік!Q62</f>
        <v/>
      </c>
      <c r="P56" s="194" t="str">
        <f>графік!R62</f>
        <v/>
      </c>
      <c r="Q56" s="209" t="str">
        <f>графік!S62</f>
        <v/>
      </c>
      <c r="R56" s="194" t="str">
        <f>графік!T62</f>
        <v/>
      </c>
    </row>
    <row r="57" spans="1:18" x14ac:dyDescent="0.35">
      <c r="A57" s="40">
        <f>графік!A63</f>
        <v>36</v>
      </c>
      <c r="B57" s="42">
        <f ca="1">графік!C63</f>
        <v>46291</v>
      </c>
      <c r="C57" s="41">
        <f ca="1">графік!D63</f>
        <v>31</v>
      </c>
      <c r="D57" s="194">
        <f ca="1">графік!F63</f>
        <v>17540.150000000001</v>
      </c>
      <c r="E57" s="193">
        <f>графік!G63</f>
        <v>12500</v>
      </c>
      <c r="F57" s="194">
        <f ca="1">графік!H63</f>
        <v>5040.1499999999996</v>
      </c>
      <c r="G57" s="194" t="str">
        <f>графік!I63</f>
        <v/>
      </c>
      <c r="H57" s="194" t="str">
        <f>графік!J63</f>
        <v/>
      </c>
      <c r="I57" s="194" t="str">
        <f>графік!K63</f>
        <v/>
      </c>
      <c r="J57" s="194" t="str">
        <f ca="1">графік!L63</f>
        <v/>
      </c>
      <c r="K57" s="194" t="str">
        <f>графік!M63</f>
        <v/>
      </c>
      <c r="L57" s="194" t="str">
        <f>графік!N63</f>
        <v/>
      </c>
      <c r="M57" s="194" t="str">
        <f>графік!O63</f>
        <v/>
      </c>
      <c r="N57" s="194" t="str">
        <f>графік!P63</f>
        <v/>
      </c>
      <c r="O57" s="194" t="str">
        <f>графік!Q63</f>
        <v/>
      </c>
      <c r="P57" s="194" t="str">
        <f>графік!R63</f>
        <v/>
      </c>
      <c r="Q57" s="209" t="str">
        <f>графік!S63</f>
        <v/>
      </c>
      <c r="R57" s="194" t="str">
        <f>графік!T63</f>
        <v/>
      </c>
    </row>
    <row r="58" spans="1:18" x14ac:dyDescent="0.35">
      <c r="A58" s="40">
        <f>графік!A64</f>
        <v>37</v>
      </c>
      <c r="B58" s="42">
        <f ca="1">графік!C64</f>
        <v>46321</v>
      </c>
      <c r="C58" s="41">
        <f ca="1">графік!D64</f>
        <v>30</v>
      </c>
      <c r="D58" s="194">
        <f ca="1">графік!F64</f>
        <v>17182.47</v>
      </c>
      <c r="E58" s="193">
        <f>графік!G64</f>
        <v>12500</v>
      </c>
      <c r="F58" s="194">
        <f ca="1">графік!H64</f>
        <v>4682.47</v>
      </c>
      <c r="G58" s="194" t="str">
        <f>графік!I64</f>
        <v/>
      </c>
      <c r="H58" s="194" t="str">
        <f>графік!J64</f>
        <v/>
      </c>
      <c r="I58" s="194" t="str">
        <f>графік!K64</f>
        <v/>
      </c>
      <c r="J58" s="194">
        <f>графік!L64</f>
        <v>2500</v>
      </c>
      <c r="K58" s="194" t="str">
        <f>графік!M64</f>
        <v/>
      </c>
      <c r="L58" s="194" t="str">
        <f>графік!N64</f>
        <v/>
      </c>
      <c r="M58" s="194" t="str">
        <f>графік!O64</f>
        <v/>
      </c>
      <c r="N58" s="194" t="str">
        <f>графік!P64</f>
        <v/>
      </c>
      <c r="O58" s="194" t="str">
        <f>графік!Q64</f>
        <v/>
      </c>
      <c r="P58" s="194" t="str">
        <f>графік!R64</f>
        <v/>
      </c>
      <c r="Q58" s="209" t="str">
        <f>графік!S64</f>
        <v/>
      </c>
      <c r="R58" s="194" t="str">
        <f>графік!T64</f>
        <v/>
      </c>
    </row>
    <row r="59" spans="1:18" x14ac:dyDescent="0.35">
      <c r="A59" s="40">
        <f>графік!A65</f>
        <v>38</v>
      </c>
      <c r="B59" s="42">
        <f ca="1">графік!C65</f>
        <v>46352</v>
      </c>
      <c r="C59" s="41">
        <f ca="1">графік!D65</f>
        <v>31</v>
      </c>
      <c r="D59" s="194">
        <f ca="1">графік!F65</f>
        <v>17136.939999999999</v>
      </c>
      <c r="E59" s="193">
        <f>графік!G65</f>
        <v>12500</v>
      </c>
      <c r="F59" s="194">
        <f ca="1">графік!H65</f>
        <v>4636.9399999999996</v>
      </c>
      <c r="G59" s="194" t="str">
        <f>графік!I65</f>
        <v/>
      </c>
      <c r="H59" s="194" t="str">
        <f>графік!J65</f>
        <v/>
      </c>
      <c r="I59" s="194" t="str">
        <f>графік!K65</f>
        <v/>
      </c>
      <c r="J59" s="194" t="str">
        <f ca="1">графік!L65</f>
        <v/>
      </c>
      <c r="K59" s="194" t="str">
        <f>графік!M65</f>
        <v/>
      </c>
      <c r="L59" s="194" t="str">
        <f>графік!N65</f>
        <v/>
      </c>
      <c r="M59" s="194" t="str">
        <f>графік!O65</f>
        <v/>
      </c>
      <c r="N59" s="194" t="str">
        <f>графік!P65</f>
        <v/>
      </c>
      <c r="O59" s="194" t="str">
        <f>графік!Q65</f>
        <v/>
      </c>
      <c r="P59" s="194" t="str">
        <f>графік!R65</f>
        <v/>
      </c>
      <c r="Q59" s="209" t="str">
        <f>графік!S65</f>
        <v/>
      </c>
      <c r="R59" s="194" t="str">
        <f>графік!T65</f>
        <v/>
      </c>
    </row>
    <row r="60" spans="1:18" x14ac:dyDescent="0.35">
      <c r="A60" s="40">
        <f>графік!A66</f>
        <v>39</v>
      </c>
      <c r="B60" s="42">
        <f ca="1">графік!C66</f>
        <v>46382</v>
      </c>
      <c r="C60" s="41">
        <f ca="1">графік!D66</f>
        <v>30</v>
      </c>
      <c r="D60" s="194">
        <f ca="1">графік!F66</f>
        <v>16792.260000000002</v>
      </c>
      <c r="E60" s="193">
        <f>графік!G66</f>
        <v>12500</v>
      </c>
      <c r="F60" s="194">
        <f ca="1">графік!H66</f>
        <v>4292.26</v>
      </c>
      <c r="G60" s="194" t="str">
        <f>графік!I66</f>
        <v/>
      </c>
      <c r="H60" s="194" t="str">
        <f>графік!J66</f>
        <v/>
      </c>
      <c r="I60" s="194" t="str">
        <f>графік!K66</f>
        <v/>
      </c>
      <c r="J60" s="194" t="str">
        <f ca="1">графік!L66</f>
        <v/>
      </c>
      <c r="K60" s="194" t="str">
        <f>графік!M66</f>
        <v/>
      </c>
      <c r="L60" s="194" t="str">
        <f>графік!N66</f>
        <v/>
      </c>
      <c r="M60" s="194" t="str">
        <f>графік!O66</f>
        <v/>
      </c>
      <c r="N60" s="194" t="str">
        <f>графік!P66</f>
        <v/>
      </c>
      <c r="O60" s="194" t="str">
        <f>графік!Q66</f>
        <v/>
      </c>
      <c r="P60" s="194" t="str">
        <f>графік!R66</f>
        <v/>
      </c>
      <c r="Q60" s="209" t="str">
        <f>графік!S66</f>
        <v/>
      </c>
      <c r="R60" s="194" t="str">
        <f>графік!T66</f>
        <v/>
      </c>
    </row>
    <row r="61" spans="1:18" x14ac:dyDescent="0.35">
      <c r="A61" s="40">
        <f>графік!A67</f>
        <v>40</v>
      </c>
      <c r="B61" s="42">
        <f ca="1">графік!C67</f>
        <v>46413</v>
      </c>
      <c r="C61" s="41">
        <f ca="1">графік!D67</f>
        <v>31</v>
      </c>
      <c r="D61" s="194">
        <f ca="1">графік!F67</f>
        <v>16733.73</v>
      </c>
      <c r="E61" s="193">
        <f>графік!G67</f>
        <v>12500</v>
      </c>
      <c r="F61" s="194">
        <f ca="1">графік!H67</f>
        <v>4233.7299999999996</v>
      </c>
      <c r="G61" s="194" t="str">
        <f>графік!I67</f>
        <v/>
      </c>
      <c r="H61" s="194" t="str">
        <f>графік!J67</f>
        <v/>
      </c>
      <c r="I61" s="194" t="str">
        <f>графік!K67</f>
        <v/>
      </c>
      <c r="J61" s="194" t="str">
        <f ca="1">графік!L67</f>
        <v/>
      </c>
      <c r="K61" s="194" t="str">
        <f>графік!M67</f>
        <v/>
      </c>
      <c r="L61" s="194" t="str">
        <f>графік!N67</f>
        <v/>
      </c>
      <c r="M61" s="194" t="str">
        <f>графік!O67</f>
        <v/>
      </c>
      <c r="N61" s="194" t="str">
        <f>графік!P67</f>
        <v/>
      </c>
      <c r="O61" s="194" t="str">
        <f>графік!Q67</f>
        <v/>
      </c>
      <c r="P61" s="194" t="str">
        <f>графік!R67</f>
        <v/>
      </c>
      <c r="Q61" s="209" t="str">
        <f>графік!S67</f>
        <v/>
      </c>
      <c r="R61" s="194" t="str">
        <f>графік!T67</f>
        <v/>
      </c>
    </row>
    <row r="62" spans="1:18" x14ac:dyDescent="0.35">
      <c r="A62" s="40">
        <f>графік!A68</f>
        <v>41</v>
      </c>
      <c r="B62" s="42">
        <f ca="1">графік!C68</f>
        <v>46444</v>
      </c>
      <c r="C62" s="41">
        <f ca="1">графік!D68</f>
        <v>31</v>
      </c>
      <c r="D62" s="194">
        <f ca="1">графік!F68</f>
        <v>16532.12</v>
      </c>
      <c r="E62" s="193">
        <f>графік!G68</f>
        <v>12500</v>
      </c>
      <c r="F62" s="194">
        <f ca="1">графік!H68</f>
        <v>4032.12</v>
      </c>
      <c r="G62" s="194" t="str">
        <f>графік!I68</f>
        <v/>
      </c>
      <c r="H62" s="194" t="str">
        <f>графік!J68</f>
        <v/>
      </c>
      <c r="I62" s="194" t="str">
        <f>графік!K68</f>
        <v/>
      </c>
      <c r="J62" s="194" t="str">
        <f ca="1">графік!L68</f>
        <v/>
      </c>
      <c r="K62" s="194" t="str">
        <f>графік!M68</f>
        <v/>
      </c>
      <c r="L62" s="194" t="str">
        <f>графік!N68</f>
        <v/>
      </c>
      <c r="M62" s="194" t="str">
        <f>графік!O68</f>
        <v/>
      </c>
      <c r="N62" s="194" t="str">
        <f>графік!P68</f>
        <v/>
      </c>
      <c r="O62" s="194" t="str">
        <f>графік!Q68</f>
        <v/>
      </c>
      <c r="P62" s="194" t="str">
        <f>графік!R68</f>
        <v/>
      </c>
      <c r="Q62" s="209" t="str">
        <f>графік!S68</f>
        <v/>
      </c>
      <c r="R62" s="194" t="str">
        <f>графік!T68</f>
        <v/>
      </c>
    </row>
    <row r="63" spans="1:18" x14ac:dyDescent="0.35">
      <c r="A63" s="40">
        <f>графік!A69</f>
        <v>42</v>
      </c>
      <c r="B63" s="42">
        <f ca="1">графік!C69</f>
        <v>46472</v>
      </c>
      <c r="C63" s="41">
        <f ca="1">графік!D69</f>
        <v>28</v>
      </c>
      <c r="D63" s="194">
        <f ca="1">графік!F69</f>
        <v>15959.82</v>
      </c>
      <c r="E63" s="193">
        <f>графік!G69</f>
        <v>12500</v>
      </c>
      <c r="F63" s="194">
        <f ca="1">графік!H69</f>
        <v>3459.82</v>
      </c>
      <c r="G63" s="194" t="str">
        <f>графік!I69</f>
        <v/>
      </c>
      <c r="H63" s="194" t="str">
        <f>графік!J69</f>
        <v/>
      </c>
      <c r="I63" s="194" t="str">
        <f>графік!K69</f>
        <v/>
      </c>
      <c r="J63" s="194" t="str">
        <f ca="1">графік!L69</f>
        <v/>
      </c>
      <c r="K63" s="194" t="str">
        <f>графік!M69</f>
        <v/>
      </c>
      <c r="L63" s="194" t="str">
        <f>графік!N69</f>
        <v/>
      </c>
      <c r="M63" s="194" t="str">
        <f>графік!O69</f>
        <v/>
      </c>
      <c r="N63" s="194" t="str">
        <f>графік!P69</f>
        <v/>
      </c>
      <c r="O63" s="194" t="str">
        <f>графік!Q69</f>
        <v/>
      </c>
      <c r="P63" s="194" t="str">
        <f>графік!R69</f>
        <v/>
      </c>
      <c r="Q63" s="209" t="str">
        <f>графік!S69</f>
        <v/>
      </c>
      <c r="R63" s="194" t="str">
        <f>графік!T69</f>
        <v/>
      </c>
    </row>
    <row r="64" spans="1:18" x14ac:dyDescent="0.35">
      <c r="A64" s="40">
        <f>графік!A70</f>
        <v>43</v>
      </c>
      <c r="B64" s="42">
        <f ca="1">графік!C70</f>
        <v>46503</v>
      </c>
      <c r="C64" s="41">
        <f ca="1">графік!D70</f>
        <v>31</v>
      </c>
      <c r="D64" s="194">
        <f ca="1">графік!F70</f>
        <v>16128.91</v>
      </c>
      <c r="E64" s="193">
        <f>графік!G70</f>
        <v>12500</v>
      </c>
      <c r="F64" s="194">
        <f ca="1">графік!H70</f>
        <v>3628.91</v>
      </c>
      <c r="G64" s="194" t="str">
        <f>графік!I70</f>
        <v/>
      </c>
      <c r="H64" s="194" t="str">
        <f>графік!J70</f>
        <v/>
      </c>
      <c r="I64" s="194" t="str">
        <f>графік!K70</f>
        <v/>
      </c>
      <c r="J64" s="194" t="str">
        <f ca="1">графік!L70</f>
        <v/>
      </c>
      <c r="K64" s="194" t="str">
        <f>графік!M70</f>
        <v/>
      </c>
      <c r="L64" s="194" t="str">
        <f>графік!N70</f>
        <v/>
      </c>
      <c r="M64" s="194" t="str">
        <f>графік!O70</f>
        <v/>
      </c>
      <c r="N64" s="194" t="str">
        <f>графік!P70</f>
        <v/>
      </c>
      <c r="O64" s="194" t="str">
        <f>графік!Q70</f>
        <v/>
      </c>
      <c r="P64" s="194" t="str">
        <f>графік!R70</f>
        <v/>
      </c>
      <c r="Q64" s="209" t="str">
        <f>графік!S70</f>
        <v/>
      </c>
      <c r="R64" s="194" t="str">
        <f>графік!T70</f>
        <v/>
      </c>
    </row>
    <row r="65" spans="1:18" x14ac:dyDescent="0.35">
      <c r="A65" s="40">
        <f>графік!A71</f>
        <v>44</v>
      </c>
      <c r="B65" s="42">
        <f ca="1">графік!C71</f>
        <v>46533</v>
      </c>
      <c r="C65" s="41">
        <f ca="1">графік!D71</f>
        <v>30</v>
      </c>
      <c r="D65" s="194">
        <f ca="1">графік!F71</f>
        <v>15816.75</v>
      </c>
      <c r="E65" s="193">
        <f>графік!G71</f>
        <v>12500</v>
      </c>
      <c r="F65" s="194">
        <f ca="1">графік!H71</f>
        <v>3316.75</v>
      </c>
      <c r="G65" s="194" t="str">
        <f>графік!I71</f>
        <v/>
      </c>
      <c r="H65" s="194" t="str">
        <f>графік!J71</f>
        <v/>
      </c>
      <c r="I65" s="194" t="str">
        <f>графік!K71</f>
        <v/>
      </c>
      <c r="J65" s="194" t="str">
        <f ca="1">графік!L71</f>
        <v/>
      </c>
      <c r="K65" s="194" t="str">
        <f>графік!M71</f>
        <v/>
      </c>
      <c r="L65" s="194" t="str">
        <f>графік!N71</f>
        <v/>
      </c>
      <c r="M65" s="194" t="str">
        <f>графік!O71</f>
        <v/>
      </c>
      <c r="N65" s="194" t="str">
        <f>графік!P71</f>
        <v/>
      </c>
      <c r="O65" s="194" t="str">
        <f>графік!Q71</f>
        <v/>
      </c>
      <c r="P65" s="194" t="str">
        <f>графік!R71</f>
        <v/>
      </c>
      <c r="Q65" s="209" t="str">
        <f>графік!S71</f>
        <v/>
      </c>
      <c r="R65" s="194" t="str">
        <f>графік!T71</f>
        <v/>
      </c>
    </row>
    <row r="66" spans="1:18" x14ac:dyDescent="0.35">
      <c r="A66" s="40">
        <f>графік!A72</f>
        <v>45</v>
      </c>
      <c r="B66" s="42">
        <f ca="1">графік!C72</f>
        <v>46564</v>
      </c>
      <c r="C66" s="41">
        <f ca="1">графік!D72</f>
        <v>31</v>
      </c>
      <c r="D66" s="194">
        <f ca="1">графік!F72</f>
        <v>15725.7</v>
      </c>
      <c r="E66" s="193">
        <f>графік!G72</f>
        <v>12500</v>
      </c>
      <c r="F66" s="194">
        <f ca="1">графік!H72</f>
        <v>3225.7</v>
      </c>
      <c r="G66" s="194" t="str">
        <f>графік!I72</f>
        <v/>
      </c>
      <c r="H66" s="194" t="str">
        <f>графік!J72</f>
        <v/>
      </c>
      <c r="I66" s="194" t="str">
        <f>графік!K72</f>
        <v/>
      </c>
      <c r="J66" s="194" t="str">
        <f ca="1">графік!L72</f>
        <v/>
      </c>
      <c r="K66" s="194" t="str">
        <f>графік!M72</f>
        <v/>
      </c>
      <c r="L66" s="194" t="str">
        <f>графік!N72</f>
        <v/>
      </c>
      <c r="M66" s="194" t="str">
        <f>графік!O72</f>
        <v/>
      </c>
      <c r="N66" s="194" t="str">
        <f>графік!P72</f>
        <v/>
      </c>
      <c r="O66" s="194" t="str">
        <f>графік!Q72</f>
        <v/>
      </c>
      <c r="P66" s="194" t="str">
        <f>графік!R72</f>
        <v/>
      </c>
      <c r="Q66" s="209" t="str">
        <f>графік!S72</f>
        <v/>
      </c>
      <c r="R66" s="194" t="str">
        <f>графік!T72</f>
        <v/>
      </c>
    </row>
    <row r="67" spans="1:18" x14ac:dyDescent="0.35">
      <c r="A67" s="40">
        <f>графік!A73</f>
        <v>46</v>
      </c>
      <c r="B67" s="42">
        <f ca="1">графік!C73</f>
        <v>46594</v>
      </c>
      <c r="C67" s="41">
        <f ca="1">графік!D73</f>
        <v>30</v>
      </c>
      <c r="D67" s="194">
        <f ca="1">графік!F73</f>
        <v>15426.54</v>
      </c>
      <c r="E67" s="193">
        <f>графік!G73</f>
        <v>12500</v>
      </c>
      <c r="F67" s="194">
        <f ca="1">графік!H73</f>
        <v>2926.54</v>
      </c>
      <c r="G67" s="194" t="str">
        <f>графік!I73</f>
        <v/>
      </c>
      <c r="H67" s="194" t="str">
        <f>графік!J73</f>
        <v/>
      </c>
      <c r="I67" s="194" t="str">
        <f>графік!K73</f>
        <v/>
      </c>
      <c r="J67" s="194" t="str">
        <f ca="1">графік!L73</f>
        <v/>
      </c>
      <c r="K67" s="194" t="str">
        <f>графік!M73</f>
        <v/>
      </c>
      <c r="L67" s="194" t="str">
        <f>графік!N73</f>
        <v/>
      </c>
      <c r="M67" s="194" t="str">
        <f>графік!O73</f>
        <v/>
      </c>
      <c r="N67" s="194" t="str">
        <f>графік!P73</f>
        <v/>
      </c>
      <c r="O67" s="194" t="str">
        <f>графік!Q73</f>
        <v/>
      </c>
      <c r="P67" s="194" t="str">
        <f>графік!R73</f>
        <v/>
      </c>
      <c r="Q67" s="209" t="str">
        <f>графік!S73</f>
        <v/>
      </c>
      <c r="R67" s="194" t="str">
        <f>графік!T73</f>
        <v/>
      </c>
    </row>
    <row r="68" spans="1:18" x14ac:dyDescent="0.35">
      <c r="A68" s="40">
        <f>графік!A74</f>
        <v>47</v>
      </c>
      <c r="B68" s="42">
        <f ca="1">графік!C74</f>
        <v>46625</v>
      </c>
      <c r="C68" s="41">
        <f ca="1">графік!D74</f>
        <v>31</v>
      </c>
      <c r="D68" s="194">
        <f ca="1">графік!F74</f>
        <v>15322.49</v>
      </c>
      <c r="E68" s="193">
        <f>графік!G74</f>
        <v>12500</v>
      </c>
      <c r="F68" s="194">
        <f ca="1">графік!H74</f>
        <v>2822.49</v>
      </c>
      <c r="G68" s="194" t="str">
        <f>графік!I74</f>
        <v/>
      </c>
      <c r="H68" s="194" t="str">
        <f>графік!J74</f>
        <v/>
      </c>
      <c r="I68" s="194" t="str">
        <f>графік!K74</f>
        <v/>
      </c>
      <c r="J68" s="194" t="str">
        <f ca="1">графік!L74</f>
        <v/>
      </c>
      <c r="K68" s="194" t="str">
        <f>графік!M74</f>
        <v/>
      </c>
      <c r="L68" s="194" t="str">
        <f>графік!N74</f>
        <v/>
      </c>
      <c r="M68" s="194" t="str">
        <f>графік!O74</f>
        <v/>
      </c>
      <c r="N68" s="194" t="str">
        <f>графік!P74</f>
        <v/>
      </c>
      <c r="O68" s="194" t="str">
        <f>графік!Q74</f>
        <v/>
      </c>
      <c r="P68" s="194" t="str">
        <f>графік!R74</f>
        <v/>
      </c>
      <c r="Q68" s="209" t="str">
        <f>графік!S74</f>
        <v/>
      </c>
      <c r="R68" s="194" t="str">
        <f>графік!T74</f>
        <v/>
      </c>
    </row>
    <row r="69" spans="1:18" x14ac:dyDescent="0.35">
      <c r="A69" s="40">
        <f>графік!A75</f>
        <v>48</v>
      </c>
      <c r="B69" s="42">
        <f ca="1">графік!C75</f>
        <v>46656</v>
      </c>
      <c r="C69" s="41">
        <f ca="1">графік!D75</f>
        <v>31</v>
      </c>
      <c r="D69" s="194">
        <f ca="1">графік!F75</f>
        <v>15120.880000000001</v>
      </c>
      <c r="E69" s="193">
        <f>графік!G75</f>
        <v>12500</v>
      </c>
      <c r="F69" s="194">
        <f ca="1">графік!H75</f>
        <v>2620.88</v>
      </c>
      <c r="G69" s="194" t="str">
        <f>графік!I75</f>
        <v/>
      </c>
      <c r="H69" s="194" t="str">
        <f>графік!J75</f>
        <v/>
      </c>
      <c r="I69" s="194" t="str">
        <f>графік!K75</f>
        <v/>
      </c>
      <c r="J69" s="194" t="str">
        <f ca="1">графік!L75</f>
        <v/>
      </c>
      <c r="K69" s="194" t="str">
        <f>графік!M75</f>
        <v/>
      </c>
      <c r="L69" s="194" t="str">
        <f>графік!N75</f>
        <v/>
      </c>
      <c r="M69" s="194" t="str">
        <f>графік!O75</f>
        <v/>
      </c>
      <c r="N69" s="194" t="str">
        <f>графік!P75</f>
        <v/>
      </c>
      <c r="O69" s="194" t="str">
        <f>графік!Q75</f>
        <v/>
      </c>
      <c r="P69" s="194" t="str">
        <f>графік!R75</f>
        <v/>
      </c>
      <c r="Q69" s="209" t="str">
        <f>графік!S75</f>
        <v/>
      </c>
      <c r="R69" s="194" t="str">
        <f>графік!T75</f>
        <v/>
      </c>
    </row>
    <row r="70" spans="1:18" x14ac:dyDescent="0.35">
      <c r="A70" s="40">
        <f>графік!A76</f>
        <v>49</v>
      </c>
      <c r="B70" s="42">
        <f ca="1">графік!C76</f>
        <v>46686</v>
      </c>
      <c r="C70" s="41">
        <f ca="1">графік!D76</f>
        <v>30</v>
      </c>
      <c r="D70" s="194">
        <f ca="1">графік!F76</f>
        <v>14841.23</v>
      </c>
      <c r="E70" s="193">
        <f>графік!G76</f>
        <v>12500</v>
      </c>
      <c r="F70" s="194">
        <f ca="1">графік!H76</f>
        <v>2341.23</v>
      </c>
      <c r="G70" s="194" t="str">
        <f>графік!I76</f>
        <v/>
      </c>
      <c r="H70" s="194" t="str">
        <f>графік!J76</f>
        <v/>
      </c>
      <c r="I70" s="194" t="str">
        <f>графік!K76</f>
        <v/>
      </c>
      <c r="J70" s="194">
        <f>графік!L76</f>
        <v>2500</v>
      </c>
      <c r="K70" s="194" t="str">
        <f>графік!M76</f>
        <v/>
      </c>
      <c r="L70" s="194" t="str">
        <f>графік!N76</f>
        <v/>
      </c>
      <c r="M70" s="194" t="str">
        <f>графік!O76</f>
        <v/>
      </c>
      <c r="N70" s="194" t="str">
        <f>графік!P76</f>
        <v/>
      </c>
      <c r="O70" s="194" t="str">
        <f>графік!Q76</f>
        <v/>
      </c>
      <c r="P70" s="194" t="str">
        <f>графік!R76</f>
        <v/>
      </c>
      <c r="Q70" s="209" t="str">
        <f>графік!S76</f>
        <v/>
      </c>
      <c r="R70" s="194" t="str">
        <f>графік!T76</f>
        <v/>
      </c>
    </row>
    <row r="71" spans="1:18" x14ac:dyDescent="0.35">
      <c r="A71" s="40">
        <f>графік!A77</f>
        <v>50</v>
      </c>
      <c r="B71" s="42">
        <f ca="1">графік!C77</f>
        <v>46717</v>
      </c>
      <c r="C71" s="41">
        <f ca="1">графік!D77</f>
        <v>31</v>
      </c>
      <c r="D71" s="194">
        <f ca="1">графік!F77</f>
        <v>14717.67</v>
      </c>
      <c r="E71" s="193">
        <f>графік!G77</f>
        <v>12500</v>
      </c>
      <c r="F71" s="194">
        <f ca="1">графік!H77</f>
        <v>2217.67</v>
      </c>
      <c r="G71" s="194" t="str">
        <f>графік!I77</f>
        <v/>
      </c>
      <c r="H71" s="194" t="str">
        <f>графік!J77</f>
        <v/>
      </c>
      <c r="I71" s="194" t="str">
        <f>графік!K77</f>
        <v/>
      </c>
      <c r="J71" s="194" t="str">
        <f ca="1">графік!L77</f>
        <v/>
      </c>
      <c r="K71" s="194" t="str">
        <f>графік!M77</f>
        <v/>
      </c>
      <c r="L71" s="194" t="str">
        <f>графік!N77</f>
        <v/>
      </c>
      <c r="M71" s="194" t="str">
        <f>графік!O77</f>
        <v/>
      </c>
      <c r="N71" s="194" t="str">
        <f>графік!P77</f>
        <v/>
      </c>
      <c r="O71" s="194" t="str">
        <f>графік!Q77</f>
        <v/>
      </c>
      <c r="P71" s="194" t="str">
        <f>графік!R77</f>
        <v/>
      </c>
      <c r="Q71" s="209" t="str">
        <f>графік!S77</f>
        <v/>
      </c>
      <c r="R71" s="194" t="str">
        <f>графік!T77</f>
        <v/>
      </c>
    </row>
    <row r="72" spans="1:18" x14ac:dyDescent="0.35">
      <c r="A72" s="40">
        <f>графік!A78</f>
        <v>51</v>
      </c>
      <c r="B72" s="42">
        <f ca="1">графік!C78</f>
        <v>46747</v>
      </c>
      <c r="C72" s="41">
        <f ca="1">графік!D78</f>
        <v>30</v>
      </c>
      <c r="D72" s="194">
        <f ca="1">графік!F78</f>
        <v>14451.03</v>
      </c>
      <c r="E72" s="193">
        <f>графік!G78</f>
        <v>12500</v>
      </c>
      <c r="F72" s="194">
        <f ca="1">графік!H78</f>
        <v>1951.03</v>
      </c>
      <c r="G72" s="194" t="str">
        <f>графік!I78</f>
        <v/>
      </c>
      <c r="H72" s="194" t="str">
        <f>графік!J78</f>
        <v/>
      </c>
      <c r="I72" s="194" t="str">
        <f>графік!K78</f>
        <v/>
      </c>
      <c r="J72" s="194" t="str">
        <f ca="1">графік!L78</f>
        <v/>
      </c>
      <c r="K72" s="194" t="str">
        <f>графік!M78</f>
        <v/>
      </c>
      <c r="L72" s="194" t="str">
        <f>графік!N78</f>
        <v/>
      </c>
      <c r="M72" s="194" t="str">
        <f>графік!O78</f>
        <v/>
      </c>
      <c r="N72" s="194" t="str">
        <f>графік!P78</f>
        <v/>
      </c>
      <c r="O72" s="194" t="str">
        <f>графік!Q78</f>
        <v/>
      </c>
      <c r="P72" s="194" t="str">
        <f>графік!R78</f>
        <v/>
      </c>
      <c r="Q72" s="209" t="str">
        <f>графік!S78</f>
        <v/>
      </c>
      <c r="R72" s="194" t="str">
        <f>графік!T78</f>
        <v/>
      </c>
    </row>
    <row r="73" spans="1:18" x14ac:dyDescent="0.35">
      <c r="A73" s="40">
        <f>графік!A79</f>
        <v>52</v>
      </c>
      <c r="B73" s="42">
        <f ca="1">графік!C79</f>
        <v>46778</v>
      </c>
      <c r="C73" s="41">
        <f ca="1">графік!D79</f>
        <v>31</v>
      </c>
      <c r="D73" s="194">
        <f ca="1">графік!F79</f>
        <v>14310.46</v>
      </c>
      <c r="E73" s="193">
        <f>графік!G79</f>
        <v>12500</v>
      </c>
      <c r="F73" s="194">
        <f ca="1">графік!H79</f>
        <v>1810.46</v>
      </c>
      <c r="G73" s="194" t="str">
        <f>графік!I79</f>
        <v/>
      </c>
      <c r="H73" s="194" t="str">
        <f>графік!J79</f>
        <v/>
      </c>
      <c r="I73" s="194" t="str">
        <f>графік!K79</f>
        <v/>
      </c>
      <c r="J73" s="194" t="str">
        <f ca="1">графік!L79</f>
        <v/>
      </c>
      <c r="K73" s="194" t="str">
        <f>графік!M79</f>
        <v/>
      </c>
      <c r="L73" s="194" t="str">
        <f>графік!N79</f>
        <v/>
      </c>
      <c r="M73" s="194" t="str">
        <f>графік!O79</f>
        <v/>
      </c>
      <c r="N73" s="194" t="str">
        <f>графік!P79</f>
        <v/>
      </c>
      <c r="O73" s="194" t="str">
        <f>графік!Q79</f>
        <v/>
      </c>
      <c r="P73" s="194" t="str">
        <f>графік!R79</f>
        <v/>
      </c>
      <c r="Q73" s="209" t="str">
        <f>графік!S79</f>
        <v/>
      </c>
      <c r="R73" s="194" t="str">
        <f>графік!T79</f>
        <v/>
      </c>
    </row>
    <row r="74" spans="1:18" x14ac:dyDescent="0.35">
      <c r="A74" s="40">
        <f>графік!A80</f>
        <v>53</v>
      </c>
      <c r="B74" s="42">
        <f ca="1">графік!C80</f>
        <v>46809</v>
      </c>
      <c r="C74" s="41">
        <f ca="1">графік!D80</f>
        <v>31</v>
      </c>
      <c r="D74" s="194">
        <f ca="1">графік!F80</f>
        <v>14108.44</v>
      </c>
      <c r="E74" s="193">
        <f>графік!G80</f>
        <v>12500</v>
      </c>
      <c r="F74" s="194">
        <f ca="1">графік!H80</f>
        <v>1608.44</v>
      </c>
      <c r="G74" s="194" t="str">
        <f>графік!I80</f>
        <v/>
      </c>
      <c r="H74" s="194" t="str">
        <f>графік!J80</f>
        <v/>
      </c>
      <c r="I74" s="194" t="str">
        <f>графік!K80</f>
        <v/>
      </c>
      <c r="J74" s="194" t="str">
        <f ca="1">графік!L80</f>
        <v/>
      </c>
      <c r="K74" s="194" t="str">
        <f>графік!M80</f>
        <v/>
      </c>
      <c r="L74" s="194" t="str">
        <f>графік!N80</f>
        <v/>
      </c>
      <c r="M74" s="194" t="str">
        <f>графік!O80</f>
        <v/>
      </c>
      <c r="N74" s="194" t="str">
        <f>графік!P80</f>
        <v/>
      </c>
      <c r="O74" s="194" t="str">
        <f>графік!Q80</f>
        <v/>
      </c>
      <c r="P74" s="194" t="str">
        <f>графік!R80</f>
        <v/>
      </c>
      <c r="Q74" s="209" t="str">
        <f>графік!S80</f>
        <v/>
      </c>
      <c r="R74" s="194" t="str">
        <f>графік!T80</f>
        <v/>
      </c>
    </row>
    <row r="75" spans="1:18" x14ac:dyDescent="0.35">
      <c r="A75" s="40">
        <f>графік!A81</f>
        <v>54</v>
      </c>
      <c r="B75" s="42">
        <f ca="1">графік!C81</f>
        <v>46838</v>
      </c>
      <c r="C75" s="41">
        <f ca="1">графік!D81</f>
        <v>29</v>
      </c>
      <c r="D75" s="194">
        <f ca="1">графік!F81</f>
        <v>13816.59</v>
      </c>
      <c r="E75" s="193">
        <f>графік!G81</f>
        <v>12500</v>
      </c>
      <c r="F75" s="194">
        <f ca="1">графік!H81</f>
        <v>1316.59</v>
      </c>
      <c r="G75" s="194" t="str">
        <f>графік!I81</f>
        <v/>
      </c>
      <c r="H75" s="194" t="str">
        <f>графік!J81</f>
        <v/>
      </c>
      <c r="I75" s="194" t="str">
        <f>графік!K81</f>
        <v/>
      </c>
      <c r="J75" s="194" t="str">
        <f ca="1">графік!L81</f>
        <v/>
      </c>
      <c r="K75" s="194" t="str">
        <f>графік!M81</f>
        <v/>
      </c>
      <c r="L75" s="194" t="str">
        <f>графік!N81</f>
        <v/>
      </c>
      <c r="M75" s="194" t="str">
        <f>графік!O81</f>
        <v/>
      </c>
      <c r="N75" s="194" t="str">
        <f>графік!P81</f>
        <v/>
      </c>
      <c r="O75" s="194" t="str">
        <f>графік!Q81</f>
        <v/>
      </c>
      <c r="P75" s="194" t="str">
        <f>графік!R81</f>
        <v/>
      </c>
      <c r="Q75" s="209" t="str">
        <f>графік!S81</f>
        <v/>
      </c>
      <c r="R75" s="194" t="str">
        <f>графік!T81</f>
        <v/>
      </c>
    </row>
    <row r="76" spans="1:18" x14ac:dyDescent="0.35">
      <c r="A76" s="40">
        <f>графік!A82</f>
        <v>55</v>
      </c>
      <c r="B76" s="42">
        <f ca="1">графік!C82</f>
        <v>46869</v>
      </c>
      <c r="C76" s="41">
        <f ca="1">графік!D82</f>
        <v>31</v>
      </c>
      <c r="D76" s="194">
        <f ca="1">графік!F82</f>
        <v>13706.33</v>
      </c>
      <c r="E76" s="193">
        <f>графік!G82</f>
        <v>12500</v>
      </c>
      <c r="F76" s="194">
        <f ca="1">графік!H82</f>
        <v>1206.33</v>
      </c>
      <c r="G76" s="194" t="str">
        <f>графік!I82</f>
        <v/>
      </c>
      <c r="H76" s="194" t="str">
        <f>графік!J82</f>
        <v/>
      </c>
      <c r="I76" s="194" t="str">
        <f>графік!K82</f>
        <v/>
      </c>
      <c r="J76" s="194" t="str">
        <f ca="1">графік!L82</f>
        <v/>
      </c>
      <c r="K76" s="194" t="str">
        <f>графік!M82</f>
        <v/>
      </c>
      <c r="L76" s="194" t="str">
        <f>графік!N82</f>
        <v/>
      </c>
      <c r="M76" s="194" t="str">
        <f>графік!O82</f>
        <v/>
      </c>
      <c r="N76" s="194" t="str">
        <f>графік!P82</f>
        <v/>
      </c>
      <c r="O76" s="194" t="str">
        <f>графік!Q82</f>
        <v/>
      </c>
      <c r="P76" s="194" t="str">
        <f>графік!R82</f>
        <v/>
      </c>
      <c r="Q76" s="209" t="str">
        <f>графік!S82</f>
        <v/>
      </c>
      <c r="R76" s="194" t="str">
        <f>графік!T82</f>
        <v/>
      </c>
    </row>
    <row r="77" spans="1:18" x14ac:dyDescent="0.35">
      <c r="A77" s="40">
        <f>графік!A83</f>
        <v>56</v>
      </c>
      <c r="B77" s="42">
        <f ca="1">графік!C83</f>
        <v>46899</v>
      </c>
      <c r="C77" s="41">
        <f ca="1">графік!D83</f>
        <v>30</v>
      </c>
      <c r="D77" s="194">
        <f ca="1">графік!F83</f>
        <v>13472.85</v>
      </c>
      <c r="E77" s="193">
        <f>графік!G83</f>
        <v>12500</v>
      </c>
      <c r="F77" s="194">
        <f ca="1">графік!H83</f>
        <v>972.85</v>
      </c>
      <c r="G77" s="194" t="str">
        <f>графік!I83</f>
        <v/>
      </c>
      <c r="H77" s="194" t="str">
        <f>графік!J83</f>
        <v/>
      </c>
      <c r="I77" s="194" t="str">
        <f>графік!K83</f>
        <v/>
      </c>
      <c r="J77" s="194" t="str">
        <f ca="1">графік!L83</f>
        <v/>
      </c>
      <c r="K77" s="194" t="str">
        <f>графік!M83</f>
        <v/>
      </c>
      <c r="L77" s="194" t="str">
        <f>графік!N83</f>
        <v/>
      </c>
      <c r="M77" s="194" t="str">
        <f>графік!O83</f>
        <v/>
      </c>
      <c r="N77" s="194" t="str">
        <f>графік!P83</f>
        <v/>
      </c>
      <c r="O77" s="194" t="str">
        <f>графік!Q83</f>
        <v/>
      </c>
      <c r="P77" s="194" t="str">
        <f>графік!R83</f>
        <v/>
      </c>
      <c r="Q77" s="209" t="str">
        <f>графік!S83</f>
        <v/>
      </c>
      <c r="R77" s="194" t="str">
        <f>графік!T83</f>
        <v/>
      </c>
    </row>
    <row r="78" spans="1:18" x14ac:dyDescent="0.35">
      <c r="A78" s="40">
        <f>графік!A84</f>
        <v>57</v>
      </c>
      <c r="B78" s="42">
        <f ca="1">графік!C84</f>
        <v>46930</v>
      </c>
      <c r="C78" s="41">
        <f ca="1">графік!D84</f>
        <v>31</v>
      </c>
      <c r="D78" s="194">
        <f ca="1">графік!F84</f>
        <v>13304.22</v>
      </c>
      <c r="E78" s="193">
        <f>графік!G84</f>
        <v>12500</v>
      </c>
      <c r="F78" s="194">
        <f ca="1">графік!H84</f>
        <v>804.22</v>
      </c>
      <c r="G78" s="194" t="str">
        <f>графік!I84</f>
        <v/>
      </c>
      <c r="H78" s="194" t="str">
        <f>графік!J84</f>
        <v/>
      </c>
      <c r="I78" s="194" t="str">
        <f>графік!K84</f>
        <v/>
      </c>
      <c r="J78" s="194" t="str">
        <f ca="1">графік!L84</f>
        <v/>
      </c>
      <c r="K78" s="194" t="str">
        <f>графік!M84</f>
        <v/>
      </c>
      <c r="L78" s="194" t="str">
        <f>графік!N84</f>
        <v/>
      </c>
      <c r="M78" s="194" t="str">
        <f>графік!O84</f>
        <v/>
      </c>
      <c r="N78" s="194" t="str">
        <f>графік!P84</f>
        <v/>
      </c>
      <c r="O78" s="194" t="str">
        <f>графік!Q84</f>
        <v/>
      </c>
      <c r="P78" s="194" t="str">
        <f>графік!R84</f>
        <v/>
      </c>
      <c r="Q78" s="209" t="str">
        <f>графік!S84</f>
        <v/>
      </c>
      <c r="R78" s="194" t="str">
        <f>графік!T84</f>
        <v/>
      </c>
    </row>
    <row r="79" spans="1:18" x14ac:dyDescent="0.35">
      <c r="A79" s="40">
        <f>графік!A85</f>
        <v>58</v>
      </c>
      <c r="B79" s="42">
        <f ca="1">графік!C85</f>
        <v>46960</v>
      </c>
      <c r="C79" s="41">
        <f ca="1">графік!D85</f>
        <v>30</v>
      </c>
      <c r="D79" s="194">
        <f ca="1">графік!F85</f>
        <v>13083.71</v>
      </c>
      <c r="E79" s="193">
        <f>графік!G85</f>
        <v>12500</v>
      </c>
      <c r="F79" s="194">
        <f ca="1">графік!H85</f>
        <v>583.71</v>
      </c>
      <c r="G79" s="194" t="str">
        <f>графік!I85</f>
        <v/>
      </c>
      <c r="H79" s="194" t="str">
        <f>графік!J85</f>
        <v/>
      </c>
      <c r="I79" s="194" t="str">
        <f>графік!K85</f>
        <v/>
      </c>
      <c r="J79" s="194" t="str">
        <f ca="1">графік!L85</f>
        <v/>
      </c>
      <c r="K79" s="194" t="str">
        <f>графік!M85</f>
        <v/>
      </c>
      <c r="L79" s="194" t="str">
        <f>графік!N85</f>
        <v/>
      </c>
      <c r="M79" s="194" t="str">
        <f>графік!O85</f>
        <v/>
      </c>
      <c r="N79" s="194" t="str">
        <f>графік!P85</f>
        <v/>
      </c>
      <c r="O79" s="194" t="str">
        <f>графік!Q85</f>
        <v/>
      </c>
      <c r="P79" s="194" t="str">
        <f>графік!R85</f>
        <v/>
      </c>
      <c r="Q79" s="209" t="str">
        <f>графік!S85</f>
        <v/>
      </c>
      <c r="R79" s="194" t="str">
        <f>графік!T85</f>
        <v/>
      </c>
    </row>
    <row r="80" spans="1:18" x14ac:dyDescent="0.35">
      <c r="A80" s="40">
        <f>графік!A86</f>
        <v>59</v>
      </c>
      <c r="B80" s="42">
        <f ca="1">графік!C86</f>
        <v>46991</v>
      </c>
      <c r="C80" s="41">
        <f ca="1">графік!D86</f>
        <v>31</v>
      </c>
      <c r="D80" s="194">
        <f ca="1">графік!F86</f>
        <v>12902.11</v>
      </c>
      <c r="E80" s="193">
        <f>графік!G86</f>
        <v>12500</v>
      </c>
      <c r="F80" s="194">
        <f ca="1">графік!H86</f>
        <v>402.11</v>
      </c>
      <c r="G80" s="194" t="str">
        <f>графік!I86</f>
        <v/>
      </c>
      <c r="H80" s="194" t="str">
        <f>графік!J86</f>
        <v/>
      </c>
      <c r="I80" s="194" t="str">
        <f>графік!K86</f>
        <v/>
      </c>
      <c r="J80" s="194" t="str">
        <f ca="1">графік!L86</f>
        <v/>
      </c>
      <c r="K80" s="194" t="str">
        <f>графік!M86</f>
        <v/>
      </c>
      <c r="L80" s="194" t="str">
        <f>графік!N86</f>
        <v/>
      </c>
      <c r="M80" s="194" t="str">
        <f>графік!O86</f>
        <v/>
      </c>
      <c r="N80" s="194" t="str">
        <f>графік!P86</f>
        <v/>
      </c>
      <c r="O80" s="194" t="str">
        <f>графік!Q86</f>
        <v/>
      </c>
      <c r="P80" s="194" t="str">
        <f>графік!R86</f>
        <v/>
      </c>
      <c r="Q80" s="209" t="str">
        <f>графік!S86</f>
        <v/>
      </c>
      <c r="R80" s="194" t="str">
        <f>графік!T86</f>
        <v/>
      </c>
    </row>
    <row r="81" spans="1:18" x14ac:dyDescent="0.35">
      <c r="A81" s="40">
        <f>графік!A87</f>
        <v>60</v>
      </c>
      <c r="B81" s="42">
        <f ca="1">графік!C87</f>
        <v>47021</v>
      </c>
      <c r="C81" s="41">
        <f ca="1">графік!D87</f>
        <v>30</v>
      </c>
      <c r="D81" s="194">
        <f ca="1">графік!F87</f>
        <v>12694.57</v>
      </c>
      <c r="E81" s="193">
        <f>графік!G87</f>
        <v>12500</v>
      </c>
      <c r="F81" s="194">
        <f ca="1">графік!H87</f>
        <v>194.57</v>
      </c>
      <c r="G81" s="194" t="str">
        <f>графік!I87</f>
        <v/>
      </c>
      <c r="H81" s="194" t="str">
        <f>графік!J87</f>
        <v/>
      </c>
      <c r="I81" s="194" t="str">
        <f>графік!K87</f>
        <v/>
      </c>
      <c r="J81" s="194" t="str">
        <f ca="1">графік!L87</f>
        <v/>
      </c>
      <c r="K81" s="194" t="str">
        <f>графік!M87</f>
        <v/>
      </c>
      <c r="L81" s="194" t="str">
        <f>графік!N87</f>
        <v/>
      </c>
      <c r="M81" s="194" t="str">
        <f>графік!O87</f>
        <v/>
      </c>
      <c r="N81" s="194" t="str">
        <f>графік!P87</f>
        <v/>
      </c>
      <c r="O81" s="194" t="str">
        <f>графік!Q87</f>
        <v/>
      </c>
      <c r="P81" s="194" t="str">
        <f>графік!R87</f>
        <v/>
      </c>
      <c r="Q81" s="209" t="str">
        <f>графік!S87</f>
        <v/>
      </c>
      <c r="R81" s="194" t="str">
        <f>графік!T87</f>
        <v/>
      </c>
    </row>
    <row r="82" spans="1:18" x14ac:dyDescent="0.35">
      <c r="A82" s="40" t="str">
        <f>графік!A88</f>
        <v/>
      </c>
      <c r="B82" s="42" t="str">
        <f ca="1">графік!C88</f>
        <v xml:space="preserve"> </v>
      </c>
      <c r="C82" s="41" t="str">
        <f>графік!D88</f>
        <v/>
      </c>
      <c r="D82" s="194">
        <f ca="1">графік!F88</f>
        <v>1111857.6299999999</v>
      </c>
      <c r="E82" s="193">
        <f>графік!G88</f>
        <v>750000</v>
      </c>
      <c r="F82" s="194">
        <f ca="1">графік!H88</f>
        <v>361857.63</v>
      </c>
      <c r="G82" s="194">
        <f>графік!I88</f>
        <v>0</v>
      </c>
      <c r="H82" s="194">
        <f>графік!J88</f>
        <v>0</v>
      </c>
      <c r="I82" s="194">
        <f>графік!K88</f>
        <v>14925</v>
      </c>
      <c r="J82" s="194">
        <f>графік!L88</f>
        <v>12500</v>
      </c>
      <c r="K82" s="194">
        <f>графік!M88</f>
        <v>0</v>
      </c>
      <c r="L82" s="194">
        <f>графік!N88</f>
        <v>0</v>
      </c>
      <c r="M82" s="194">
        <f>графік!O88</f>
        <v>0</v>
      </c>
      <c r="N82" s="194">
        <f>графік!P88</f>
        <v>0</v>
      </c>
      <c r="O82" s="194">
        <f>графік!Q88</f>
        <v>22425</v>
      </c>
      <c r="P82" s="194">
        <f>графік!R88</f>
        <v>0</v>
      </c>
      <c r="Q82" s="209">
        <f ca="1">графік!S88</f>
        <v>0.24802380204200744</v>
      </c>
      <c r="R82" s="194">
        <f ca="1">графік!T88</f>
        <v>1161707.6299999999</v>
      </c>
    </row>
    <row r="83" spans="1:18" x14ac:dyDescent="0.35">
      <c r="A83" s="40" t="str">
        <f>графік!A89</f>
        <v/>
      </c>
      <c r="B83" s="42" t="str">
        <f ca="1">графік!C89</f>
        <v xml:space="preserve"> </v>
      </c>
      <c r="C83" s="41" t="str">
        <f>графік!D89</f>
        <v/>
      </c>
      <c r="D83" s="194" t="str">
        <f>графік!F89</f>
        <v/>
      </c>
      <c r="E83" s="193" t="str">
        <f>графік!G89</f>
        <v/>
      </c>
      <c r="F83" s="194" t="str">
        <f>графік!H89</f>
        <v/>
      </c>
      <c r="G83" s="194" t="str">
        <f>графік!I89</f>
        <v/>
      </c>
      <c r="H83" s="194" t="str">
        <f>графік!J89</f>
        <v/>
      </c>
      <c r="I83" s="194" t="str">
        <f>графік!K89</f>
        <v/>
      </c>
      <c r="J83" s="194" t="str">
        <f>графік!L89</f>
        <v/>
      </c>
      <c r="K83" s="194" t="str">
        <f>графік!M89</f>
        <v/>
      </c>
      <c r="L83" s="194" t="str">
        <f>графік!N89</f>
        <v/>
      </c>
      <c r="M83" s="194" t="str">
        <f>графік!O89</f>
        <v/>
      </c>
      <c r="N83" s="194" t="str">
        <f>графік!P89</f>
        <v/>
      </c>
      <c r="O83" s="194" t="str">
        <f>графік!Q89</f>
        <v/>
      </c>
      <c r="P83" s="194" t="str">
        <f>графік!R89</f>
        <v/>
      </c>
      <c r="Q83" s="209" t="str">
        <f>графік!S89</f>
        <v/>
      </c>
      <c r="R83" s="194" t="str">
        <f>графік!T89</f>
        <v/>
      </c>
    </row>
    <row r="84" spans="1:18" x14ac:dyDescent="0.35">
      <c r="A84" s="40" t="str">
        <f>графік!A90</f>
        <v/>
      </c>
      <c r="B84" s="42" t="str">
        <f ca="1">графік!C90</f>
        <v xml:space="preserve"> </v>
      </c>
      <c r="C84" s="41" t="str">
        <f>графік!D90</f>
        <v/>
      </c>
      <c r="D84" s="194" t="str">
        <f>графік!F90</f>
        <v/>
      </c>
      <c r="E84" s="193" t="str">
        <f>графік!G90</f>
        <v/>
      </c>
      <c r="F84" s="194" t="str">
        <f>графік!H90</f>
        <v/>
      </c>
      <c r="G84" s="194" t="str">
        <f>графік!I90</f>
        <v/>
      </c>
      <c r="H84" s="194" t="str">
        <f>графік!J90</f>
        <v/>
      </c>
      <c r="I84" s="194" t="str">
        <f>графік!K90</f>
        <v/>
      </c>
      <c r="J84" s="194" t="str">
        <f>графік!L90</f>
        <v/>
      </c>
      <c r="K84" s="194" t="str">
        <f>графік!M90</f>
        <v/>
      </c>
      <c r="L84" s="194" t="str">
        <f>графік!N90</f>
        <v/>
      </c>
      <c r="M84" s="194" t="str">
        <f>графік!O90</f>
        <v/>
      </c>
      <c r="N84" s="194" t="str">
        <f>графік!P90</f>
        <v/>
      </c>
      <c r="O84" s="194" t="str">
        <f>графік!Q90</f>
        <v/>
      </c>
      <c r="P84" s="194" t="str">
        <f>графік!R90</f>
        <v/>
      </c>
      <c r="Q84" s="209" t="str">
        <f>графік!S90</f>
        <v/>
      </c>
      <c r="R84" s="194" t="str">
        <f>графік!T90</f>
        <v/>
      </c>
    </row>
    <row r="85" spans="1:18" x14ac:dyDescent="0.35">
      <c r="A85" s="40" t="str">
        <f>графік!A91</f>
        <v/>
      </c>
      <c r="B85" s="42" t="str">
        <f ca="1">графік!C91</f>
        <v xml:space="preserve"> </v>
      </c>
      <c r="C85" s="41" t="str">
        <f>графік!D91</f>
        <v/>
      </c>
      <c r="D85" s="194" t="str">
        <f>графік!F91</f>
        <v/>
      </c>
      <c r="E85" s="193" t="str">
        <f>графік!G91</f>
        <v/>
      </c>
      <c r="F85" s="194" t="str">
        <f>графік!H91</f>
        <v/>
      </c>
      <c r="G85" s="194" t="str">
        <f>графік!I91</f>
        <v/>
      </c>
      <c r="H85" s="194" t="str">
        <f>графік!J91</f>
        <v/>
      </c>
      <c r="I85" s="194" t="str">
        <f>графік!K91</f>
        <v/>
      </c>
      <c r="J85" s="194" t="str">
        <f>графік!L91</f>
        <v/>
      </c>
      <c r="K85" s="194" t="str">
        <f>графік!M91</f>
        <v/>
      </c>
      <c r="L85" s="194" t="str">
        <f>графік!N91</f>
        <v/>
      </c>
      <c r="M85" s="194" t="str">
        <f>графік!O91</f>
        <v/>
      </c>
      <c r="N85" s="194" t="str">
        <f>графік!P91</f>
        <v/>
      </c>
      <c r="O85" s="194" t="str">
        <f>графік!Q91</f>
        <v/>
      </c>
      <c r="P85" s="194" t="str">
        <f>графік!R91</f>
        <v/>
      </c>
      <c r="Q85" s="209" t="str">
        <f>графік!S91</f>
        <v/>
      </c>
      <c r="R85" s="194" t="str">
        <f>графік!T91</f>
        <v/>
      </c>
    </row>
    <row r="86" spans="1:18" x14ac:dyDescent="0.35">
      <c r="A86" s="40" t="str">
        <f>графік!A92</f>
        <v/>
      </c>
      <c r="B86" s="42" t="str">
        <f ca="1">графік!C92</f>
        <v xml:space="preserve"> </v>
      </c>
      <c r="C86" s="41" t="str">
        <f>графік!D92</f>
        <v/>
      </c>
      <c r="D86" s="194" t="str">
        <f>графік!F92</f>
        <v/>
      </c>
      <c r="E86" s="193" t="str">
        <f>графік!G92</f>
        <v/>
      </c>
      <c r="F86" s="194" t="str">
        <f>графік!H92</f>
        <v/>
      </c>
      <c r="G86" s="194" t="str">
        <f>графік!I92</f>
        <v/>
      </c>
      <c r="H86" s="194" t="str">
        <f>графік!J92</f>
        <v/>
      </c>
      <c r="I86" s="194" t="str">
        <f>графік!K92</f>
        <v/>
      </c>
      <c r="J86" s="194" t="str">
        <f>графік!L92</f>
        <v/>
      </c>
      <c r="K86" s="194" t="str">
        <f>графік!M92</f>
        <v/>
      </c>
      <c r="L86" s="194" t="str">
        <f>графік!N92</f>
        <v/>
      </c>
      <c r="M86" s="194" t="str">
        <f>графік!O92</f>
        <v/>
      </c>
      <c r="N86" s="194" t="str">
        <f>графік!P92</f>
        <v/>
      </c>
      <c r="O86" s="194" t="str">
        <f>графік!Q92</f>
        <v/>
      </c>
      <c r="P86" s="194" t="str">
        <f>графік!R92</f>
        <v/>
      </c>
      <c r="Q86" s="209" t="str">
        <f>графік!S92</f>
        <v/>
      </c>
      <c r="R86" s="194" t="str">
        <f>графік!T92</f>
        <v/>
      </c>
    </row>
    <row r="87" spans="1:18" x14ac:dyDescent="0.35">
      <c r="A87" s="40" t="str">
        <f>графік!A93</f>
        <v/>
      </c>
      <c r="B87" s="42" t="str">
        <f ca="1">графік!C93</f>
        <v xml:space="preserve"> </v>
      </c>
      <c r="C87" s="41" t="str">
        <f>графік!D93</f>
        <v/>
      </c>
      <c r="D87" s="194" t="str">
        <f>графік!F93</f>
        <v/>
      </c>
      <c r="E87" s="193" t="str">
        <f>графік!G93</f>
        <v/>
      </c>
      <c r="F87" s="194" t="str">
        <f>графік!H93</f>
        <v/>
      </c>
      <c r="G87" s="194" t="str">
        <f>графік!I93</f>
        <v/>
      </c>
      <c r="H87" s="194" t="str">
        <f>графік!J93</f>
        <v/>
      </c>
      <c r="I87" s="194" t="str">
        <f>графік!K93</f>
        <v/>
      </c>
      <c r="J87" s="194" t="str">
        <f>графік!L93</f>
        <v/>
      </c>
      <c r="K87" s="194" t="str">
        <f>графік!M93</f>
        <v/>
      </c>
      <c r="L87" s="194" t="str">
        <f>графік!N93</f>
        <v/>
      </c>
      <c r="M87" s="194" t="str">
        <f>графік!O93</f>
        <v/>
      </c>
      <c r="N87" s="194" t="str">
        <f>графік!P93</f>
        <v/>
      </c>
      <c r="O87" s="194" t="str">
        <f>графік!Q93</f>
        <v/>
      </c>
      <c r="P87" s="194" t="str">
        <f>графік!R93</f>
        <v/>
      </c>
      <c r="Q87" s="209" t="str">
        <f>графік!S93</f>
        <v/>
      </c>
      <c r="R87" s="194" t="str">
        <f>графік!T93</f>
        <v/>
      </c>
    </row>
    <row r="88" spans="1:18" x14ac:dyDescent="0.35">
      <c r="A88" s="40" t="str">
        <f>графік!A94</f>
        <v/>
      </c>
      <c r="B88" s="42" t="str">
        <f ca="1">графік!C94</f>
        <v xml:space="preserve"> </v>
      </c>
      <c r="C88" s="41" t="str">
        <f>графік!D94</f>
        <v/>
      </c>
      <c r="D88" s="194" t="str">
        <f>графік!F94</f>
        <v/>
      </c>
      <c r="E88" s="193" t="str">
        <f>графік!G94</f>
        <v/>
      </c>
      <c r="F88" s="194" t="str">
        <f>графік!H94</f>
        <v/>
      </c>
      <c r="G88" s="194" t="str">
        <f>графік!I94</f>
        <v/>
      </c>
      <c r="H88" s="194" t="str">
        <f>графік!J94</f>
        <v/>
      </c>
      <c r="I88" s="194" t="str">
        <f>графік!K94</f>
        <v/>
      </c>
      <c r="J88" s="194" t="str">
        <f>графік!L94</f>
        <v/>
      </c>
      <c r="K88" s="194" t="str">
        <f>графік!M94</f>
        <v/>
      </c>
      <c r="L88" s="194" t="str">
        <f>графік!N94</f>
        <v/>
      </c>
      <c r="M88" s="194" t="str">
        <f>графік!O94</f>
        <v/>
      </c>
      <c r="N88" s="194" t="str">
        <f>графік!P94</f>
        <v/>
      </c>
      <c r="O88" s="194" t="str">
        <f>графік!Q94</f>
        <v/>
      </c>
      <c r="P88" s="194" t="str">
        <f>графік!R94</f>
        <v/>
      </c>
      <c r="Q88" s="209" t="str">
        <f>графік!S94</f>
        <v/>
      </c>
      <c r="R88" s="194" t="str">
        <f>графік!T94</f>
        <v/>
      </c>
    </row>
    <row r="89" spans="1:18" x14ac:dyDescent="0.35">
      <c r="A89" s="40" t="str">
        <f>графік!A95</f>
        <v/>
      </c>
      <c r="B89" s="42" t="str">
        <f ca="1">графік!C95</f>
        <v xml:space="preserve"> </v>
      </c>
      <c r="C89" s="41" t="str">
        <f>графік!D95</f>
        <v/>
      </c>
      <c r="D89" s="194" t="str">
        <f>графік!F95</f>
        <v/>
      </c>
      <c r="E89" s="193" t="str">
        <f>графік!G95</f>
        <v/>
      </c>
      <c r="F89" s="194" t="str">
        <f>графік!H95</f>
        <v/>
      </c>
      <c r="G89" s="194" t="str">
        <f>графік!I95</f>
        <v/>
      </c>
      <c r="H89" s="194" t="str">
        <f>графік!J95</f>
        <v/>
      </c>
      <c r="I89" s="194" t="str">
        <f>графік!K95</f>
        <v/>
      </c>
      <c r="J89" s="194" t="str">
        <f>графік!L95</f>
        <v/>
      </c>
      <c r="K89" s="194" t="str">
        <f>графік!M95</f>
        <v/>
      </c>
      <c r="L89" s="194" t="str">
        <f>графік!N95</f>
        <v/>
      </c>
      <c r="M89" s="194" t="str">
        <f>графік!O95</f>
        <v/>
      </c>
      <c r="N89" s="194" t="str">
        <f>графік!P95</f>
        <v/>
      </c>
      <c r="O89" s="194" t="str">
        <f>графік!Q95</f>
        <v/>
      </c>
      <c r="P89" s="194" t="str">
        <f>графік!R95</f>
        <v/>
      </c>
      <c r="Q89" s="209" t="str">
        <f>графік!S95</f>
        <v/>
      </c>
      <c r="R89" s="194" t="str">
        <f>графік!T95</f>
        <v/>
      </c>
    </row>
    <row r="90" spans="1:18" x14ac:dyDescent="0.35">
      <c r="A90" s="40" t="str">
        <f>графік!A96</f>
        <v/>
      </c>
      <c r="B90" s="42" t="str">
        <f ca="1">графік!C96</f>
        <v xml:space="preserve"> </v>
      </c>
      <c r="C90" s="41" t="str">
        <f>графік!D96</f>
        <v/>
      </c>
      <c r="D90" s="194" t="str">
        <f>графік!F96</f>
        <v/>
      </c>
      <c r="E90" s="193" t="str">
        <f>графік!G96</f>
        <v/>
      </c>
      <c r="F90" s="194" t="str">
        <f>графік!H96</f>
        <v/>
      </c>
      <c r="G90" s="194" t="str">
        <f>графік!I96</f>
        <v/>
      </c>
      <c r="H90" s="194" t="str">
        <f>графік!J96</f>
        <v/>
      </c>
      <c r="I90" s="194" t="str">
        <f>графік!K96</f>
        <v/>
      </c>
      <c r="J90" s="194" t="str">
        <f>графік!L96</f>
        <v/>
      </c>
      <c r="K90" s="194" t="str">
        <f>графік!M96</f>
        <v/>
      </c>
      <c r="L90" s="194" t="str">
        <f>графік!N96</f>
        <v/>
      </c>
      <c r="M90" s="194" t="str">
        <f>графік!O96</f>
        <v/>
      </c>
      <c r="N90" s="194" t="str">
        <f>графік!P96</f>
        <v/>
      </c>
      <c r="O90" s="194" t="str">
        <f>графік!Q96</f>
        <v/>
      </c>
      <c r="P90" s="194" t="str">
        <f>графік!R96</f>
        <v/>
      </c>
      <c r="Q90" s="209" t="str">
        <f>графік!S96</f>
        <v/>
      </c>
      <c r="R90" s="194" t="str">
        <f>графік!T96</f>
        <v/>
      </c>
    </row>
    <row r="91" spans="1:18" x14ac:dyDescent="0.35">
      <c r="A91" s="40" t="str">
        <f>графік!A97</f>
        <v/>
      </c>
      <c r="B91" s="42" t="str">
        <f ca="1">графік!C97</f>
        <v xml:space="preserve"> </v>
      </c>
      <c r="C91" s="41" t="str">
        <f>графік!D97</f>
        <v/>
      </c>
      <c r="D91" s="194" t="str">
        <f>графік!F97</f>
        <v/>
      </c>
      <c r="E91" s="193" t="str">
        <f>графік!G97</f>
        <v/>
      </c>
      <c r="F91" s="194" t="str">
        <f>графік!H97</f>
        <v/>
      </c>
      <c r="G91" s="194" t="str">
        <f>графік!I97</f>
        <v/>
      </c>
      <c r="H91" s="194" t="str">
        <f>графік!J97</f>
        <v/>
      </c>
      <c r="I91" s="194" t="str">
        <f>графік!K97</f>
        <v/>
      </c>
      <c r="J91" s="194" t="str">
        <f>графік!L97</f>
        <v/>
      </c>
      <c r="K91" s="194" t="str">
        <f>графік!M97</f>
        <v/>
      </c>
      <c r="L91" s="194" t="str">
        <f>графік!N97</f>
        <v/>
      </c>
      <c r="M91" s="194" t="str">
        <f>графік!O97</f>
        <v/>
      </c>
      <c r="N91" s="194" t="str">
        <f>графік!P97</f>
        <v/>
      </c>
      <c r="O91" s="194" t="str">
        <f>графік!Q97</f>
        <v/>
      </c>
      <c r="P91" s="194" t="str">
        <f>графік!R97</f>
        <v/>
      </c>
      <c r="Q91" s="209" t="str">
        <f>графік!S97</f>
        <v/>
      </c>
      <c r="R91" s="194" t="str">
        <f>графік!T97</f>
        <v/>
      </c>
    </row>
    <row r="92" spans="1:18" x14ac:dyDescent="0.35">
      <c r="A92" s="40" t="str">
        <f>графік!A98</f>
        <v/>
      </c>
      <c r="B92" s="42" t="str">
        <f ca="1">графік!C98</f>
        <v xml:space="preserve"> </v>
      </c>
      <c r="C92" s="41" t="str">
        <f>графік!D98</f>
        <v/>
      </c>
      <c r="D92" s="194" t="str">
        <f>графік!F98</f>
        <v/>
      </c>
      <c r="E92" s="193" t="str">
        <f>графік!G98</f>
        <v/>
      </c>
      <c r="F92" s="194" t="str">
        <f>графік!H98</f>
        <v/>
      </c>
      <c r="G92" s="194" t="str">
        <f>графік!I98</f>
        <v/>
      </c>
      <c r="H92" s="194" t="str">
        <f>графік!J98</f>
        <v/>
      </c>
      <c r="I92" s="194" t="str">
        <f>графік!K98</f>
        <v/>
      </c>
      <c r="J92" s="194" t="str">
        <f>графік!L98</f>
        <v/>
      </c>
      <c r="K92" s="194" t="str">
        <f>графік!M98</f>
        <v/>
      </c>
      <c r="L92" s="194" t="str">
        <f>графік!N98</f>
        <v/>
      </c>
      <c r="M92" s="194" t="str">
        <f>графік!O98</f>
        <v/>
      </c>
      <c r="N92" s="194" t="str">
        <f>графік!P98</f>
        <v/>
      </c>
      <c r="O92" s="194" t="str">
        <f>графік!Q98</f>
        <v/>
      </c>
      <c r="P92" s="194" t="str">
        <f>графік!R98</f>
        <v/>
      </c>
      <c r="Q92" s="209" t="str">
        <f>графік!S98</f>
        <v/>
      </c>
      <c r="R92" s="194" t="str">
        <f>графік!T98</f>
        <v/>
      </c>
    </row>
    <row r="93" spans="1:18" x14ac:dyDescent="0.35">
      <c r="A93" s="40" t="str">
        <f>графік!A99</f>
        <v/>
      </c>
      <c r="B93" s="42" t="str">
        <f ca="1">графік!C99</f>
        <v xml:space="preserve"> </v>
      </c>
      <c r="C93" s="41" t="str">
        <f>графік!D99</f>
        <v/>
      </c>
      <c r="D93" s="194" t="str">
        <f>графік!F99</f>
        <v/>
      </c>
      <c r="E93" s="193" t="str">
        <f>графік!G99</f>
        <v/>
      </c>
      <c r="F93" s="194" t="str">
        <f>графік!H99</f>
        <v/>
      </c>
      <c r="G93" s="194" t="str">
        <f>графік!I99</f>
        <v/>
      </c>
      <c r="H93" s="194" t="str">
        <f>графік!J99</f>
        <v/>
      </c>
      <c r="I93" s="194" t="str">
        <f>графік!K99</f>
        <v/>
      </c>
      <c r="J93" s="194" t="str">
        <f>графік!L99</f>
        <v/>
      </c>
      <c r="K93" s="194" t="str">
        <f>графік!M99</f>
        <v/>
      </c>
      <c r="L93" s="194" t="str">
        <f>графік!N99</f>
        <v/>
      </c>
      <c r="M93" s="194" t="str">
        <f>графік!O99</f>
        <v/>
      </c>
      <c r="N93" s="194" t="str">
        <f>графік!P99</f>
        <v/>
      </c>
      <c r="O93" s="194" t="str">
        <f>графік!Q99</f>
        <v/>
      </c>
      <c r="P93" s="194" t="str">
        <f>графік!R99</f>
        <v/>
      </c>
      <c r="Q93" s="209" t="str">
        <f>графік!S99</f>
        <v/>
      </c>
      <c r="R93" s="194" t="str">
        <f>графік!T99</f>
        <v/>
      </c>
    </row>
    <row r="94" spans="1:18" x14ac:dyDescent="0.35">
      <c r="A94" s="40" t="str">
        <f>графік!A100</f>
        <v/>
      </c>
      <c r="B94" s="42" t="str">
        <f ca="1">графік!C100</f>
        <v xml:space="preserve"> </v>
      </c>
      <c r="C94" s="41" t="str">
        <f>графік!D100</f>
        <v/>
      </c>
      <c r="D94" s="194" t="str">
        <f>графік!F100</f>
        <v/>
      </c>
      <c r="E94" s="193" t="str">
        <f>графік!G100</f>
        <v/>
      </c>
      <c r="F94" s="194" t="str">
        <f>графік!H100</f>
        <v/>
      </c>
      <c r="G94" s="194" t="str">
        <f>графік!I100</f>
        <v/>
      </c>
      <c r="H94" s="194" t="str">
        <f>графік!J100</f>
        <v/>
      </c>
      <c r="I94" s="194" t="str">
        <f>графік!K100</f>
        <v/>
      </c>
      <c r="J94" s="194" t="str">
        <f>графік!L100</f>
        <v/>
      </c>
      <c r="K94" s="194" t="str">
        <f>графік!M100</f>
        <v/>
      </c>
      <c r="L94" s="194" t="str">
        <f>графік!N100</f>
        <v/>
      </c>
      <c r="M94" s="194" t="str">
        <f>графік!O100</f>
        <v/>
      </c>
      <c r="N94" s="194" t="str">
        <f>графік!P100</f>
        <v/>
      </c>
      <c r="O94" s="194" t="str">
        <f>графік!Q100</f>
        <v/>
      </c>
      <c r="P94" s="194" t="str">
        <f>графік!R100</f>
        <v/>
      </c>
      <c r="Q94" s="209" t="str">
        <f>графік!S100</f>
        <v/>
      </c>
      <c r="R94" s="194" t="str">
        <f>графік!T100</f>
        <v/>
      </c>
    </row>
    <row r="95" spans="1:18" x14ac:dyDescent="0.35">
      <c r="A95" s="40" t="str">
        <f>графік!A101</f>
        <v/>
      </c>
      <c r="B95" s="42" t="str">
        <f ca="1">графік!C101</f>
        <v xml:space="preserve"> </v>
      </c>
      <c r="C95" s="41" t="str">
        <f>графік!D101</f>
        <v/>
      </c>
      <c r="D95" s="194" t="str">
        <f>графік!F101</f>
        <v/>
      </c>
      <c r="E95" s="193" t="str">
        <f>графік!G101</f>
        <v/>
      </c>
      <c r="F95" s="194" t="str">
        <f>графік!H101</f>
        <v/>
      </c>
      <c r="G95" s="194" t="str">
        <f>графік!I101</f>
        <v/>
      </c>
      <c r="H95" s="194" t="str">
        <f>графік!J101</f>
        <v/>
      </c>
      <c r="I95" s="194" t="str">
        <f>графік!K101</f>
        <v/>
      </c>
      <c r="J95" s="194" t="str">
        <f>графік!L101</f>
        <v/>
      </c>
      <c r="K95" s="194" t="str">
        <f>графік!M101</f>
        <v/>
      </c>
      <c r="L95" s="194" t="str">
        <f>графік!N101</f>
        <v/>
      </c>
      <c r="M95" s="194" t="str">
        <f>графік!O101</f>
        <v/>
      </c>
      <c r="N95" s="194" t="str">
        <f>графік!P101</f>
        <v/>
      </c>
      <c r="O95" s="194" t="str">
        <f>графік!Q101</f>
        <v/>
      </c>
      <c r="P95" s="194" t="str">
        <f>графік!R101</f>
        <v/>
      </c>
      <c r="Q95" s="209" t="str">
        <f>графік!S101</f>
        <v/>
      </c>
      <c r="R95" s="194" t="str">
        <f>графік!T101</f>
        <v/>
      </c>
    </row>
    <row r="96" spans="1:18" x14ac:dyDescent="0.35">
      <c r="A96" s="40" t="str">
        <f>графік!A102</f>
        <v/>
      </c>
      <c r="B96" s="42" t="str">
        <f ca="1">графік!C102</f>
        <v xml:space="preserve"> </v>
      </c>
      <c r="C96" s="41" t="str">
        <f>графік!D102</f>
        <v/>
      </c>
      <c r="D96" s="194" t="str">
        <f>графік!F102</f>
        <v/>
      </c>
      <c r="E96" s="193" t="str">
        <f>графік!G102</f>
        <v/>
      </c>
      <c r="F96" s="194" t="str">
        <f>графік!H102</f>
        <v/>
      </c>
      <c r="G96" s="194" t="str">
        <f>графік!I102</f>
        <v/>
      </c>
      <c r="H96" s="194" t="str">
        <f>графік!J102</f>
        <v/>
      </c>
      <c r="I96" s="194" t="str">
        <f>графік!K102</f>
        <v/>
      </c>
      <c r="J96" s="194" t="str">
        <f>графік!L102</f>
        <v/>
      </c>
      <c r="K96" s="194" t="str">
        <f>графік!M102</f>
        <v/>
      </c>
      <c r="L96" s="194" t="str">
        <f>графік!N102</f>
        <v/>
      </c>
      <c r="M96" s="194" t="str">
        <f>графік!O102</f>
        <v/>
      </c>
      <c r="N96" s="194" t="str">
        <f>графік!P102</f>
        <v/>
      </c>
      <c r="O96" s="194" t="str">
        <f>графік!Q102</f>
        <v/>
      </c>
      <c r="P96" s="194" t="str">
        <f>графік!R102</f>
        <v/>
      </c>
      <c r="Q96" s="209" t="str">
        <f>графік!S102</f>
        <v/>
      </c>
      <c r="R96" s="194" t="str">
        <f>графік!T102</f>
        <v/>
      </c>
    </row>
    <row r="97" spans="1:18" x14ac:dyDescent="0.35">
      <c r="A97" s="40" t="str">
        <f>графік!A103</f>
        <v/>
      </c>
      <c r="B97" s="42" t="str">
        <f ca="1">графік!C103</f>
        <v xml:space="preserve"> </v>
      </c>
      <c r="C97" s="41" t="str">
        <f>графік!D103</f>
        <v/>
      </c>
      <c r="D97" s="194" t="str">
        <f>графік!F103</f>
        <v/>
      </c>
      <c r="E97" s="193" t="str">
        <f>графік!G103</f>
        <v/>
      </c>
      <c r="F97" s="194" t="str">
        <f>графік!H103</f>
        <v/>
      </c>
      <c r="G97" s="194" t="str">
        <f>графік!I103</f>
        <v/>
      </c>
      <c r="H97" s="194" t="str">
        <f>графік!J103</f>
        <v/>
      </c>
      <c r="I97" s="194" t="str">
        <f>графік!K103</f>
        <v/>
      </c>
      <c r="J97" s="194" t="str">
        <f>графік!L103</f>
        <v/>
      </c>
      <c r="K97" s="194" t="str">
        <f>графік!M103</f>
        <v/>
      </c>
      <c r="L97" s="194" t="str">
        <f>графік!N103</f>
        <v/>
      </c>
      <c r="M97" s="194" t="str">
        <f>графік!O103</f>
        <v/>
      </c>
      <c r="N97" s="194" t="str">
        <f>графік!P103</f>
        <v/>
      </c>
      <c r="O97" s="194" t="str">
        <f>графік!Q103</f>
        <v/>
      </c>
      <c r="P97" s="194" t="str">
        <f>графік!R103</f>
        <v/>
      </c>
      <c r="Q97" s="209" t="str">
        <f>графік!S103</f>
        <v/>
      </c>
      <c r="R97" s="194" t="str">
        <f>графік!T103</f>
        <v/>
      </c>
    </row>
    <row r="98" spans="1:18" x14ac:dyDescent="0.35">
      <c r="A98" s="40" t="str">
        <f>графік!A104</f>
        <v/>
      </c>
      <c r="B98" s="42" t="str">
        <f ca="1">графік!C104</f>
        <v xml:space="preserve"> </v>
      </c>
      <c r="C98" s="41" t="str">
        <f>графік!D104</f>
        <v/>
      </c>
      <c r="D98" s="194" t="str">
        <f>графік!F104</f>
        <v/>
      </c>
      <c r="E98" s="193" t="str">
        <f>графік!G104</f>
        <v/>
      </c>
      <c r="F98" s="194" t="str">
        <f>графік!H104</f>
        <v/>
      </c>
      <c r="G98" s="194" t="str">
        <f>графік!I104</f>
        <v/>
      </c>
      <c r="H98" s="194" t="str">
        <f>графік!J104</f>
        <v/>
      </c>
      <c r="I98" s="194" t="str">
        <f>графік!K104</f>
        <v/>
      </c>
      <c r="J98" s="194" t="str">
        <f>графік!L104</f>
        <v/>
      </c>
      <c r="K98" s="194" t="str">
        <f>графік!M104</f>
        <v/>
      </c>
      <c r="L98" s="194" t="str">
        <f>графік!N104</f>
        <v/>
      </c>
      <c r="M98" s="194" t="str">
        <f>графік!O104</f>
        <v/>
      </c>
      <c r="N98" s="194" t="str">
        <f>графік!P104</f>
        <v/>
      </c>
      <c r="O98" s="194" t="str">
        <f>графік!Q104</f>
        <v/>
      </c>
      <c r="P98" s="194" t="str">
        <f>графік!R104</f>
        <v/>
      </c>
      <c r="Q98" s="209" t="str">
        <f>графік!S104</f>
        <v/>
      </c>
      <c r="R98" s="194" t="str">
        <f>графік!T104</f>
        <v/>
      </c>
    </row>
    <row r="99" spans="1:18" x14ac:dyDescent="0.35">
      <c r="A99" s="40" t="str">
        <f>графік!A105</f>
        <v/>
      </c>
      <c r="B99" s="42" t="str">
        <f ca="1">графік!C105</f>
        <v xml:space="preserve"> </v>
      </c>
      <c r="C99" s="41" t="str">
        <f>графік!D105</f>
        <v/>
      </c>
      <c r="D99" s="194" t="str">
        <f>графік!F105</f>
        <v/>
      </c>
      <c r="E99" s="193" t="str">
        <f>графік!G105</f>
        <v/>
      </c>
      <c r="F99" s="194" t="str">
        <f>графік!H105</f>
        <v/>
      </c>
      <c r="G99" s="194" t="str">
        <f>графік!I105</f>
        <v/>
      </c>
      <c r="H99" s="194" t="str">
        <f>графік!J105</f>
        <v/>
      </c>
      <c r="I99" s="194" t="str">
        <f>графік!K105</f>
        <v/>
      </c>
      <c r="J99" s="194" t="str">
        <f>графік!L105</f>
        <v/>
      </c>
      <c r="K99" s="194" t="str">
        <f>графік!M105</f>
        <v/>
      </c>
      <c r="L99" s="194" t="str">
        <f>графік!N105</f>
        <v/>
      </c>
      <c r="M99" s="194" t="str">
        <f>графік!O105</f>
        <v/>
      </c>
      <c r="N99" s="194" t="str">
        <f>графік!P105</f>
        <v/>
      </c>
      <c r="O99" s="194" t="str">
        <f>графік!Q105</f>
        <v/>
      </c>
      <c r="P99" s="194" t="str">
        <f>графік!R105</f>
        <v/>
      </c>
      <c r="Q99" s="209" t="str">
        <f>графік!S105</f>
        <v/>
      </c>
      <c r="R99" s="194" t="str">
        <f>графік!T105</f>
        <v/>
      </c>
    </row>
    <row r="100" spans="1:18" x14ac:dyDescent="0.35">
      <c r="A100" s="40" t="str">
        <f>графік!A106</f>
        <v/>
      </c>
      <c r="B100" s="42" t="str">
        <f ca="1">графік!C106</f>
        <v xml:space="preserve"> </v>
      </c>
      <c r="C100" s="41" t="str">
        <f>графік!D106</f>
        <v/>
      </c>
      <c r="D100" s="194" t="str">
        <f>графік!F106</f>
        <v/>
      </c>
      <c r="E100" s="193" t="str">
        <f>графік!G106</f>
        <v/>
      </c>
      <c r="F100" s="194" t="str">
        <f>графік!H106</f>
        <v/>
      </c>
      <c r="G100" s="194" t="str">
        <f>графік!I106</f>
        <v/>
      </c>
      <c r="H100" s="194" t="str">
        <f>графік!J106</f>
        <v/>
      </c>
      <c r="I100" s="194" t="str">
        <f>графік!K106</f>
        <v/>
      </c>
      <c r="J100" s="194" t="str">
        <f>графік!L106</f>
        <v/>
      </c>
      <c r="K100" s="194" t="str">
        <f>графік!M106</f>
        <v/>
      </c>
      <c r="L100" s="194" t="str">
        <f>графік!N106</f>
        <v/>
      </c>
      <c r="M100" s="194" t="str">
        <f>графік!O106</f>
        <v/>
      </c>
      <c r="N100" s="194" t="str">
        <f>графік!P106</f>
        <v/>
      </c>
      <c r="O100" s="194" t="str">
        <f>графік!Q106</f>
        <v/>
      </c>
      <c r="P100" s="194" t="str">
        <f>графік!R106</f>
        <v/>
      </c>
      <c r="Q100" s="209" t="str">
        <f>графік!S106</f>
        <v/>
      </c>
      <c r="R100" s="194" t="str">
        <f>графік!T106</f>
        <v/>
      </c>
    </row>
    <row r="101" spans="1:18" x14ac:dyDescent="0.35">
      <c r="A101" s="40" t="str">
        <f>графік!A107</f>
        <v/>
      </c>
      <c r="B101" s="42" t="str">
        <f ca="1">графік!C107</f>
        <v xml:space="preserve"> </v>
      </c>
      <c r="C101" s="41" t="str">
        <f>графік!D107</f>
        <v/>
      </c>
      <c r="D101" s="194" t="str">
        <f>графік!F107</f>
        <v/>
      </c>
      <c r="E101" s="193" t="str">
        <f>графік!G107</f>
        <v/>
      </c>
      <c r="F101" s="194" t="str">
        <f>графік!H107</f>
        <v/>
      </c>
      <c r="G101" s="194" t="str">
        <f>графік!I107</f>
        <v/>
      </c>
      <c r="H101" s="194" t="str">
        <f>графік!J107</f>
        <v/>
      </c>
      <c r="I101" s="194" t="str">
        <f>графік!K107</f>
        <v/>
      </c>
      <c r="J101" s="194" t="str">
        <f>графік!L107</f>
        <v/>
      </c>
      <c r="K101" s="194" t="str">
        <f>графік!M107</f>
        <v/>
      </c>
      <c r="L101" s="194" t="str">
        <f>графік!N107</f>
        <v/>
      </c>
      <c r="M101" s="194" t="str">
        <f>графік!O107</f>
        <v/>
      </c>
      <c r="N101" s="194" t="str">
        <f>графік!P107</f>
        <v/>
      </c>
      <c r="O101" s="194" t="str">
        <f>графік!Q107</f>
        <v/>
      </c>
      <c r="P101" s="194" t="str">
        <f>графік!R107</f>
        <v/>
      </c>
      <c r="Q101" s="209" t="str">
        <f>графік!S107</f>
        <v/>
      </c>
      <c r="R101" s="194" t="str">
        <f>графік!T107</f>
        <v/>
      </c>
    </row>
    <row r="102" spans="1:18" x14ac:dyDescent="0.35">
      <c r="A102" s="40" t="str">
        <f>графік!A108</f>
        <v/>
      </c>
      <c r="B102" s="42" t="str">
        <f ca="1">графік!C108</f>
        <v xml:space="preserve"> </v>
      </c>
      <c r="C102" s="41" t="str">
        <f>графік!D108</f>
        <v/>
      </c>
      <c r="D102" s="194" t="str">
        <f>графік!F108</f>
        <v/>
      </c>
      <c r="E102" s="193" t="str">
        <f>графік!G108</f>
        <v/>
      </c>
      <c r="F102" s="194" t="str">
        <f>графік!H108</f>
        <v/>
      </c>
      <c r="G102" s="194" t="str">
        <f>графік!I108</f>
        <v/>
      </c>
      <c r="H102" s="194" t="str">
        <f>графік!J108</f>
        <v/>
      </c>
      <c r="I102" s="194" t="str">
        <f>графік!K108</f>
        <v/>
      </c>
      <c r="J102" s="194" t="str">
        <f>графік!L108</f>
        <v/>
      </c>
      <c r="K102" s="194" t="str">
        <f>графік!M108</f>
        <v/>
      </c>
      <c r="L102" s="194" t="str">
        <f>графік!N108</f>
        <v/>
      </c>
      <c r="M102" s="194" t="str">
        <f>графік!O108</f>
        <v/>
      </c>
      <c r="N102" s="194" t="str">
        <f>графік!P108</f>
        <v/>
      </c>
      <c r="O102" s="194" t="str">
        <f>графік!Q108</f>
        <v/>
      </c>
      <c r="P102" s="194" t="str">
        <f>графік!R108</f>
        <v/>
      </c>
      <c r="Q102" s="209" t="str">
        <f>графік!S108</f>
        <v/>
      </c>
      <c r="R102" s="194" t="str">
        <f>графік!T108</f>
        <v/>
      </c>
    </row>
    <row r="103" spans="1:18" x14ac:dyDescent="0.35">
      <c r="A103" s="40" t="str">
        <f>графік!A109</f>
        <v/>
      </c>
      <c r="B103" s="42" t="str">
        <f ca="1">графік!C109</f>
        <v xml:space="preserve"> </v>
      </c>
      <c r="C103" s="41" t="str">
        <f>графік!D109</f>
        <v/>
      </c>
      <c r="D103" s="194" t="str">
        <f>графік!F109</f>
        <v/>
      </c>
      <c r="E103" s="193" t="str">
        <f>графік!G109</f>
        <v/>
      </c>
      <c r="F103" s="194" t="str">
        <f>графік!H109</f>
        <v/>
      </c>
      <c r="G103" s="194" t="str">
        <f>графік!I109</f>
        <v/>
      </c>
      <c r="H103" s="194" t="str">
        <f>графік!J109</f>
        <v/>
      </c>
      <c r="I103" s="194" t="str">
        <f>графік!K109</f>
        <v/>
      </c>
      <c r="J103" s="194" t="str">
        <f>графік!L109</f>
        <v/>
      </c>
      <c r="K103" s="194" t="str">
        <f>графік!M109</f>
        <v/>
      </c>
      <c r="L103" s="194" t="str">
        <f>графік!N109</f>
        <v/>
      </c>
      <c r="M103" s="194" t="str">
        <f>графік!O109</f>
        <v/>
      </c>
      <c r="N103" s="194" t="str">
        <f>графік!P109</f>
        <v/>
      </c>
      <c r="O103" s="194" t="str">
        <f>графік!Q109</f>
        <v/>
      </c>
      <c r="P103" s="194" t="str">
        <f>графік!R109</f>
        <v/>
      </c>
      <c r="Q103" s="209" t="str">
        <f>графік!S109</f>
        <v/>
      </c>
      <c r="R103" s="194" t="str">
        <f>графік!T109</f>
        <v/>
      </c>
    </row>
    <row r="104" spans="1:18" x14ac:dyDescent="0.35">
      <c r="A104" s="40" t="str">
        <f>графік!A110</f>
        <v/>
      </c>
      <c r="B104" s="42" t="str">
        <f ca="1">графік!C110</f>
        <v xml:space="preserve"> </v>
      </c>
      <c r="C104" s="41" t="str">
        <f>графік!D110</f>
        <v/>
      </c>
      <c r="D104" s="194" t="str">
        <f>графік!F110</f>
        <v/>
      </c>
      <c r="E104" s="193" t="str">
        <f>графік!G110</f>
        <v/>
      </c>
      <c r="F104" s="194" t="str">
        <f>графік!H110</f>
        <v/>
      </c>
      <c r="G104" s="194" t="str">
        <f>графік!I110</f>
        <v/>
      </c>
      <c r="H104" s="194" t="str">
        <f>графік!J110</f>
        <v/>
      </c>
      <c r="I104" s="194" t="str">
        <f>графік!K110</f>
        <v/>
      </c>
      <c r="J104" s="194" t="str">
        <f>графік!L110</f>
        <v/>
      </c>
      <c r="K104" s="194" t="str">
        <f>графік!M110</f>
        <v/>
      </c>
      <c r="L104" s="194" t="str">
        <f>графік!N110</f>
        <v/>
      </c>
      <c r="M104" s="194" t="str">
        <f>графік!O110</f>
        <v/>
      </c>
      <c r="N104" s="194" t="str">
        <f>графік!P110</f>
        <v/>
      </c>
      <c r="O104" s="194" t="str">
        <f>графік!Q110</f>
        <v/>
      </c>
      <c r="P104" s="194" t="str">
        <f>графік!R110</f>
        <v/>
      </c>
      <c r="Q104" s="209" t="str">
        <f>графік!S110</f>
        <v/>
      </c>
      <c r="R104" s="194" t="str">
        <f>графік!T110</f>
        <v/>
      </c>
    </row>
    <row r="105" spans="1:18" x14ac:dyDescent="0.35">
      <c r="A105" s="40" t="str">
        <f>графік!A111</f>
        <v/>
      </c>
      <c r="B105" s="42" t="str">
        <f ca="1">графік!C111</f>
        <v xml:space="preserve"> </v>
      </c>
      <c r="C105" s="41" t="str">
        <f>графік!D111</f>
        <v/>
      </c>
      <c r="D105" s="194" t="str">
        <f>графік!F111</f>
        <v/>
      </c>
      <c r="E105" s="193" t="str">
        <f>графік!G111</f>
        <v/>
      </c>
      <c r="F105" s="194" t="str">
        <f>графік!H111</f>
        <v/>
      </c>
      <c r="G105" s="194" t="str">
        <f>графік!I111</f>
        <v/>
      </c>
      <c r="H105" s="194" t="str">
        <f>графік!J111</f>
        <v/>
      </c>
      <c r="I105" s="194" t="str">
        <f>графік!K111</f>
        <v/>
      </c>
      <c r="J105" s="194" t="str">
        <f>графік!L111</f>
        <v/>
      </c>
      <c r="K105" s="194" t="str">
        <f>графік!M111</f>
        <v/>
      </c>
      <c r="L105" s="194" t="str">
        <f>графік!N111</f>
        <v/>
      </c>
      <c r="M105" s="194" t="str">
        <f>графік!O111</f>
        <v/>
      </c>
      <c r="N105" s="194" t="str">
        <f>графік!P111</f>
        <v/>
      </c>
      <c r="O105" s="194" t="str">
        <f>графік!Q111</f>
        <v/>
      </c>
      <c r="P105" s="194" t="str">
        <f>графік!R111</f>
        <v/>
      </c>
      <c r="Q105" s="209" t="str">
        <f>графік!S111</f>
        <v/>
      </c>
      <c r="R105" s="194" t="str">
        <f>графік!T111</f>
        <v/>
      </c>
    </row>
    <row r="106" spans="1:18" x14ac:dyDescent="0.35">
      <c r="A106" s="40" t="str">
        <f>графік!A112</f>
        <v/>
      </c>
      <c r="B106" s="42" t="str">
        <f ca="1">графік!C112</f>
        <v xml:space="preserve"> </v>
      </c>
      <c r="C106" s="41" t="str">
        <f>графік!D112</f>
        <v/>
      </c>
      <c r="D106" s="194" t="str">
        <f>графік!F112</f>
        <v/>
      </c>
      <c r="E106" s="193" t="str">
        <f>графік!G112</f>
        <v/>
      </c>
      <c r="F106" s="194" t="str">
        <f>графік!H112</f>
        <v/>
      </c>
      <c r="G106" s="194" t="str">
        <f>графік!I112</f>
        <v/>
      </c>
      <c r="H106" s="194" t="str">
        <f>графік!J112</f>
        <v/>
      </c>
      <c r="I106" s="194" t="str">
        <f>графік!K112</f>
        <v/>
      </c>
      <c r="J106" s="194" t="str">
        <f>графік!L112</f>
        <v/>
      </c>
      <c r="K106" s="194" t="str">
        <f>графік!M112</f>
        <v/>
      </c>
      <c r="L106" s="194" t="str">
        <f>графік!N112</f>
        <v/>
      </c>
      <c r="M106" s="194" t="str">
        <f>графік!O112</f>
        <v/>
      </c>
      <c r="N106" s="194" t="str">
        <f>графік!P112</f>
        <v/>
      </c>
      <c r="O106" s="194" t="str">
        <f>графік!Q112</f>
        <v/>
      </c>
      <c r="P106" s="194" t="str">
        <f>графік!R112</f>
        <v/>
      </c>
      <c r="Q106" s="209" t="str">
        <f>графік!S112</f>
        <v/>
      </c>
      <c r="R106" s="194" t="str">
        <f>графік!T112</f>
        <v/>
      </c>
    </row>
    <row r="107" spans="1:18" x14ac:dyDescent="0.35">
      <c r="A107" s="40" t="str">
        <f>графік!A113</f>
        <v/>
      </c>
      <c r="B107" s="42" t="str">
        <f ca="1">графік!C113</f>
        <v xml:space="preserve"> </v>
      </c>
      <c r="C107" s="41" t="str">
        <f>графік!D113</f>
        <v/>
      </c>
      <c r="D107" s="194" t="str">
        <f>графік!F113</f>
        <v/>
      </c>
      <c r="E107" s="193" t="str">
        <f>графік!G113</f>
        <v/>
      </c>
      <c r="F107" s="194" t="str">
        <f>графік!H113</f>
        <v/>
      </c>
      <c r="G107" s="194" t="str">
        <f>графік!I113</f>
        <v/>
      </c>
      <c r="H107" s="194" t="str">
        <f>графік!J113</f>
        <v/>
      </c>
      <c r="I107" s="194" t="str">
        <f>графік!K113</f>
        <v/>
      </c>
      <c r="J107" s="194" t="str">
        <f>графік!L113</f>
        <v/>
      </c>
      <c r="K107" s="194" t="str">
        <f>графік!M113</f>
        <v/>
      </c>
      <c r="L107" s="194" t="str">
        <f>графік!N113</f>
        <v/>
      </c>
      <c r="M107" s="194" t="str">
        <f>графік!O113</f>
        <v/>
      </c>
      <c r="N107" s="194" t="str">
        <f>графік!P113</f>
        <v/>
      </c>
      <c r="O107" s="194" t="str">
        <f>графік!Q113</f>
        <v/>
      </c>
      <c r="P107" s="194" t="str">
        <f>графік!R113</f>
        <v/>
      </c>
      <c r="Q107" s="209" t="str">
        <f>графік!S113</f>
        <v/>
      </c>
      <c r="R107" s="194" t="str">
        <f>графік!T113</f>
        <v/>
      </c>
    </row>
    <row r="108" spans="1:18" x14ac:dyDescent="0.35">
      <c r="A108" s="40" t="str">
        <f>графік!A114</f>
        <v/>
      </c>
      <c r="B108" s="42" t="str">
        <f ca="1">графік!C114</f>
        <v xml:space="preserve"> </v>
      </c>
      <c r="C108" s="41" t="str">
        <f>графік!D114</f>
        <v/>
      </c>
      <c r="D108" s="194" t="str">
        <f>графік!F114</f>
        <v/>
      </c>
      <c r="E108" s="193" t="str">
        <f>графік!G114</f>
        <v/>
      </c>
      <c r="F108" s="194" t="str">
        <f>графік!H114</f>
        <v/>
      </c>
      <c r="G108" s="194" t="str">
        <f>графік!I114</f>
        <v/>
      </c>
      <c r="H108" s="194" t="str">
        <f>графік!J114</f>
        <v/>
      </c>
      <c r="I108" s="194" t="str">
        <f>графік!K114</f>
        <v/>
      </c>
      <c r="J108" s="194" t="str">
        <f>графік!L114</f>
        <v/>
      </c>
      <c r="K108" s="194" t="str">
        <f>графік!M114</f>
        <v/>
      </c>
      <c r="L108" s="194" t="str">
        <f>графік!N114</f>
        <v/>
      </c>
      <c r="M108" s="194" t="str">
        <f>графік!O114</f>
        <v/>
      </c>
      <c r="N108" s="194" t="str">
        <f>графік!P114</f>
        <v/>
      </c>
      <c r="O108" s="194" t="str">
        <f>графік!Q114</f>
        <v/>
      </c>
      <c r="P108" s="194" t="str">
        <f>графік!R114</f>
        <v/>
      </c>
      <c r="Q108" s="209" t="str">
        <f>графік!S114</f>
        <v/>
      </c>
      <c r="R108" s="194" t="str">
        <f>графік!T114</f>
        <v/>
      </c>
    </row>
    <row r="109" spans="1:18" x14ac:dyDescent="0.35">
      <c r="A109" s="40" t="str">
        <f>графік!A115</f>
        <v/>
      </c>
      <c r="B109" s="42" t="str">
        <f ca="1">графік!C115</f>
        <v xml:space="preserve"> </v>
      </c>
      <c r="C109" s="41" t="str">
        <f>графік!D115</f>
        <v/>
      </c>
      <c r="D109" s="194" t="str">
        <f>графік!F115</f>
        <v/>
      </c>
      <c r="E109" s="193" t="str">
        <f>графік!G115</f>
        <v/>
      </c>
      <c r="F109" s="194" t="str">
        <f>графік!H115</f>
        <v/>
      </c>
      <c r="G109" s="194" t="str">
        <f>графік!I115</f>
        <v/>
      </c>
      <c r="H109" s="194" t="str">
        <f>графік!J115</f>
        <v/>
      </c>
      <c r="I109" s="194" t="str">
        <f>графік!K115</f>
        <v/>
      </c>
      <c r="J109" s="194" t="str">
        <f>графік!L115</f>
        <v/>
      </c>
      <c r="K109" s="194" t="str">
        <f>графік!M115</f>
        <v/>
      </c>
      <c r="L109" s="194" t="str">
        <f>графік!N115</f>
        <v/>
      </c>
      <c r="M109" s="194" t="str">
        <f>графік!O115</f>
        <v/>
      </c>
      <c r="N109" s="194" t="str">
        <f>графік!P115</f>
        <v/>
      </c>
      <c r="O109" s="194" t="str">
        <f>графік!Q115</f>
        <v/>
      </c>
      <c r="P109" s="194" t="str">
        <f>графік!R115</f>
        <v/>
      </c>
      <c r="Q109" s="209" t="str">
        <f>графік!S115</f>
        <v/>
      </c>
      <c r="R109" s="194" t="str">
        <f>графік!T115</f>
        <v/>
      </c>
    </row>
    <row r="110" spans="1:18" x14ac:dyDescent="0.35">
      <c r="A110" s="40" t="str">
        <f>графік!A116</f>
        <v/>
      </c>
      <c r="B110" s="42" t="str">
        <f ca="1">графік!C116</f>
        <v xml:space="preserve"> </v>
      </c>
      <c r="C110" s="41" t="str">
        <f>графік!D116</f>
        <v/>
      </c>
      <c r="D110" s="194" t="str">
        <f>графік!F116</f>
        <v/>
      </c>
      <c r="E110" s="193" t="str">
        <f>графік!G116</f>
        <v/>
      </c>
      <c r="F110" s="194" t="str">
        <f>графік!H116</f>
        <v/>
      </c>
      <c r="G110" s="194" t="str">
        <f>графік!I116</f>
        <v/>
      </c>
      <c r="H110" s="194" t="str">
        <f>графік!J116</f>
        <v/>
      </c>
      <c r="I110" s="194" t="str">
        <f>графік!K116</f>
        <v/>
      </c>
      <c r="J110" s="194" t="str">
        <f>графік!L116</f>
        <v/>
      </c>
      <c r="K110" s="194" t="str">
        <f>графік!M116</f>
        <v/>
      </c>
      <c r="L110" s="194" t="str">
        <f>графік!N116</f>
        <v/>
      </c>
      <c r="M110" s="194" t="str">
        <f>графік!O116</f>
        <v/>
      </c>
      <c r="N110" s="194" t="str">
        <f>графік!P116</f>
        <v/>
      </c>
      <c r="O110" s="194" t="str">
        <f>графік!Q116</f>
        <v/>
      </c>
      <c r="P110" s="194" t="str">
        <f>графік!R116</f>
        <v/>
      </c>
      <c r="Q110" s="209" t="str">
        <f>графік!S116</f>
        <v/>
      </c>
      <c r="R110" s="194" t="str">
        <f>графік!T116</f>
        <v/>
      </c>
    </row>
    <row r="111" spans="1:18" x14ac:dyDescent="0.35">
      <c r="A111" s="40" t="str">
        <f>графік!A117</f>
        <v/>
      </c>
      <c r="B111" s="42" t="str">
        <f ca="1">графік!C117</f>
        <v xml:space="preserve"> </v>
      </c>
      <c r="C111" s="41" t="str">
        <f>графік!D117</f>
        <v/>
      </c>
      <c r="D111" s="194" t="str">
        <f>графік!F117</f>
        <v/>
      </c>
      <c r="E111" s="193" t="str">
        <f>графік!G117</f>
        <v/>
      </c>
      <c r="F111" s="194" t="str">
        <f>графік!H117</f>
        <v/>
      </c>
      <c r="G111" s="194" t="str">
        <f>графік!I117</f>
        <v/>
      </c>
      <c r="H111" s="194" t="str">
        <f>графік!J117</f>
        <v/>
      </c>
      <c r="I111" s="194" t="str">
        <f>графік!K117</f>
        <v/>
      </c>
      <c r="J111" s="194" t="str">
        <f>графік!L117</f>
        <v/>
      </c>
      <c r="K111" s="194" t="str">
        <f>графік!M117</f>
        <v/>
      </c>
      <c r="L111" s="194" t="str">
        <f>графік!N117</f>
        <v/>
      </c>
      <c r="M111" s="194" t="str">
        <f>графік!O117</f>
        <v/>
      </c>
      <c r="N111" s="194" t="str">
        <f>графік!P117</f>
        <v/>
      </c>
      <c r="O111" s="194" t="str">
        <f>графік!Q117</f>
        <v/>
      </c>
      <c r="P111" s="194" t="str">
        <f>графік!R117</f>
        <v/>
      </c>
      <c r="Q111" s="209" t="str">
        <f>графік!S117</f>
        <v/>
      </c>
      <c r="R111" s="194" t="str">
        <f>графік!T117</f>
        <v/>
      </c>
    </row>
    <row r="112" spans="1:18" x14ac:dyDescent="0.35">
      <c r="A112" s="40" t="str">
        <f>графік!A118</f>
        <v/>
      </c>
      <c r="B112" s="42" t="str">
        <f ca="1">графік!C118</f>
        <v xml:space="preserve"> </v>
      </c>
      <c r="C112" s="41" t="str">
        <f>графік!D118</f>
        <v/>
      </c>
      <c r="D112" s="194" t="str">
        <f>графік!F118</f>
        <v/>
      </c>
      <c r="E112" s="193" t="str">
        <f>графік!G118</f>
        <v/>
      </c>
      <c r="F112" s="194" t="str">
        <f>графік!H118</f>
        <v/>
      </c>
      <c r="G112" s="194" t="str">
        <f>графік!I118</f>
        <v/>
      </c>
      <c r="H112" s="194" t="str">
        <f>графік!J118</f>
        <v/>
      </c>
      <c r="I112" s="194" t="str">
        <f>графік!K118</f>
        <v/>
      </c>
      <c r="J112" s="194" t="str">
        <f>графік!L118</f>
        <v/>
      </c>
      <c r="K112" s="194" t="str">
        <f>графік!M118</f>
        <v/>
      </c>
      <c r="L112" s="194" t="str">
        <f>графік!N118</f>
        <v/>
      </c>
      <c r="M112" s="194" t="str">
        <f>графік!O118</f>
        <v/>
      </c>
      <c r="N112" s="194" t="str">
        <f>графік!P118</f>
        <v/>
      </c>
      <c r="O112" s="194" t="str">
        <f>графік!Q118</f>
        <v/>
      </c>
      <c r="P112" s="194" t="str">
        <f>графік!R118</f>
        <v/>
      </c>
      <c r="Q112" s="209" t="str">
        <f>графік!S118</f>
        <v/>
      </c>
      <c r="R112" s="194" t="str">
        <f>графік!T118</f>
        <v/>
      </c>
    </row>
    <row r="113" spans="1:18" x14ac:dyDescent="0.35">
      <c r="A113" s="40" t="str">
        <f>графік!A119</f>
        <v/>
      </c>
      <c r="B113" s="42" t="str">
        <f ca="1">графік!C119</f>
        <v xml:space="preserve"> </v>
      </c>
      <c r="C113" s="41" t="str">
        <f>графік!D119</f>
        <v/>
      </c>
      <c r="D113" s="194" t="str">
        <f>графік!F119</f>
        <v/>
      </c>
      <c r="E113" s="193" t="str">
        <f>графік!G119</f>
        <v/>
      </c>
      <c r="F113" s="194" t="str">
        <f>графік!H119</f>
        <v/>
      </c>
      <c r="G113" s="194" t="str">
        <f>графік!I119</f>
        <v/>
      </c>
      <c r="H113" s="194" t="str">
        <f>графік!J119</f>
        <v/>
      </c>
      <c r="I113" s="194" t="str">
        <f>графік!K119</f>
        <v/>
      </c>
      <c r="J113" s="194" t="str">
        <f>графік!L119</f>
        <v/>
      </c>
      <c r="K113" s="194" t="str">
        <f>графік!M119</f>
        <v/>
      </c>
      <c r="L113" s="194" t="str">
        <f>графік!N119</f>
        <v/>
      </c>
      <c r="M113" s="194" t="str">
        <f>графік!O119</f>
        <v/>
      </c>
      <c r="N113" s="194" t="str">
        <f>графік!P119</f>
        <v/>
      </c>
      <c r="O113" s="194" t="str">
        <f>графік!Q119</f>
        <v/>
      </c>
      <c r="P113" s="194" t="str">
        <f>графік!R119</f>
        <v/>
      </c>
      <c r="Q113" s="209" t="str">
        <f>графік!S119</f>
        <v/>
      </c>
      <c r="R113" s="194" t="str">
        <f>графік!T119</f>
        <v/>
      </c>
    </row>
    <row r="114" spans="1:18" x14ac:dyDescent="0.35">
      <c r="A114" s="40" t="str">
        <f>графік!A120</f>
        <v/>
      </c>
      <c r="B114" s="42" t="str">
        <f ca="1">графік!C120</f>
        <v xml:space="preserve"> </v>
      </c>
      <c r="C114" s="41" t="str">
        <f>графік!D120</f>
        <v/>
      </c>
      <c r="D114" s="194" t="str">
        <f>графік!F120</f>
        <v/>
      </c>
      <c r="E114" s="193" t="str">
        <f>графік!G120</f>
        <v/>
      </c>
      <c r="F114" s="194" t="str">
        <f>графік!H120</f>
        <v/>
      </c>
      <c r="G114" s="194" t="str">
        <f>графік!I120</f>
        <v/>
      </c>
      <c r="H114" s="194" t="str">
        <f>графік!J120</f>
        <v/>
      </c>
      <c r="I114" s="194" t="str">
        <f>графік!K120</f>
        <v/>
      </c>
      <c r="J114" s="194" t="str">
        <f>графік!L120</f>
        <v/>
      </c>
      <c r="K114" s="194" t="str">
        <f>графік!M120</f>
        <v/>
      </c>
      <c r="L114" s="194" t="str">
        <f>графік!N120</f>
        <v/>
      </c>
      <c r="M114" s="194" t="str">
        <f>графік!O120</f>
        <v/>
      </c>
      <c r="N114" s="194" t="str">
        <f>графік!P120</f>
        <v/>
      </c>
      <c r="O114" s="194" t="str">
        <f>графік!Q120</f>
        <v/>
      </c>
      <c r="P114" s="194" t="str">
        <f>графік!R120</f>
        <v/>
      </c>
      <c r="Q114" s="209" t="str">
        <f>графік!S120</f>
        <v/>
      </c>
      <c r="R114" s="194" t="str">
        <f>графік!T120</f>
        <v/>
      </c>
    </row>
    <row r="115" spans="1:18" x14ac:dyDescent="0.35">
      <c r="A115" s="40" t="str">
        <f>графік!A121</f>
        <v/>
      </c>
      <c r="B115" s="42" t="str">
        <f ca="1">графік!C121</f>
        <v xml:space="preserve"> </v>
      </c>
      <c r="C115" s="41" t="str">
        <f>графік!D121</f>
        <v/>
      </c>
      <c r="D115" s="194" t="str">
        <f>графік!F121</f>
        <v/>
      </c>
      <c r="E115" s="193" t="str">
        <f>графік!G121</f>
        <v/>
      </c>
      <c r="F115" s="194" t="str">
        <f>графік!H121</f>
        <v/>
      </c>
      <c r="G115" s="194" t="str">
        <f>графік!I121</f>
        <v/>
      </c>
      <c r="H115" s="194" t="str">
        <f>графік!J121</f>
        <v/>
      </c>
      <c r="I115" s="194" t="str">
        <f>графік!K121</f>
        <v/>
      </c>
      <c r="J115" s="194" t="str">
        <f>графік!L121</f>
        <v/>
      </c>
      <c r="K115" s="194" t="str">
        <f>графік!M121</f>
        <v/>
      </c>
      <c r="L115" s="194" t="str">
        <f>графік!N121</f>
        <v/>
      </c>
      <c r="M115" s="194" t="str">
        <f>графік!O121</f>
        <v/>
      </c>
      <c r="N115" s="194" t="str">
        <f>графік!P121</f>
        <v/>
      </c>
      <c r="O115" s="194" t="str">
        <f>графік!Q121</f>
        <v/>
      </c>
      <c r="P115" s="194" t="str">
        <f>графік!R121</f>
        <v/>
      </c>
      <c r="Q115" s="209" t="str">
        <f>графік!S121</f>
        <v/>
      </c>
      <c r="R115" s="194" t="str">
        <f>графік!T121</f>
        <v/>
      </c>
    </row>
    <row r="116" spans="1:18" x14ac:dyDescent="0.35">
      <c r="A116" s="40" t="str">
        <f>графік!A122</f>
        <v/>
      </c>
      <c r="B116" s="42" t="str">
        <f ca="1">графік!C122</f>
        <v xml:space="preserve"> </v>
      </c>
      <c r="C116" s="41" t="str">
        <f>графік!D122</f>
        <v/>
      </c>
      <c r="D116" s="194" t="str">
        <f>графік!F122</f>
        <v/>
      </c>
      <c r="E116" s="193" t="str">
        <f>графік!G122</f>
        <v/>
      </c>
      <c r="F116" s="194" t="str">
        <f>графік!H122</f>
        <v/>
      </c>
      <c r="G116" s="194" t="str">
        <f>графік!I122</f>
        <v/>
      </c>
      <c r="H116" s="194" t="str">
        <f>графік!J122</f>
        <v/>
      </c>
      <c r="I116" s="194" t="str">
        <f>графік!K122</f>
        <v/>
      </c>
      <c r="J116" s="194" t="str">
        <f>графік!L122</f>
        <v/>
      </c>
      <c r="K116" s="194" t="str">
        <f>графік!M122</f>
        <v/>
      </c>
      <c r="L116" s="194" t="str">
        <f>графік!N122</f>
        <v/>
      </c>
      <c r="M116" s="194" t="str">
        <f>графік!O122</f>
        <v/>
      </c>
      <c r="N116" s="194" t="str">
        <f>графік!P122</f>
        <v/>
      </c>
      <c r="O116" s="194" t="str">
        <f>графік!Q122</f>
        <v/>
      </c>
      <c r="P116" s="194" t="str">
        <f>графік!R122</f>
        <v/>
      </c>
      <c r="Q116" s="209" t="str">
        <f>графік!S122</f>
        <v/>
      </c>
      <c r="R116" s="194" t="str">
        <f>графік!T122</f>
        <v/>
      </c>
    </row>
    <row r="117" spans="1:18" x14ac:dyDescent="0.35">
      <c r="A117" s="40" t="str">
        <f>графік!A123</f>
        <v/>
      </c>
      <c r="B117" s="42" t="str">
        <f ca="1">графік!C123</f>
        <v xml:space="preserve"> </v>
      </c>
      <c r="C117" s="41" t="str">
        <f>графік!D123</f>
        <v/>
      </c>
      <c r="D117" s="194" t="str">
        <f>графік!F123</f>
        <v/>
      </c>
      <c r="E117" s="193" t="str">
        <f>графік!G123</f>
        <v/>
      </c>
      <c r="F117" s="194" t="str">
        <f>графік!H123</f>
        <v/>
      </c>
      <c r="G117" s="194" t="str">
        <f>графік!I123</f>
        <v/>
      </c>
      <c r="H117" s="194" t="str">
        <f>графік!J123</f>
        <v/>
      </c>
      <c r="I117" s="194" t="str">
        <f>графік!K123</f>
        <v/>
      </c>
      <c r="J117" s="194" t="str">
        <f>графік!L123</f>
        <v/>
      </c>
      <c r="K117" s="194" t="str">
        <f>графік!M123</f>
        <v/>
      </c>
      <c r="L117" s="194" t="str">
        <f>графік!N123</f>
        <v/>
      </c>
      <c r="M117" s="194" t="str">
        <f>графік!O123</f>
        <v/>
      </c>
      <c r="N117" s="194" t="str">
        <f>графік!P123</f>
        <v/>
      </c>
      <c r="O117" s="194" t="str">
        <f>графік!Q123</f>
        <v/>
      </c>
      <c r="P117" s="194" t="str">
        <f>графік!R123</f>
        <v/>
      </c>
      <c r="Q117" s="209" t="str">
        <f>графік!S123</f>
        <v/>
      </c>
      <c r="R117" s="194" t="str">
        <f>графік!T123</f>
        <v/>
      </c>
    </row>
    <row r="118" spans="1:18" x14ac:dyDescent="0.35">
      <c r="A118" s="40" t="str">
        <f>графік!A124</f>
        <v/>
      </c>
      <c r="B118" s="42" t="str">
        <f ca="1">графік!C124</f>
        <v xml:space="preserve"> </v>
      </c>
      <c r="C118" s="41" t="str">
        <f>графік!D124</f>
        <v/>
      </c>
      <c r="D118" s="194" t="str">
        <f>графік!F124</f>
        <v/>
      </c>
      <c r="E118" s="193" t="str">
        <f>графік!G124</f>
        <v/>
      </c>
      <c r="F118" s="194" t="str">
        <f>графік!H124</f>
        <v/>
      </c>
      <c r="G118" s="194" t="str">
        <f>графік!I124</f>
        <v/>
      </c>
      <c r="H118" s="194" t="str">
        <f>графік!J124</f>
        <v/>
      </c>
      <c r="I118" s="194" t="str">
        <f>графік!K124</f>
        <v/>
      </c>
      <c r="J118" s="194" t="str">
        <f>графік!L124</f>
        <v/>
      </c>
      <c r="K118" s="194" t="str">
        <f>графік!M124</f>
        <v/>
      </c>
      <c r="L118" s="194" t="str">
        <f>графік!N124</f>
        <v/>
      </c>
      <c r="M118" s="194" t="str">
        <f>графік!O124</f>
        <v/>
      </c>
      <c r="N118" s="194" t="str">
        <f>графік!P124</f>
        <v/>
      </c>
      <c r="O118" s="194" t="str">
        <f>графік!Q124</f>
        <v/>
      </c>
      <c r="P118" s="194" t="str">
        <f>графік!R124</f>
        <v/>
      </c>
      <c r="Q118" s="209" t="str">
        <f>графік!S124</f>
        <v/>
      </c>
      <c r="R118" s="194" t="str">
        <f>графік!T124</f>
        <v/>
      </c>
    </row>
    <row r="119" spans="1:18" x14ac:dyDescent="0.35">
      <c r="A119" s="40" t="str">
        <f>графік!A125</f>
        <v/>
      </c>
      <c r="B119" s="42" t="str">
        <f ca="1">графік!C125</f>
        <v xml:space="preserve"> </v>
      </c>
      <c r="C119" s="41" t="str">
        <f>графік!D125</f>
        <v/>
      </c>
      <c r="D119" s="194" t="str">
        <f>графік!F125</f>
        <v/>
      </c>
      <c r="E119" s="193" t="str">
        <f>графік!G125</f>
        <v/>
      </c>
      <c r="F119" s="194" t="str">
        <f>графік!H125</f>
        <v/>
      </c>
      <c r="G119" s="194" t="str">
        <f>графік!I125</f>
        <v/>
      </c>
      <c r="H119" s="194" t="str">
        <f>графік!J125</f>
        <v/>
      </c>
      <c r="I119" s="194" t="str">
        <f>графік!K125</f>
        <v/>
      </c>
      <c r="J119" s="194" t="str">
        <f>графік!L125</f>
        <v/>
      </c>
      <c r="K119" s="194" t="str">
        <f>графік!M125</f>
        <v/>
      </c>
      <c r="L119" s="194" t="str">
        <f>графік!N125</f>
        <v/>
      </c>
      <c r="M119" s="194" t="str">
        <f>графік!O125</f>
        <v/>
      </c>
      <c r="N119" s="194" t="str">
        <f>графік!P125</f>
        <v/>
      </c>
      <c r="O119" s="194" t="str">
        <f>графік!Q125</f>
        <v/>
      </c>
      <c r="P119" s="194" t="str">
        <f>графік!R125</f>
        <v/>
      </c>
      <c r="Q119" s="209" t="str">
        <f>графік!S125</f>
        <v/>
      </c>
      <c r="R119" s="194" t="str">
        <f>графік!T125</f>
        <v/>
      </c>
    </row>
    <row r="120" spans="1:18" x14ac:dyDescent="0.35">
      <c r="A120" s="40" t="str">
        <f>графік!A126</f>
        <v/>
      </c>
      <c r="B120" s="42" t="str">
        <f ca="1">графік!C126</f>
        <v xml:space="preserve"> </v>
      </c>
      <c r="C120" s="41" t="str">
        <f>графік!D126</f>
        <v/>
      </c>
      <c r="D120" s="194" t="str">
        <f>графік!F126</f>
        <v/>
      </c>
      <c r="E120" s="193" t="str">
        <f>графік!G126</f>
        <v/>
      </c>
      <c r="F120" s="194" t="str">
        <f>графік!H126</f>
        <v/>
      </c>
      <c r="G120" s="194" t="str">
        <f>графік!I126</f>
        <v/>
      </c>
      <c r="H120" s="194" t="str">
        <f>графік!J126</f>
        <v/>
      </c>
      <c r="I120" s="194" t="str">
        <f>графік!K126</f>
        <v/>
      </c>
      <c r="J120" s="194" t="str">
        <f>графік!L126</f>
        <v/>
      </c>
      <c r="K120" s="194" t="str">
        <f>графік!M126</f>
        <v/>
      </c>
      <c r="L120" s="194" t="str">
        <f>графік!N126</f>
        <v/>
      </c>
      <c r="M120" s="194" t="str">
        <f>графік!O126</f>
        <v/>
      </c>
      <c r="N120" s="194" t="str">
        <f>графік!P126</f>
        <v/>
      </c>
      <c r="O120" s="194" t="str">
        <f>графік!Q126</f>
        <v/>
      </c>
      <c r="P120" s="194" t="str">
        <f>графік!R126</f>
        <v/>
      </c>
      <c r="Q120" s="209" t="str">
        <f>графік!S126</f>
        <v/>
      </c>
      <c r="R120" s="194" t="str">
        <f>графік!T126</f>
        <v/>
      </c>
    </row>
    <row r="121" spans="1:18" x14ac:dyDescent="0.35">
      <c r="A121" s="40" t="str">
        <f>графік!A127</f>
        <v/>
      </c>
      <c r="B121" s="42" t="str">
        <f ca="1">графік!C127</f>
        <v xml:space="preserve"> </v>
      </c>
      <c r="C121" s="41" t="str">
        <f>графік!D127</f>
        <v/>
      </c>
      <c r="D121" s="194" t="str">
        <f>графік!F127</f>
        <v/>
      </c>
      <c r="E121" s="193" t="str">
        <f>графік!G127</f>
        <v/>
      </c>
      <c r="F121" s="194" t="str">
        <f>графік!H127</f>
        <v/>
      </c>
      <c r="G121" s="194" t="str">
        <f>графік!I127</f>
        <v/>
      </c>
      <c r="H121" s="194" t="str">
        <f>графік!J127</f>
        <v/>
      </c>
      <c r="I121" s="194" t="str">
        <f>графік!K127</f>
        <v/>
      </c>
      <c r="J121" s="194" t="str">
        <f>графік!L127</f>
        <v/>
      </c>
      <c r="K121" s="194" t="str">
        <f>графік!M127</f>
        <v/>
      </c>
      <c r="L121" s="194" t="str">
        <f>графік!N127</f>
        <v/>
      </c>
      <c r="M121" s="194" t="str">
        <f>графік!O127</f>
        <v/>
      </c>
      <c r="N121" s="194" t="str">
        <f>графік!P127</f>
        <v/>
      </c>
      <c r="O121" s="194" t="str">
        <f>графік!Q127</f>
        <v/>
      </c>
      <c r="P121" s="194" t="str">
        <f>графік!R127</f>
        <v/>
      </c>
      <c r="Q121" s="209" t="str">
        <f>графік!S127</f>
        <v/>
      </c>
      <c r="R121" s="194" t="str">
        <f>графік!T127</f>
        <v/>
      </c>
    </row>
    <row r="122" spans="1:18" x14ac:dyDescent="0.35">
      <c r="A122" s="40" t="str">
        <f>графік!A128</f>
        <v/>
      </c>
      <c r="B122" s="42" t="str">
        <f ca="1">графік!C128</f>
        <v xml:space="preserve"> </v>
      </c>
      <c r="C122" s="41" t="str">
        <f>графік!D128</f>
        <v/>
      </c>
      <c r="D122" s="194" t="str">
        <f>графік!F128</f>
        <v/>
      </c>
      <c r="E122" s="193" t="str">
        <f>графік!G128</f>
        <v/>
      </c>
      <c r="F122" s="194" t="str">
        <f>графік!H128</f>
        <v/>
      </c>
      <c r="G122" s="194" t="str">
        <f>графік!I128</f>
        <v/>
      </c>
      <c r="H122" s="194" t="str">
        <f>графік!J128</f>
        <v/>
      </c>
      <c r="I122" s="194" t="str">
        <f>графік!K128</f>
        <v/>
      </c>
      <c r="J122" s="194" t="str">
        <f>графік!L128</f>
        <v/>
      </c>
      <c r="K122" s="194" t="str">
        <f>графік!M128</f>
        <v/>
      </c>
      <c r="L122" s="194" t="str">
        <f>графік!N128</f>
        <v/>
      </c>
      <c r="M122" s="194" t="str">
        <f>графік!O128</f>
        <v/>
      </c>
      <c r="N122" s="194" t="str">
        <f>графік!P128</f>
        <v/>
      </c>
      <c r="O122" s="194" t="str">
        <f>графік!Q128</f>
        <v/>
      </c>
      <c r="P122" s="194" t="str">
        <f>графік!R128</f>
        <v/>
      </c>
      <c r="Q122" s="209" t="str">
        <f>графік!S128</f>
        <v/>
      </c>
      <c r="R122" s="194" t="str">
        <f>графік!T128</f>
        <v/>
      </c>
    </row>
    <row r="123" spans="1:18" x14ac:dyDescent="0.35">
      <c r="A123" s="40" t="str">
        <f>графік!A129</f>
        <v/>
      </c>
      <c r="B123" s="42" t="str">
        <f ca="1">графік!C129</f>
        <v xml:space="preserve"> </v>
      </c>
      <c r="C123" s="41" t="str">
        <f>графік!D129</f>
        <v/>
      </c>
      <c r="D123" s="194" t="str">
        <f>графік!F129</f>
        <v/>
      </c>
      <c r="E123" s="193" t="str">
        <f>графік!G129</f>
        <v/>
      </c>
      <c r="F123" s="194" t="str">
        <f>графік!H129</f>
        <v/>
      </c>
      <c r="G123" s="194" t="str">
        <f>графік!I129</f>
        <v/>
      </c>
      <c r="H123" s="194" t="str">
        <f>графік!J129</f>
        <v/>
      </c>
      <c r="I123" s="194" t="str">
        <f>графік!K129</f>
        <v/>
      </c>
      <c r="J123" s="194" t="str">
        <f>графік!L129</f>
        <v/>
      </c>
      <c r="K123" s="194" t="str">
        <f>графік!M129</f>
        <v/>
      </c>
      <c r="L123" s="194" t="str">
        <f>графік!N129</f>
        <v/>
      </c>
      <c r="M123" s="194" t="str">
        <f>графік!O129</f>
        <v/>
      </c>
      <c r="N123" s="194" t="str">
        <f>графік!P129</f>
        <v/>
      </c>
      <c r="O123" s="194" t="str">
        <f>графік!Q129</f>
        <v/>
      </c>
      <c r="P123" s="194" t="str">
        <f>графік!R129</f>
        <v/>
      </c>
      <c r="Q123" s="209" t="str">
        <f>графік!S129</f>
        <v/>
      </c>
      <c r="R123" s="194" t="str">
        <f>графік!T129</f>
        <v/>
      </c>
    </row>
    <row r="124" spans="1:18" x14ac:dyDescent="0.35">
      <c r="A124" s="40" t="str">
        <f>графік!A130</f>
        <v/>
      </c>
      <c r="B124" s="42" t="str">
        <f ca="1">графік!C130</f>
        <v xml:space="preserve"> </v>
      </c>
      <c r="C124" s="41" t="str">
        <f>графік!D130</f>
        <v/>
      </c>
      <c r="D124" s="194" t="str">
        <f>графік!F130</f>
        <v/>
      </c>
      <c r="E124" s="193" t="str">
        <f>графік!G130</f>
        <v/>
      </c>
      <c r="F124" s="194" t="str">
        <f>графік!H130</f>
        <v/>
      </c>
      <c r="G124" s="194" t="str">
        <f>графік!I130</f>
        <v/>
      </c>
      <c r="H124" s="194" t="str">
        <f>графік!J130</f>
        <v/>
      </c>
      <c r="I124" s="194" t="str">
        <f>графік!K130</f>
        <v/>
      </c>
      <c r="J124" s="194" t="str">
        <f>графік!L130</f>
        <v/>
      </c>
      <c r="K124" s="194" t="str">
        <f>графік!M130</f>
        <v/>
      </c>
      <c r="L124" s="194" t="str">
        <f>графік!N130</f>
        <v/>
      </c>
      <c r="M124" s="194" t="str">
        <f>графік!O130</f>
        <v/>
      </c>
      <c r="N124" s="194" t="str">
        <f>графік!P130</f>
        <v/>
      </c>
      <c r="O124" s="194" t="str">
        <f>графік!Q130</f>
        <v/>
      </c>
      <c r="P124" s="194" t="str">
        <f>графік!R130</f>
        <v/>
      </c>
      <c r="Q124" s="209" t="str">
        <f>графік!S130</f>
        <v/>
      </c>
      <c r="R124" s="194" t="str">
        <f>графік!T130</f>
        <v/>
      </c>
    </row>
    <row r="125" spans="1:18" x14ac:dyDescent="0.35">
      <c r="A125" s="40" t="str">
        <f>графік!A131</f>
        <v/>
      </c>
      <c r="B125" s="42" t="str">
        <f ca="1">графік!C131</f>
        <v xml:space="preserve"> </v>
      </c>
      <c r="C125" s="41" t="str">
        <f>графік!D131</f>
        <v/>
      </c>
      <c r="D125" s="194" t="str">
        <f>графік!F131</f>
        <v/>
      </c>
      <c r="E125" s="193" t="str">
        <f>графік!G131</f>
        <v/>
      </c>
      <c r="F125" s="194" t="str">
        <f>графік!H131</f>
        <v/>
      </c>
      <c r="G125" s="194" t="str">
        <f>графік!I131</f>
        <v/>
      </c>
      <c r="H125" s="194" t="str">
        <f>графік!J131</f>
        <v/>
      </c>
      <c r="I125" s="194" t="str">
        <f>графік!K131</f>
        <v/>
      </c>
      <c r="J125" s="194" t="str">
        <f>графік!L131</f>
        <v/>
      </c>
      <c r="K125" s="194" t="str">
        <f>графік!M131</f>
        <v/>
      </c>
      <c r="L125" s="194" t="str">
        <f>графік!N131</f>
        <v/>
      </c>
      <c r="M125" s="194" t="str">
        <f>графік!O131</f>
        <v/>
      </c>
      <c r="N125" s="194" t="str">
        <f>графік!P131</f>
        <v/>
      </c>
      <c r="O125" s="194" t="str">
        <f>графік!Q131</f>
        <v/>
      </c>
      <c r="P125" s="194" t="str">
        <f>графік!R131</f>
        <v/>
      </c>
      <c r="Q125" s="209" t="str">
        <f>графік!S131</f>
        <v/>
      </c>
      <c r="R125" s="194" t="str">
        <f>графік!T131</f>
        <v/>
      </c>
    </row>
    <row r="126" spans="1:18" x14ac:dyDescent="0.35">
      <c r="A126" s="40" t="str">
        <f>графік!A132</f>
        <v/>
      </c>
      <c r="B126" s="42" t="str">
        <f ca="1">графік!C132</f>
        <v xml:space="preserve"> </v>
      </c>
      <c r="C126" s="41" t="str">
        <f>графік!D132</f>
        <v/>
      </c>
      <c r="D126" s="194" t="str">
        <f>графік!F132</f>
        <v/>
      </c>
      <c r="E126" s="193" t="str">
        <f>графік!G132</f>
        <v/>
      </c>
      <c r="F126" s="194" t="str">
        <f>графік!H132</f>
        <v/>
      </c>
      <c r="G126" s="194" t="str">
        <f>графік!I132</f>
        <v/>
      </c>
      <c r="H126" s="194" t="str">
        <f>графік!J132</f>
        <v/>
      </c>
      <c r="I126" s="194" t="str">
        <f>графік!K132</f>
        <v/>
      </c>
      <c r="J126" s="194" t="str">
        <f>графік!L132</f>
        <v/>
      </c>
      <c r="K126" s="194" t="str">
        <f>графік!M132</f>
        <v/>
      </c>
      <c r="L126" s="194" t="str">
        <f>графік!N132</f>
        <v/>
      </c>
      <c r="M126" s="194" t="str">
        <f>графік!O132</f>
        <v/>
      </c>
      <c r="N126" s="194" t="str">
        <f>графік!P132</f>
        <v/>
      </c>
      <c r="O126" s="194" t="str">
        <f>графік!Q132</f>
        <v/>
      </c>
      <c r="P126" s="194" t="str">
        <f>графік!R132</f>
        <v/>
      </c>
      <c r="Q126" s="209" t="str">
        <f>графік!S132</f>
        <v/>
      </c>
      <c r="R126" s="194" t="str">
        <f>графік!T132</f>
        <v/>
      </c>
    </row>
    <row r="127" spans="1:18" x14ac:dyDescent="0.35">
      <c r="A127" s="40" t="str">
        <f>графік!A133</f>
        <v/>
      </c>
      <c r="B127" s="42" t="str">
        <f ca="1">графік!C133</f>
        <v xml:space="preserve"> </v>
      </c>
      <c r="C127" s="41" t="str">
        <f>графік!D133</f>
        <v/>
      </c>
      <c r="D127" s="194" t="str">
        <f>графік!F133</f>
        <v/>
      </c>
      <c r="E127" s="193" t="str">
        <f>графік!G133</f>
        <v/>
      </c>
      <c r="F127" s="194" t="str">
        <f>графік!H133</f>
        <v/>
      </c>
      <c r="G127" s="194" t="str">
        <f>графік!I133</f>
        <v/>
      </c>
      <c r="H127" s="194" t="str">
        <f>графік!J133</f>
        <v/>
      </c>
      <c r="I127" s="194" t="str">
        <f>графік!K133</f>
        <v/>
      </c>
      <c r="J127" s="194" t="str">
        <f>графік!L133</f>
        <v/>
      </c>
      <c r="K127" s="194" t="str">
        <f>графік!M133</f>
        <v/>
      </c>
      <c r="L127" s="194" t="str">
        <f>графік!N133</f>
        <v/>
      </c>
      <c r="M127" s="194" t="str">
        <f>графік!O133</f>
        <v/>
      </c>
      <c r="N127" s="194" t="str">
        <f>графік!P133</f>
        <v/>
      </c>
      <c r="O127" s="194" t="str">
        <f>графік!Q133</f>
        <v/>
      </c>
      <c r="P127" s="194" t="str">
        <f>графік!R133</f>
        <v/>
      </c>
      <c r="Q127" s="209" t="str">
        <f>графік!S133</f>
        <v/>
      </c>
      <c r="R127" s="194" t="str">
        <f>графік!T133</f>
        <v/>
      </c>
    </row>
    <row r="128" spans="1:18" x14ac:dyDescent="0.35">
      <c r="A128" s="40" t="str">
        <f>графік!A134</f>
        <v/>
      </c>
      <c r="B128" s="42" t="str">
        <f ca="1">графік!C134</f>
        <v xml:space="preserve"> </v>
      </c>
      <c r="C128" s="41" t="str">
        <f>графік!D134</f>
        <v/>
      </c>
      <c r="D128" s="194" t="str">
        <f>графік!F134</f>
        <v/>
      </c>
      <c r="E128" s="193" t="str">
        <f>графік!G134</f>
        <v/>
      </c>
      <c r="F128" s="194" t="str">
        <f>графік!H134</f>
        <v/>
      </c>
      <c r="G128" s="194" t="str">
        <f>графік!I134</f>
        <v/>
      </c>
      <c r="H128" s="194" t="str">
        <f>графік!J134</f>
        <v/>
      </c>
      <c r="I128" s="194" t="str">
        <f>графік!K134</f>
        <v/>
      </c>
      <c r="J128" s="194" t="str">
        <f>графік!L134</f>
        <v/>
      </c>
      <c r="K128" s="194" t="str">
        <f>графік!M134</f>
        <v/>
      </c>
      <c r="L128" s="194" t="str">
        <f>графік!N134</f>
        <v/>
      </c>
      <c r="M128" s="194" t="str">
        <f>графік!O134</f>
        <v/>
      </c>
      <c r="N128" s="194" t="str">
        <f>графік!P134</f>
        <v/>
      </c>
      <c r="O128" s="194" t="str">
        <f>графік!Q134</f>
        <v/>
      </c>
      <c r="P128" s="194" t="str">
        <f>графік!R134</f>
        <v/>
      </c>
      <c r="Q128" s="209" t="str">
        <f>графік!S134</f>
        <v/>
      </c>
      <c r="R128" s="194" t="str">
        <f>графік!T134</f>
        <v/>
      </c>
    </row>
    <row r="129" spans="1:18" x14ac:dyDescent="0.35">
      <c r="A129" s="40" t="str">
        <f>графік!A135</f>
        <v/>
      </c>
      <c r="B129" s="42" t="str">
        <f ca="1">графік!C135</f>
        <v xml:space="preserve"> </v>
      </c>
      <c r="C129" s="41" t="str">
        <f>графік!D135</f>
        <v/>
      </c>
      <c r="D129" s="194" t="str">
        <f>графік!F135</f>
        <v/>
      </c>
      <c r="E129" s="193" t="str">
        <f>графік!G135</f>
        <v/>
      </c>
      <c r="F129" s="194" t="str">
        <f>графік!H135</f>
        <v/>
      </c>
      <c r="G129" s="194" t="str">
        <f>графік!I135</f>
        <v/>
      </c>
      <c r="H129" s="194" t="str">
        <f>графік!J135</f>
        <v/>
      </c>
      <c r="I129" s="194" t="str">
        <f>графік!K135</f>
        <v/>
      </c>
      <c r="J129" s="194" t="str">
        <f>графік!L135</f>
        <v/>
      </c>
      <c r="K129" s="194" t="str">
        <f>графік!M135</f>
        <v/>
      </c>
      <c r="L129" s="194" t="str">
        <f>графік!N135</f>
        <v/>
      </c>
      <c r="M129" s="194" t="str">
        <f>графік!O135</f>
        <v/>
      </c>
      <c r="N129" s="194" t="str">
        <f>графік!P135</f>
        <v/>
      </c>
      <c r="O129" s="194" t="str">
        <f>графік!Q135</f>
        <v/>
      </c>
      <c r="P129" s="194" t="str">
        <f>графік!R135</f>
        <v/>
      </c>
      <c r="Q129" s="209" t="str">
        <f>графік!S135</f>
        <v/>
      </c>
      <c r="R129" s="194" t="str">
        <f>графік!T135</f>
        <v/>
      </c>
    </row>
    <row r="130" spans="1:18" x14ac:dyDescent="0.35">
      <c r="A130" s="40" t="str">
        <f>графік!A136</f>
        <v/>
      </c>
      <c r="B130" s="42" t="str">
        <f ca="1">графік!C136</f>
        <v xml:space="preserve"> </v>
      </c>
      <c r="C130" s="41" t="str">
        <f>графік!D136</f>
        <v/>
      </c>
      <c r="D130" s="194" t="str">
        <f>графік!F136</f>
        <v/>
      </c>
      <c r="E130" s="193" t="str">
        <f>графік!G136</f>
        <v/>
      </c>
      <c r="F130" s="194" t="str">
        <f>графік!H136</f>
        <v/>
      </c>
      <c r="G130" s="194" t="str">
        <f>графік!I136</f>
        <v/>
      </c>
      <c r="H130" s="194" t="str">
        <f>графік!J136</f>
        <v/>
      </c>
      <c r="I130" s="194" t="str">
        <f>графік!K136</f>
        <v/>
      </c>
      <c r="J130" s="194" t="str">
        <f>графік!L136</f>
        <v/>
      </c>
      <c r="K130" s="194" t="str">
        <f>графік!M136</f>
        <v/>
      </c>
      <c r="L130" s="194" t="str">
        <f>графік!N136</f>
        <v/>
      </c>
      <c r="M130" s="194" t="str">
        <f>графік!O136</f>
        <v/>
      </c>
      <c r="N130" s="194" t="str">
        <f>графік!P136</f>
        <v/>
      </c>
      <c r="O130" s="194" t="str">
        <f>графік!Q136</f>
        <v/>
      </c>
      <c r="P130" s="194" t="str">
        <f>графік!R136</f>
        <v/>
      </c>
      <c r="Q130" s="209" t="str">
        <f>графік!S136</f>
        <v/>
      </c>
      <c r="R130" s="194" t="str">
        <f>графік!T136</f>
        <v/>
      </c>
    </row>
    <row r="131" spans="1:18" x14ac:dyDescent="0.35">
      <c r="A131" s="40" t="str">
        <f>графік!A137</f>
        <v/>
      </c>
      <c r="B131" s="42" t="str">
        <f ca="1">графік!C137</f>
        <v xml:space="preserve"> </v>
      </c>
      <c r="C131" s="41" t="str">
        <f>графік!D137</f>
        <v/>
      </c>
      <c r="D131" s="194" t="str">
        <f>графік!F137</f>
        <v/>
      </c>
      <c r="E131" s="193" t="str">
        <f>графік!G137</f>
        <v/>
      </c>
      <c r="F131" s="194" t="str">
        <f>графік!H137</f>
        <v/>
      </c>
      <c r="G131" s="194" t="str">
        <f>графік!I137</f>
        <v/>
      </c>
      <c r="H131" s="194" t="str">
        <f>графік!J137</f>
        <v/>
      </c>
      <c r="I131" s="194" t="str">
        <f>графік!K137</f>
        <v/>
      </c>
      <c r="J131" s="194" t="str">
        <f>графік!L137</f>
        <v/>
      </c>
      <c r="K131" s="194" t="str">
        <f>графік!M137</f>
        <v/>
      </c>
      <c r="L131" s="194" t="str">
        <f>графік!N137</f>
        <v/>
      </c>
      <c r="M131" s="194" t="str">
        <f>графік!O137</f>
        <v/>
      </c>
      <c r="N131" s="194" t="str">
        <f>графік!P137</f>
        <v/>
      </c>
      <c r="O131" s="194" t="str">
        <f>графік!Q137</f>
        <v/>
      </c>
      <c r="P131" s="194" t="str">
        <f>графік!R137</f>
        <v/>
      </c>
      <c r="Q131" s="209" t="str">
        <f>графік!S137</f>
        <v/>
      </c>
      <c r="R131" s="194" t="str">
        <f>графік!T137</f>
        <v/>
      </c>
    </row>
    <row r="132" spans="1:18" x14ac:dyDescent="0.35">
      <c r="A132" s="40" t="str">
        <f>графік!A138</f>
        <v/>
      </c>
      <c r="B132" s="42" t="str">
        <f ca="1">графік!C138</f>
        <v xml:space="preserve"> </v>
      </c>
      <c r="C132" s="41" t="str">
        <f>графік!D138</f>
        <v/>
      </c>
      <c r="D132" s="194" t="str">
        <f>графік!F138</f>
        <v/>
      </c>
      <c r="E132" s="193" t="str">
        <f>графік!G138</f>
        <v/>
      </c>
      <c r="F132" s="194" t="str">
        <f>графік!H138</f>
        <v/>
      </c>
      <c r="G132" s="194" t="str">
        <f>графік!I138</f>
        <v/>
      </c>
      <c r="H132" s="194" t="str">
        <f>графік!J138</f>
        <v/>
      </c>
      <c r="I132" s="194" t="str">
        <f>графік!K138</f>
        <v/>
      </c>
      <c r="J132" s="194" t="str">
        <f>графік!L138</f>
        <v/>
      </c>
      <c r="K132" s="194" t="str">
        <f>графік!M138</f>
        <v/>
      </c>
      <c r="L132" s="194" t="str">
        <f>графік!N138</f>
        <v/>
      </c>
      <c r="M132" s="194" t="str">
        <f>графік!O138</f>
        <v/>
      </c>
      <c r="N132" s="194" t="str">
        <f>графік!P138</f>
        <v/>
      </c>
      <c r="O132" s="194" t="str">
        <f>графік!Q138</f>
        <v/>
      </c>
      <c r="P132" s="194" t="str">
        <f>графік!R138</f>
        <v/>
      </c>
      <c r="Q132" s="209" t="str">
        <f>графік!S138</f>
        <v/>
      </c>
      <c r="R132" s="194" t="str">
        <f>графік!T138</f>
        <v/>
      </c>
    </row>
    <row r="133" spans="1:18" x14ac:dyDescent="0.35">
      <c r="A133" s="40" t="str">
        <f>графік!A139</f>
        <v/>
      </c>
      <c r="B133" s="42" t="str">
        <f ca="1">графік!C139</f>
        <v xml:space="preserve"> </v>
      </c>
      <c r="C133" s="41" t="str">
        <f>графік!D139</f>
        <v/>
      </c>
      <c r="D133" s="194" t="str">
        <f>графік!F139</f>
        <v/>
      </c>
      <c r="E133" s="193" t="str">
        <f>графік!G139</f>
        <v/>
      </c>
      <c r="F133" s="194" t="str">
        <f>графік!H139</f>
        <v/>
      </c>
      <c r="G133" s="194" t="str">
        <f>графік!I139</f>
        <v/>
      </c>
      <c r="H133" s="194" t="str">
        <f>графік!J139</f>
        <v/>
      </c>
      <c r="I133" s="194" t="str">
        <f>графік!K139</f>
        <v/>
      </c>
      <c r="J133" s="194" t="str">
        <f>графік!L139</f>
        <v/>
      </c>
      <c r="K133" s="194" t="str">
        <f>графік!M139</f>
        <v/>
      </c>
      <c r="L133" s="194" t="str">
        <f>графік!N139</f>
        <v/>
      </c>
      <c r="M133" s="194" t="str">
        <f>графік!O139</f>
        <v/>
      </c>
      <c r="N133" s="194" t="str">
        <f>графік!P139</f>
        <v/>
      </c>
      <c r="O133" s="194" t="str">
        <f>графік!Q139</f>
        <v/>
      </c>
      <c r="P133" s="194" t="str">
        <f>графік!R139</f>
        <v/>
      </c>
      <c r="Q133" s="209" t="str">
        <f>графік!S139</f>
        <v/>
      </c>
      <c r="R133" s="194" t="str">
        <f>графік!T139</f>
        <v/>
      </c>
    </row>
    <row r="134" spans="1:18" x14ac:dyDescent="0.35">
      <c r="A134" s="40" t="str">
        <f>графік!A140</f>
        <v/>
      </c>
      <c r="B134" s="42" t="str">
        <f ca="1">графік!C140</f>
        <v xml:space="preserve"> </v>
      </c>
      <c r="C134" s="41" t="str">
        <f>графік!D140</f>
        <v/>
      </c>
      <c r="D134" s="194" t="str">
        <f>графік!F140</f>
        <v/>
      </c>
      <c r="E134" s="193" t="str">
        <f>графік!G140</f>
        <v/>
      </c>
      <c r="F134" s="194" t="str">
        <f>графік!H140</f>
        <v/>
      </c>
      <c r="G134" s="194" t="str">
        <f>графік!I140</f>
        <v/>
      </c>
      <c r="H134" s="194" t="str">
        <f>графік!J140</f>
        <v/>
      </c>
      <c r="I134" s="194" t="str">
        <f>графік!K140</f>
        <v/>
      </c>
      <c r="J134" s="194" t="str">
        <f>графік!L140</f>
        <v/>
      </c>
      <c r="K134" s="194" t="str">
        <f>графік!M140</f>
        <v/>
      </c>
      <c r="L134" s="194" t="str">
        <f>графік!N140</f>
        <v/>
      </c>
      <c r="M134" s="194" t="str">
        <f>графік!O140</f>
        <v/>
      </c>
      <c r="N134" s="194" t="str">
        <f>графік!P140</f>
        <v/>
      </c>
      <c r="O134" s="194" t="str">
        <f>графік!Q140</f>
        <v/>
      </c>
      <c r="P134" s="194" t="str">
        <f>графік!R140</f>
        <v/>
      </c>
      <c r="Q134" s="209" t="str">
        <f>графік!S140</f>
        <v/>
      </c>
      <c r="R134" s="194" t="str">
        <f>графік!T140</f>
        <v/>
      </c>
    </row>
    <row r="135" spans="1:18" x14ac:dyDescent="0.35">
      <c r="A135" s="40" t="str">
        <f>графік!A141</f>
        <v/>
      </c>
      <c r="B135" s="42" t="str">
        <f ca="1">графік!C141</f>
        <v xml:space="preserve"> </v>
      </c>
      <c r="C135" s="41" t="str">
        <f>графік!D141</f>
        <v/>
      </c>
      <c r="D135" s="194" t="str">
        <f>графік!F141</f>
        <v/>
      </c>
      <c r="E135" s="193" t="str">
        <f>графік!G141</f>
        <v/>
      </c>
      <c r="F135" s="194" t="str">
        <f>графік!H141</f>
        <v/>
      </c>
      <c r="G135" s="194" t="str">
        <f>графік!I141</f>
        <v/>
      </c>
      <c r="H135" s="194" t="str">
        <f>графік!J141</f>
        <v/>
      </c>
      <c r="I135" s="194" t="str">
        <f>графік!K141</f>
        <v/>
      </c>
      <c r="J135" s="194" t="str">
        <f>графік!L141</f>
        <v/>
      </c>
      <c r="K135" s="194" t="str">
        <f>графік!M141</f>
        <v/>
      </c>
      <c r="L135" s="194" t="str">
        <f>графік!N141</f>
        <v/>
      </c>
      <c r="M135" s="194" t="str">
        <f>графік!O141</f>
        <v/>
      </c>
      <c r="N135" s="194" t="str">
        <f>графік!P141</f>
        <v/>
      </c>
      <c r="O135" s="194" t="str">
        <f>графік!Q141</f>
        <v/>
      </c>
      <c r="P135" s="194" t="str">
        <f>графік!R141</f>
        <v/>
      </c>
      <c r="Q135" s="209" t="str">
        <f>графік!S141</f>
        <v/>
      </c>
      <c r="R135" s="194" t="str">
        <f>графік!T141</f>
        <v/>
      </c>
    </row>
    <row r="136" spans="1:18" x14ac:dyDescent="0.35">
      <c r="A136" s="40" t="str">
        <f>графік!A142</f>
        <v/>
      </c>
      <c r="B136" s="42" t="str">
        <f ca="1">графік!C142</f>
        <v xml:space="preserve"> </v>
      </c>
      <c r="C136" s="41" t="str">
        <f>графік!D142</f>
        <v/>
      </c>
      <c r="D136" s="194" t="str">
        <f>графік!F142</f>
        <v/>
      </c>
      <c r="E136" s="193" t="str">
        <f>графік!G142</f>
        <v/>
      </c>
      <c r="F136" s="194" t="str">
        <f>графік!H142</f>
        <v/>
      </c>
      <c r="G136" s="194" t="str">
        <f>графік!I142</f>
        <v/>
      </c>
      <c r="H136" s="194" t="str">
        <f>графік!J142</f>
        <v/>
      </c>
      <c r="I136" s="194" t="str">
        <f>графік!K142</f>
        <v/>
      </c>
      <c r="J136" s="194" t="str">
        <f>графік!L142</f>
        <v/>
      </c>
      <c r="K136" s="194" t="str">
        <f>графік!M142</f>
        <v/>
      </c>
      <c r="L136" s="194" t="str">
        <f>графік!N142</f>
        <v/>
      </c>
      <c r="M136" s="194" t="str">
        <f>графік!O142</f>
        <v/>
      </c>
      <c r="N136" s="194" t="str">
        <f>графік!P142</f>
        <v/>
      </c>
      <c r="O136" s="194" t="str">
        <f>графік!Q142</f>
        <v/>
      </c>
      <c r="P136" s="194" t="str">
        <f>графік!R142</f>
        <v/>
      </c>
      <c r="Q136" s="209" t="str">
        <f>графік!S142</f>
        <v/>
      </c>
      <c r="R136" s="194" t="str">
        <f>графік!T142</f>
        <v/>
      </c>
    </row>
    <row r="137" spans="1:18" x14ac:dyDescent="0.35">
      <c r="A137" s="40" t="str">
        <f>графік!A143</f>
        <v/>
      </c>
      <c r="B137" s="42" t="str">
        <f ca="1">графік!C143</f>
        <v xml:space="preserve"> </v>
      </c>
      <c r="C137" s="41" t="str">
        <f>графік!D143</f>
        <v/>
      </c>
      <c r="D137" s="194" t="str">
        <f>графік!F143</f>
        <v/>
      </c>
      <c r="E137" s="193" t="str">
        <f>графік!G143</f>
        <v/>
      </c>
      <c r="F137" s="194" t="str">
        <f>графік!H143</f>
        <v/>
      </c>
      <c r="G137" s="194" t="str">
        <f>графік!I143</f>
        <v/>
      </c>
      <c r="H137" s="194" t="str">
        <f>графік!J143</f>
        <v/>
      </c>
      <c r="I137" s="194" t="str">
        <f>графік!K143</f>
        <v/>
      </c>
      <c r="J137" s="194" t="str">
        <f>графік!L143</f>
        <v/>
      </c>
      <c r="K137" s="194" t="str">
        <f>графік!M143</f>
        <v/>
      </c>
      <c r="L137" s="194" t="str">
        <f>графік!N143</f>
        <v/>
      </c>
      <c r="M137" s="194" t="str">
        <f>графік!O143</f>
        <v/>
      </c>
      <c r="N137" s="194" t="str">
        <f>графік!P143</f>
        <v/>
      </c>
      <c r="O137" s="194" t="str">
        <f>графік!Q143</f>
        <v/>
      </c>
      <c r="P137" s="194" t="str">
        <f>графік!R143</f>
        <v/>
      </c>
      <c r="Q137" s="209" t="str">
        <f>графік!S143</f>
        <v/>
      </c>
      <c r="R137" s="194" t="str">
        <f>графік!T143</f>
        <v/>
      </c>
    </row>
    <row r="138" spans="1:18" x14ac:dyDescent="0.35">
      <c r="A138" s="40" t="str">
        <f>графік!A144</f>
        <v/>
      </c>
      <c r="B138" s="42" t="str">
        <f ca="1">графік!C144</f>
        <v xml:space="preserve"> </v>
      </c>
      <c r="C138" s="41" t="str">
        <f>графік!D144</f>
        <v/>
      </c>
      <c r="D138" s="194" t="str">
        <f>графік!F144</f>
        <v/>
      </c>
      <c r="E138" s="193" t="str">
        <f>графік!G144</f>
        <v/>
      </c>
      <c r="F138" s="194" t="str">
        <f>графік!H144</f>
        <v/>
      </c>
      <c r="G138" s="194" t="str">
        <f>графік!I144</f>
        <v/>
      </c>
      <c r="H138" s="194" t="str">
        <f>графік!J144</f>
        <v/>
      </c>
      <c r="I138" s="194" t="str">
        <f>графік!K144</f>
        <v/>
      </c>
      <c r="J138" s="194" t="str">
        <f>графік!L144</f>
        <v/>
      </c>
      <c r="K138" s="194" t="str">
        <f>графік!M144</f>
        <v/>
      </c>
      <c r="L138" s="194" t="str">
        <f>графік!N144</f>
        <v/>
      </c>
      <c r="M138" s="194" t="str">
        <f>графік!O144</f>
        <v/>
      </c>
      <c r="N138" s="194" t="str">
        <f>графік!P144</f>
        <v/>
      </c>
      <c r="O138" s="194" t="str">
        <f>графік!Q144</f>
        <v/>
      </c>
      <c r="P138" s="194" t="str">
        <f>графік!R144</f>
        <v/>
      </c>
      <c r="Q138" s="209" t="str">
        <f>графік!S144</f>
        <v/>
      </c>
      <c r="R138" s="194" t="str">
        <f>графік!T144</f>
        <v/>
      </c>
    </row>
    <row r="139" spans="1:18" x14ac:dyDescent="0.35">
      <c r="A139" s="40" t="str">
        <f>графік!A145</f>
        <v/>
      </c>
      <c r="B139" s="42" t="str">
        <f ca="1">графік!C145</f>
        <v xml:space="preserve"> </v>
      </c>
      <c r="C139" s="41" t="str">
        <f>графік!D145</f>
        <v/>
      </c>
      <c r="D139" s="194" t="str">
        <f>графік!F145</f>
        <v/>
      </c>
      <c r="E139" s="193" t="str">
        <f>графік!G145</f>
        <v/>
      </c>
      <c r="F139" s="194" t="str">
        <f>графік!H145</f>
        <v/>
      </c>
      <c r="G139" s="194" t="str">
        <f>графік!I145</f>
        <v/>
      </c>
      <c r="H139" s="194" t="str">
        <f>графік!J145</f>
        <v/>
      </c>
      <c r="I139" s="194" t="str">
        <f>графік!K145</f>
        <v/>
      </c>
      <c r="J139" s="194" t="str">
        <f>графік!L145</f>
        <v/>
      </c>
      <c r="K139" s="194" t="str">
        <f>графік!M145</f>
        <v/>
      </c>
      <c r="L139" s="194" t="str">
        <f>графік!N145</f>
        <v/>
      </c>
      <c r="M139" s="194" t="str">
        <f>графік!O145</f>
        <v/>
      </c>
      <c r="N139" s="194" t="str">
        <f>графік!P145</f>
        <v/>
      </c>
      <c r="O139" s="194" t="str">
        <f>графік!Q145</f>
        <v/>
      </c>
      <c r="P139" s="194" t="str">
        <f>графік!R145</f>
        <v/>
      </c>
      <c r="Q139" s="209" t="str">
        <f>графік!S145</f>
        <v/>
      </c>
      <c r="R139" s="194" t="str">
        <f>графік!T145</f>
        <v/>
      </c>
    </row>
    <row r="140" spans="1:18" x14ac:dyDescent="0.35">
      <c r="A140" s="40" t="str">
        <f>графік!A146</f>
        <v/>
      </c>
      <c r="B140" s="42" t="str">
        <f ca="1">графік!C146</f>
        <v xml:space="preserve"> </v>
      </c>
      <c r="C140" s="41" t="str">
        <f>графік!D146</f>
        <v/>
      </c>
      <c r="D140" s="194" t="str">
        <f>графік!F146</f>
        <v/>
      </c>
      <c r="E140" s="193" t="str">
        <f>графік!G146</f>
        <v/>
      </c>
      <c r="F140" s="194" t="str">
        <f>графік!H146</f>
        <v/>
      </c>
      <c r="G140" s="194" t="str">
        <f>графік!I146</f>
        <v/>
      </c>
      <c r="H140" s="194" t="str">
        <f>графік!J146</f>
        <v/>
      </c>
      <c r="I140" s="194" t="str">
        <f>графік!K146</f>
        <v/>
      </c>
      <c r="J140" s="194" t="str">
        <f>графік!L146</f>
        <v/>
      </c>
      <c r="K140" s="194" t="str">
        <f>графік!M146</f>
        <v/>
      </c>
      <c r="L140" s="194" t="str">
        <f>графік!N146</f>
        <v/>
      </c>
      <c r="M140" s="194" t="str">
        <f>графік!O146</f>
        <v/>
      </c>
      <c r="N140" s="194" t="str">
        <f>графік!P146</f>
        <v/>
      </c>
      <c r="O140" s="194" t="str">
        <f>графік!Q146</f>
        <v/>
      </c>
      <c r="P140" s="194" t="str">
        <f>графік!R146</f>
        <v/>
      </c>
      <c r="Q140" s="209" t="str">
        <f>графік!S146</f>
        <v/>
      </c>
      <c r="R140" s="194" t="str">
        <f>графік!T146</f>
        <v/>
      </c>
    </row>
    <row r="141" spans="1:18" x14ac:dyDescent="0.35">
      <c r="A141" s="40" t="str">
        <f>графік!A147</f>
        <v/>
      </c>
      <c r="B141" s="42" t="str">
        <f ca="1">графік!C147</f>
        <v xml:space="preserve"> </v>
      </c>
      <c r="C141" s="41" t="str">
        <f>графік!D147</f>
        <v/>
      </c>
      <c r="D141" s="194" t="str">
        <f>графік!F147</f>
        <v/>
      </c>
      <c r="E141" s="193" t="str">
        <f>графік!G147</f>
        <v/>
      </c>
      <c r="F141" s="194" t="str">
        <f>графік!H147</f>
        <v/>
      </c>
      <c r="G141" s="194" t="str">
        <f>графік!I147</f>
        <v/>
      </c>
      <c r="H141" s="194" t="str">
        <f>графік!J147</f>
        <v/>
      </c>
      <c r="I141" s="194" t="str">
        <f>графік!K147</f>
        <v/>
      </c>
      <c r="J141" s="194" t="str">
        <f>графік!L147</f>
        <v/>
      </c>
      <c r="K141" s="194" t="str">
        <f>графік!M147</f>
        <v/>
      </c>
      <c r="L141" s="194" t="str">
        <f>графік!N147</f>
        <v/>
      </c>
      <c r="M141" s="194" t="str">
        <f>графік!O147</f>
        <v/>
      </c>
      <c r="N141" s="194" t="str">
        <f>графік!P147</f>
        <v/>
      </c>
      <c r="O141" s="194" t="str">
        <f>графік!Q147</f>
        <v/>
      </c>
      <c r="P141" s="194" t="str">
        <f>графік!R147</f>
        <v/>
      </c>
      <c r="Q141" s="209" t="str">
        <f>графік!S147</f>
        <v/>
      </c>
      <c r="R141" s="194" t="str">
        <f>графік!T147</f>
        <v/>
      </c>
    </row>
    <row r="142" spans="1:18" x14ac:dyDescent="0.35">
      <c r="A142" s="40" t="str">
        <f>графік!A148</f>
        <v/>
      </c>
      <c r="B142" s="42" t="str">
        <f ca="1">графік!C148</f>
        <v xml:space="preserve"> </v>
      </c>
      <c r="C142" s="41" t="str">
        <f>графік!D148</f>
        <v/>
      </c>
      <c r="D142" s="194" t="str">
        <f>графік!F148</f>
        <v/>
      </c>
      <c r="E142" s="193" t="str">
        <f>графік!G148</f>
        <v/>
      </c>
      <c r="F142" s="194" t="str">
        <f>графік!H148</f>
        <v/>
      </c>
      <c r="G142" s="194" t="str">
        <f>графік!I148</f>
        <v/>
      </c>
      <c r="H142" s="194" t="str">
        <f>графік!J148</f>
        <v/>
      </c>
      <c r="I142" s="194" t="str">
        <f>графік!K148</f>
        <v/>
      </c>
      <c r="J142" s="194" t="str">
        <f>графік!L148</f>
        <v/>
      </c>
      <c r="K142" s="194" t="str">
        <f>графік!M148</f>
        <v/>
      </c>
      <c r="L142" s="194" t="str">
        <f>графік!N148</f>
        <v/>
      </c>
      <c r="M142" s="194" t="str">
        <f>графік!O148</f>
        <v/>
      </c>
      <c r="N142" s="194" t="str">
        <f>графік!P148</f>
        <v/>
      </c>
      <c r="O142" s="194" t="str">
        <f>графік!Q148</f>
        <v/>
      </c>
      <c r="P142" s="194" t="str">
        <f>графік!R148</f>
        <v/>
      </c>
      <c r="Q142" s="209" t="str">
        <f>графік!S148</f>
        <v/>
      </c>
      <c r="R142" s="194" t="str">
        <f>графік!T148</f>
        <v/>
      </c>
    </row>
    <row r="143" spans="1:18" x14ac:dyDescent="0.35">
      <c r="A143" s="40" t="str">
        <f>графік!A149</f>
        <v/>
      </c>
      <c r="B143" s="42" t="str">
        <f ca="1">графік!C149</f>
        <v xml:space="preserve"> </v>
      </c>
      <c r="C143" s="41" t="str">
        <f>графік!D149</f>
        <v/>
      </c>
      <c r="D143" s="194" t="str">
        <f>графік!F149</f>
        <v/>
      </c>
      <c r="E143" s="193" t="str">
        <f>графік!G149</f>
        <v/>
      </c>
      <c r="F143" s="194" t="str">
        <f>графік!H149</f>
        <v/>
      </c>
      <c r="G143" s="194" t="str">
        <f>графік!I149</f>
        <v/>
      </c>
      <c r="H143" s="194" t="str">
        <f>графік!J149</f>
        <v/>
      </c>
      <c r="I143" s="194" t="str">
        <f>графік!K149</f>
        <v/>
      </c>
      <c r="J143" s="194" t="str">
        <f>графік!L149</f>
        <v/>
      </c>
      <c r="K143" s="194" t="str">
        <f>графік!M149</f>
        <v/>
      </c>
      <c r="L143" s="194" t="str">
        <f>графік!N149</f>
        <v/>
      </c>
      <c r="M143" s="194" t="str">
        <f>графік!O149</f>
        <v/>
      </c>
      <c r="N143" s="194" t="str">
        <f>графік!P149</f>
        <v/>
      </c>
      <c r="O143" s="194" t="str">
        <f>графік!Q149</f>
        <v/>
      </c>
      <c r="P143" s="194" t="str">
        <f>графік!R149</f>
        <v/>
      </c>
      <c r="Q143" s="209" t="str">
        <f>графік!S149</f>
        <v/>
      </c>
      <c r="R143" s="194" t="str">
        <f>графік!T149</f>
        <v/>
      </c>
    </row>
    <row r="144" spans="1:18" x14ac:dyDescent="0.35">
      <c r="A144" s="40" t="str">
        <f>графік!A150</f>
        <v/>
      </c>
      <c r="B144" s="42" t="str">
        <f ca="1">графік!C150</f>
        <v xml:space="preserve"> </v>
      </c>
      <c r="C144" s="41" t="str">
        <f>графік!D150</f>
        <v/>
      </c>
      <c r="D144" s="194" t="str">
        <f>графік!F150</f>
        <v/>
      </c>
      <c r="E144" s="193" t="str">
        <f>графік!G150</f>
        <v/>
      </c>
      <c r="F144" s="194" t="str">
        <f>графік!H150</f>
        <v/>
      </c>
      <c r="G144" s="194" t="str">
        <f>графік!I150</f>
        <v/>
      </c>
      <c r="H144" s="194" t="str">
        <f>графік!J150</f>
        <v/>
      </c>
      <c r="I144" s="194" t="str">
        <f>графік!K150</f>
        <v/>
      </c>
      <c r="J144" s="194" t="str">
        <f>графік!L150</f>
        <v/>
      </c>
      <c r="K144" s="194" t="str">
        <f>графік!M150</f>
        <v/>
      </c>
      <c r="L144" s="194" t="str">
        <f>графік!N150</f>
        <v/>
      </c>
      <c r="M144" s="194" t="str">
        <f>графік!O150</f>
        <v/>
      </c>
      <c r="N144" s="194" t="str">
        <f>графік!P150</f>
        <v/>
      </c>
      <c r="O144" s="194" t="str">
        <f>графік!Q150</f>
        <v/>
      </c>
      <c r="P144" s="194" t="str">
        <f>графік!R150</f>
        <v/>
      </c>
      <c r="Q144" s="209" t="str">
        <f>графік!S150</f>
        <v/>
      </c>
      <c r="R144" s="194" t="str">
        <f>графік!T150</f>
        <v/>
      </c>
    </row>
    <row r="145" spans="1:18" x14ac:dyDescent="0.35">
      <c r="A145" s="40" t="str">
        <f>графік!A151</f>
        <v/>
      </c>
      <c r="B145" s="42" t="str">
        <f ca="1">графік!C151</f>
        <v xml:space="preserve"> </v>
      </c>
      <c r="C145" s="41" t="str">
        <f>графік!D151</f>
        <v/>
      </c>
      <c r="D145" s="194" t="str">
        <f>графік!F151</f>
        <v/>
      </c>
      <c r="E145" s="193" t="str">
        <f>графік!G151</f>
        <v/>
      </c>
      <c r="F145" s="194" t="str">
        <f>графік!H151</f>
        <v/>
      </c>
      <c r="G145" s="194" t="str">
        <f>графік!I151</f>
        <v/>
      </c>
      <c r="H145" s="194" t="str">
        <f>графік!J151</f>
        <v/>
      </c>
      <c r="I145" s="194" t="str">
        <f>графік!K151</f>
        <v/>
      </c>
      <c r="J145" s="194" t="str">
        <f>графік!L151</f>
        <v/>
      </c>
      <c r="K145" s="194" t="str">
        <f>графік!M151</f>
        <v/>
      </c>
      <c r="L145" s="194" t="str">
        <f>графік!N151</f>
        <v/>
      </c>
      <c r="M145" s="194" t="str">
        <f>графік!O151</f>
        <v/>
      </c>
      <c r="N145" s="194" t="str">
        <f>графік!P151</f>
        <v/>
      </c>
      <c r="O145" s="194" t="str">
        <f>графік!Q151</f>
        <v/>
      </c>
      <c r="P145" s="194" t="str">
        <f>графік!R151</f>
        <v/>
      </c>
      <c r="Q145" s="209" t="str">
        <f>графік!S151</f>
        <v/>
      </c>
      <c r="R145" s="194" t="str">
        <f>графік!T151</f>
        <v/>
      </c>
    </row>
    <row r="146" spans="1:18" x14ac:dyDescent="0.35">
      <c r="A146" s="40" t="str">
        <f>графік!A152</f>
        <v/>
      </c>
      <c r="B146" s="42" t="str">
        <f ca="1">графік!C152</f>
        <v xml:space="preserve"> </v>
      </c>
      <c r="C146" s="41" t="str">
        <f>графік!D152</f>
        <v/>
      </c>
      <c r="D146" s="194" t="str">
        <f>графік!F152</f>
        <v/>
      </c>
      <c r="E146" s="193" t="str">
        <f>графік!G152</f>
        <v/>
      </c>
      <c r="F146" s="194" t="str">
        <f>графік!H152</f>
        <v/>
      </c>
      <c r="G146" s="194" t="str">
        <f>графік!I152</f>
        <v/>
      </c>
      <c r="H146" s="194" t="str">
        <f>графік!J152</f>
        <v/>
      </c>
      <c r="I146" s="194" t="str">
        <f>графік!K152</f>
        <v/>
      </c>
      <c r="J146" s="194" t="str">
        <f>графік!L152</f>
        <v/>
      </c>
      <c r="K146" s="194" t="str">
        <f>графік!M152</f>
        <v/>
      </c>
      <c r="L146" s="194" t="str">
        <f>графік!N152</f>
        <v/>
      </c>
      <c r="M146" s="194" t="str">
        <f>графік!O152</f>
        <v/>
      </c>
      <c r="N146" s="194" t="str">
        <f>графік!P152</f>
        <v/>
      </c>
      <c r="O146" s="194" t="str">
        <f>графік!Q152</f>
        <v/>
      </c>
      <c r="P146" s="194" t="str">
        <f>графік!R152</f>
        <v/>
      </c>
      <c r="Q146" s="209" t="str">
        <f>графік!S152</f>
        <v/>
      </c>
      <c r="R146" s="194" t="str">
        <f>графік!T152</f>
        <v/>
      </c>
    </row>
    <row r="147" spans="1:18" x14ac:dyDescent="0.35">
      <c r="A147" s="40" t="str">
        <f>графік!A153</f>
        <v/>
      </c>
      <c r="B147" s="42" t="str">
        <f ca="1">графік!C153</f>
        <v xml:space="preserve"> </v>
      </c>
      <c r="C147" s="41" t="str">
        <f>графік!D153</f>
        <v/>
      </c>
      <c r="D147" s="194" t="str">
        <f>графік!F153</f>
        <v/>
      </c>
      <c r="E147" s="193" t="str">
        <f>графік!G153</f>
        <v/>
      </c>
      <c r="F147" s="194" t="str">
        <f>графік!H153</f>
        <v/>
      </c>
      <c r="G147" s="194" t="str">
        <f>графік!I153</f>
        <v/>
      </c>
      <c r="H147" s="194" t="str">
        <f>графік!J153</f>
        <v/>
      </c>
      <c r="I147" s="194" t="str">
        <f>графік!K153</f>
        <v/>
      </c>
      <c r="J147" s="194" t="str">
        <f>графік!L153</f>
        <v/>
      </c>
      <c r="K147" s="194" t="str">
        <f>графік!M153</f>
        <v/>
      </c>
      <c r="L147" s="194" t="str">
        <f>графік!N153</f>
        <v/>
      </c>
      <c r="M147" s="194" t="str">
        <f>графік!O153</f>
        <v/>
      </c>
      <c r="N147" s="194" t="str">
        <f>графік!P153</f>
        <v/>
      </c>
      <c r="O147" s="194" t="str">
        <f>графік!Q153</f>
        <v/>
      </c>
      <c r="P147" s="194" t="str">
        <f>графік!R153</f>
        <v/>
      </c>
      <c r="Q147" s="209" t="str">
        <f>графік!S153</f>
        <v/>
      </c>
      <c r="R147" s="194" t="str">
        <f>графік!T153</f>
        <v/>
      </c>
    </row>
    <row r="148" spans="1:18" x14ac:dyDescent="0.35">
      <c r="A148" s="40" t="str">
        <f>графік!A154</f>
        <v/>
      </c>
      <c r="B148" s="42" t="str">
        <f ca="1">графік!C154</f>
        <v xml:space="preserve"> </v>
      </c>
      <c r="C148" s="41" t="str">
        <f>графік!D154</f>
        <v/>
      </c>
      <c r="D148" s="194" t="str">
        <f>графік!F154</f>
        <v/>
      </c>
      <c r="E148" s="193" t="str">
        <f>графік!G154</f>
        <v/>
      </c>
      <c r="F148" s="194" t="str">
        <f>графік!H154</f>
        <v/>
      </c>
      <c r="G148" s="194" t="str">
        <f>графік!I154</f>
        <v/>
      </c>
      <c r="H148" s="194" t="str">
        <f>графік!J154</f>
        <v/>
      </c>
      <c r="I148" s="194" t="str">
        <f>графік!K154</f>
        <v/>
      </c>
      <c r="J148" s="194" t="str">
        <f>графік!L154</f>
        <v/>
      </c>
      <c r="K148" s="194" t="str">
        <f>графік!M154</f>
        <v/>
      </c>
      <c r="L148" s="194" t="str">
        <f>графік!N154</f>
        <v/>
      </c>
      <c r="M148" s="194" t="str">
        <f>графік!O154</f>
        <v/>
      </c>
      <c r="N148" s="194" t="str">
        <f>графік!P154</f>
        <v/>
      </c>
      <c r="O148" s="194" t="str">
        <f>графік!Q154</f>
        <v/>
      </c>
      <c r="P148" s="194" t="str">
        <f>графік!R154</f>
        <v/>
      </c>
      <c r="Q148" s="209" t="str">
        <f>графік!S154</f>
        <v/>
      </c>
      <c r="R148" s="194" t="str">
        <f>графік!T154</f>
        <v/>
      </c>
    </row>
    <row r="149" spans="1:18" x14ac:dyDescent="0.35">
      <c r="A149" s="40" t="str">
        <f>графік!A155</f>
        <v/>
      </c>
      <c r="B149" s="42" t="str">
        <f ca="1">графік!C155</f>
        <v xml:space="preserve"> </v>
      </c>
      <c r="C149" s="41" t="str">
        <f>графік!D155</f>
        <v/>
      </c>
      <c r="D149" s="194" t="str">
        <f>графік!F155</f>
        <v/>
      </c>
      <c r="E149" s="193" t="str">
        <f>графік!G155</f>
        <v/>
      </c>
      <c r="F149" s="194" t="str">
        <f>графік!H155</f>
        <v/>
      </c>
      <c r="G149" s="194" t="str">
        <f>графік!I155</f>
        <v/>
      </c>
      <c r="H149" s="194" t="str">
        <f>графік!J155</f>
        <v/>
      </c>
      <c r="I149" s="194" t="str">
        <f>графік!K155</f>
        <v/>
      </c>
      <c r="J149" s="194" t="str">
        <f>графік!L155</f>
        <v/>
      </c>
      <c r="K149" s="194" t="str">
        <f>графік!M155</f>
        <v/>
      </c>
      <c r="L149" s="194" t="str">
        <f>графік!N155</f>
        <v/>
      </c>
      <c r="M149" s="194" t="str">
        <f>графік!O155</f>
        <v/>
      </c>
      <c r="N149" s="194" t="str">
        <f>графік!P155</f>
        <v/>
      </c>
      <c r="O149" s="194" t="str">
        <f>графік!Q155</f>
        <v/>
      </c>
      <c r="P149" s="194" t="str">
        <f>графік!R155</f>
        <v/>
      </c>
      <c r="Q149" s="209" t="str">
        <f>графік!S155</f>
        <v/>
      </c>
      <c r="R149" s="194" t="str">
        <f>графік!T155</f>
        <v/>
      </c>
    </row>
    <row r="150" spans="1:18" x14ac:dyDescent="0.35">
      <c r="A150" s="40" t="str">
        <f>графік!A156</f>
        <v/>
      </c>
      <c r="B150" s="42" t="str">
        <f ca="1">графік!C156</f>
        <v xml:space="preserve"> </v>
      </c>
      <c r="C150" s="41" t="str">
        <f>графік!D156</f>
        <v/>
      </c>
      <c r="D150" s="194" t="str">
        <f>графік!F156</f>
        <v/>
      </c>
      <c r="E150" s="193" t="str">
        <f>графік!G156</f>
        <v/>
      </c>
      <c r="F150" s="194" t="str">
        <f>графік!H156</f>
        <v/>
      </c>
      <c r="G150" s="194" t="str">
        <f>графік!I156</f>
        <v/>
      </c>
      <c r="H150" s="194" t="str">
        <f>графік!J156</f>
        <v/>
      </c>
      <c r="I150" s="194" t="str">
        <f>графік!K156</f>
        <v/>
      </c>
      <c r="J150" s="194" t="str">
        <f>графік!L156</f>
        <v/>
      </c>
      <c r="K150" s="194" t="str">
        <f>графік!M156</f>
        <v/>
      </c>
      <c r="L150" s="194" t="str">
        <f>графік!N156</f>
        <v/>
      </c>
      <c r="M150" s="194" t="str">
        <f>графік!O156</f>
        <v/>
      </c>
      <c r="N150" s="194" t="str">
        <f>графік!P156</f>
        <v/>
      </c>
      <c r="O150" s="194" t="str">
        <f>графік!Q156</f>
        <v/>
      </c>
      <c r="P150" s="194" t="str">
        <f>графік!R156</f>
        <v/>
      </c>
      <c r="Q150" s="209" t="str">
        <f>графік!S156</f>
        <v/>
      </c>
      <c r="R150" s="194" t="str">
        <f>графік!T156</f>
        <v/>
      </c>
    </row>
    <row r="151" spans="1:18" x14ac:dyDescent="0.35">
      <c r="A151" s="40" t="str">
        <f>графік!A157</f>
        <v/>
      </c>
      <c r="B151" s="42" t="str">
        <f ca="1">графік!C157</f>
        <v xml:space="preserve"> </v>
      </c>
      <c r="C151" s="41" t="str">
        <f>графік!D157</f>
        <v/>
      </c>
      <c r="D151" s="194" t="str">
        <f>графік!F157</f>
        <v/>
      </c>
      <c r="E151" s="193" t="str">
        <f>графік!G157</f>
        <v/>
      </c>
      <c r="F151" s="194" t="str">
        <f>графік!H157</f>
        <v/>
      </c>
      <c r="G151" s="194" t="str">
        <f>графік!I157</f>
        <v/>
      </c>
      <c r="H151" s="194" t="str">
        <f>графік!J157</f>
        <v/>
      </c>
      <c r="I151" s="194" t="str">
        <f>графік!K157</f>
        <v/>
      </c>
      <c r="J151" s="194" t="str">
        <f>графік!L157</f>
        <v/>
      </c>
      <c r="K151" s="194" t="str">
        <f>графік!M157</f>
        <v/>
      </c>
      <c r="L151" s="194" t="str">
        <f>графік!N157</f>
        <v/>
      </c>
      <c r="M151" s="194" t="str">
        <f>графік!O157</f>
        <v/>
      </c>
      <c r="N151" s="194" t="str">
        <f>графік!P157</f>
        <v/>
      </c>
      <c r="O151" s="194" t="str">
        <f>графік!Q157</f>
        <v/>
      </c>
      <c r="P151" s="194" t="str">
        <f>графік!R157</f>
        <v/>
      </c>
      <c r="Q151" s="209" t="str">
        <f>графік!S157</f>
        <v/>
      </c>
      <c r="R151" s="194" t="str">
        <f>графік!T157</f>
        <v/>
      </c>
    </row>
    <row r="152" spans="1:18" x14ac:dyDescent="0.35">
      <c r="A152" s="40" t="str">
        <f>графік!A158</f>
        <v/>
      </c>
      <c r="B152" s="42" t="str">
        <f ca="1">графік!C158</f>
        <v xml:space="preserve"> </v>
      </c>
      <c r="C152" s="41" t="str">
        <f>графік!D158</f>
        <v/>
      </c>
      <c r="D152" s="194" t="str">
        <f>графік!F158</f>
        <v/>
      </c>
      <c r="E152" s="193" t="str">
        <f>графік!G158</f>
        <v/>
      </c>
      <c r="F152" s="194" t="str">
        <f>графік!H158</f>
        <v/>
      </c>
      <c r="G152" s="194" t="str">
        <f>графік!I158</f>
        <v/>
      </c>
      <c r="H152" s="194" t="str">
        <f>графік!J158</f>
        <v/>
      </c>
      <c r="I152" s="194" t="str">
        <f>графік!K158</f>
        <v/>
      </c>
      <c r="J152" s="194" t="str">
        <f>графік!L158</f>
        <v/>
      </c>
      <c r="K152" s="194" t="str">
        <f>графік!M158</f>
        <v/>
      </c>
      <c r="L152" s="194" t="str">
        <f>графік!N158</f>
        <v/>
      </c>
      <c r="M152" s="194" t="str">
        <f>графік!O158</f>
        <v/>
      </c>
      <c r="N152" s="194" t="str">
        <f>графік!P158</f>
        <v/>
      </c>
      <c r="O152" s="194" t="str">
        <f>графік!Q158</f>
        <v/>
      </c>
      <c r="P152" s="194" t="str">
        <f>графік!R158</f>
        <v/>
      </c>
      <c r="Q152" s="209" t="str">
        <f>графік!S158</f>
        <v/>
      </c>
      <c r="R152" s="194" t="str">
        <f>графік!T158</f>
        <v/>
      </c>
    </row>
    <row r="153" spans="1:18" x14ac:dyDescent="0.35">
      <c r="A153" s="40" t="str">
        <f>графік!A159</f>
        <v/>
      </c>
      <c r="B153" s="42" t="str">
        <f ca="1">графік!C159</f>
        <v xml:space="preserve"> </v>
      </c>
      <c r="C153" s="41" t="str">
        <f>графік!D159</f>
        <v/>
      </c>
      <c r="D153" s="194" t="str">
        <f>графік!F159</f>
        <v/>
      </c>
      <c r="E153" s="193" t="str">
        <f>графік!G159</f>
        <v/>
      </c>
      <c r="F153" s="194" t="str">
        <f>графік!H159</f>
        <v/>
      </c>
      <c r="G153" s="194" t="str">
        <f>графік!I159</f>
        <v/>
      </c>
      <c r="H153" s="194" t="str">
        <f>графік!J159</f>
        <v/>
      </c>
      <c r="I153" s="194" t="str">
        <f>графік!K159</f>
        <v/>
      </c>
      <c r="J153" s="194" t="str">
        <f>графік!L159</f>
        <v/>
      </c>
      <c r="K153" s="194" t="str">
        <f>графік!M159</f>
        <v/>
      </c>
      <c r="L153" s="194" t="str">
        <f>графік!N159</f>
        <v/>
      </c>
      <c r="M153" s="194" t="str">
        <f>графік!O159</f>
        <v/>
      </c>
      <c r="N153" s="194" t="str">
        <f>графік!P159</f>
        <v/>
      </c>
      <c r="O153" s="194" t="str">
        <f>графік!Q159</f>
        <v/>
      </c>
      <c r="P153" s="194" t="str">
        <f>графік!R159</f>
        <v/>
      </c>
      <c r="Q153" s="209" t="str">
        <f>графік!S159</f>
        <v/>
      </c>
      <c r="R153" s="194" t="str">
        <f>графік!T159</f>
        <v/>
      </c>
    </row>
    <row r="154" spans="1:18" x14ac:dyDescent="0.35">
      <c r="A154" s="40" t="str">
        <f>графік!A160</f>
        <v/>
      </c>
      <c r="B154" s="42" t="str">
        <f ca="1">графік!C160</f>
        <v xml:space="preserve"> </v>
      </c>
      <c r="C154" s="41" t="str">
        <f>графік!D160</f>
        <v/>
      </c>
      <c r="D154" s="194" t="str">
        <f>графік!F160</f>
        <v/>
      </c>
      <c r="E154" s="193" t="str">
        <f>графік!G160</f>
        <v/>
      </c>
      <c r="F154" s="194" t="str">
        <f>графік!H160</f>
        <v/>
      </c>
      <c r="G154" s="194" t="str">
        <f>графік!I160</f>
        <v/>
      </c>
      <c r="H154" s="194" t="str">
        <f>графік!J160</f>
        <v/>
      </c>
      <c r="I154" s="194" t="str">
        <f>графік!K160</f>
        <v/>
      </c>
      <c r="J154" s="194" t="str">
        <f>графік!L160</f>
        <v/>
      </c>
      <c r="K154" s="194" t="str">
        <f>графік!M160</f>
        <v/>
      </c>
      <c r="L154" s="194" t="str">
        <f>графік!N160</f>
        <v/>
      </c>
      <c r="M154" s="194" t="str">
        <f>графік!O160</f>
        <v/>
      </c>
      <c r="N154" s="194" t="str">
        <f>графік!P160</f>
        <v/>
      </c>
      <c r="O154" s="194" t="str">
        <f>графік!Q160</f>
        <v/>
      </c>
      <c r="P154" s="194" t="str">
        <f>графік!R160</f>
        <v/>
      </c>
      <c r="Q154" s="209" t="str">
        <f>графік!S160</f>
        <v/>
      </c>
      <c r="R154" s="194" t="str">
        <f>графік!T160</f>
        <v/>
      </c>
    </row>
    <row r="155" spans="1:18" x14ac:dyDescent="0.35">
      <c r="A155" s="40" t="str">
        <f>графік!A161</f>
        <v/>
      </c>
      <c r="B155" s="42" t="str">
        <f ca="1">графік!C161</f>
        <v xml:space="preserve"> </v>
      </c>
      <c r="C155" s="41" t="str">
        <f>графік!D161</f>
        <v/>
      </c>
      <c r="D155" s="194" t="str">
        <f>графік!F161</f>
        <v/>
      </c>
      <c r="E155" s="193" t="str">
        <f>графік!G161</f>
        <v/>
      </c>
      <c r="F155" s="194" t="str">
        <f>графік!H161</f>
        <v/>
      </c>
      <c r="G155" s="194" t="str">
        <f>графік!I161</f>
        <v/>
      </c>
      <c r="H155" s="194" t="str">
        <f>графік!J161</f>
        <v/>
      </c>
      <c r="I155" s="194" t="str">
        <f>графік!K161</f>
        <v/>
      </c>
      <c r="J155" s="194" t="str">
        <f>графік!L161</f>
        <v/>
      </c>
      <c r="K155" s="194" t="str">
        <f>графік!M161</f>
        <v/>
      </c>
      <c r="L155" s="194" t="str">
        <f>графік!N161</f>
        <v/>
      </c>
      <c r="M155" s="194" t="str">
        <f>графік!O161</f>
        <v/>
      </c>
      <c r="N155" s="194" t="str">
        <f>графік!P161</f>
        <v/>
      </c>
      <c r="O155" s="194" t="str">
        <f>графік!Q161</f>
        <v/>
      </c>
      <c r="P155" s="194" t="str">
        <f>графік!R161</f>
        <v/>
      </c>
      <c r="Q155" s="209" t="str">
        <f>графік!S161</f>
        <v/>
      </c>
      <c r="R155" s="194" t="str">
        <f>графік!T161</f>
        <v/>
      </c>
    </row>
    <row r="156" spans="1:18" x14ac:dyDescent="0.35">
      <c r="A156" s="40" t="str">
        <f>графік!A162</f>
        <v/>
      </c>
      <c r="B156" s="42" t="str">
        <f ca="1">графік!C162</f>
        <v xml:space="preserve"> </v>
      </c>
      <c r="C156" s="41" t="str">
        <f>графік!D162</f>
        <v/>
      </c>
      <c r="D156" s="194" t="str">
        <f>графік!F162</f>
        <v/>
      </c>
      <c r="E156" s="193" t="str">
        <f>графік!G162</f>
        <v/>
      </c>
      <c r="F156" s="194" t="str">
        <f>графік!H162</f>
        <v/>
      </c>
      <c r="G156" s="194" t="str">
        <f>графік!I162</f>
        <v/>
      </c>
      <c r="H156" s="194" t="str">
        <f>графік!J162</f>
        <v/>
      </c>
      <c r="I156" s="194" t="str">
        <f>графік!K162</f>
        <v/>
      </c>
      <c r="J156" s="194" t="str">
        <f>графік!L162</f>
        <v/>
      </c>
      <c r="K156" s="194" t="str">
        <f>графік!M162</f>
        <v/>
      </c>
      <c r="L156" s="194" t="str">
        <f>графік!N162</f>
        <v/>
      </c>
      <c r="M156" s="194" t="str">
        <f>графік!O162</f>
        <v/>
      </c>
      <c r="N156" s="194" t="str">
        <f>графік!P162</f>
        <v/>
      </c>
      <c r="O156" s="194" t="str">
        <f>графік!Q162</f>
        <v/>
      </c>
      <c r="P156" s="194" t="str">
        <f>графік!R162</f>
        <v/>
      </c>
      <c r="Q156" s="209" t="str">
        <f>графік!S162</f>
        <v/>
      </c>
      <c r="R156" s="194" t="str">
        <f>графік!T162</f>
        <v/>
      </c>
    </row>
    <row r="157" spans="1:18" x14ac:dyDescent="0.35">
      <c r="A157" s="40" t="str">
        <f>графік!A163</f>
        <v/>
      </c>
      <c r="B157" s="42" t="str">
        <f ca="1">графік!C163</f>
        <v xml:space="preserve"> </v>
      </c>
      <c r="C157" s="41" t="str">
        <f>графік!D163</f>
        <v/>
      </c>
      <c r="D157" s="194" t="str">
        <f>графік!F163</f>
        <v/>
      </c>
      <c r="E157" s="193" t="str">
        <f>графік!G163</f>
        <v/>
      </c>
      <c r="F157" s="194" t="str">
        <f>графік!H163</f>
        <v/>
      </c>
      <c r="G157" s="194" t="str">
        <f>графік!I163</f>
        <v/>
      </c>
      <c r="H157" s="194" t="str">
        <f>графік!J163</f>
        <v/>
      </c>
      <c r="I157" s="194" t="str">
        <f>графік!K163</f>
        <v/>
      </c>
      <c r="J157" s="194" t="str">
        <f>графік!L163</f>
        <v/>
      </c>
      <c r="K157" s="194" t="str">
        <f>графік!M163</f>
        <v/>
      </c>
      <c r="L157" s="194" t="str">
        <f>графік!N163</f>
        <v/>
      </c>
      <c r="M157" s="194" t="str">
        <f>графік!O163</f>
        <v/>
      </c>
      <c r="N157" s="194" t="str">
        <f>графік!P163</f>
        <v/>
      </c>
      <c r="O157" s="194" t="str">
        <f>графік!Q163</f>
        <v/>
      </c>
      <c r="P157" s="194" t="str">
        <f>графік!R163</f>
        <v/>
      </c>
      <c r="Q157" s="209" t="str">
        <f>графік!S163</f>
        <v/>
      </c>
      <c r="R157" s="194" t="str">
        <f>графік!T163</f>
        <v/>
      </c>
    </row>
    <row r="158" spans="1:18" x14ac:dyDescent="0.35">
      <c r="A158" s="40" t="str">
        <f>графік!A164</f>
        <v/>
      </c>
      <c r="B158" s="42" t="str">
        <f ca="1">графік!C164</f>
        <v xml:space="preserve"> </v>
      </c>
      <c r="C158" s="41" t="str">
        <f>графік!D164</f>
        <v/>
      </c>
      <c r="D158" s="194" t="str">
        <f>графік!F164</f>
        <v/>
      </c>
      <c r="E158" s="193" t="str">
        <f>графік!G164</f>
        <v/>
      </c>
      <c r="F158" s="194" t="str">
        <f>графік!H164</f>
        <v/>
      </c>
      <c r="G158" s="194" t="str">
        <f>графік!I164</f>
        <v/>
      </c>
      <c r="H158" s="194" t="str">
        <f>графік!J164</f>
        <v/>
      </c>
      <c r="I158" s="194" t="str">
        <f>графік!K164</f>
        <v/>
      </c>
      <c r="J158" s="194" t="str">
        <f>графік!L164</f>
        <v/>
      </c>
      <c r="K158" s="194" t="str">
        <f>графік!M164</f>
        <v/>
      </c>
      <c r="L158" s="194" t="str">
        <f>графік!N164</f>
        <v/>
      </c>
      <c r="M158" s="194" t="str">
        <f>графік!O164</f>
        <v/>
      </c>
      <c r="N158" s="194" t="str">
        <f>графік!P164</f>
        <v/>
      </c>
      <c r="O158" s="194" t="str">
        <f>графік!Q164</f>
        <v/>
      </c>
      <c r="P158" s="194" t="str">
        <f>графік!R164</f>
        <v/>
      </c>
      <c r="Q158" s="209" t="str">
        <f>графік!S164</f>
        <v/>
      </c>
      <c r="R158" s="194" t="str">
        <f>графік!T164</f>
        <v/>
      </c>
    </row>
    <row r="159" spans="1:18" x14ac:dyDescent="0.35">
      <c r="A159" s="40" t="str">
        <f>графік!A165</f>
        <v/>
      </c>
      <c r="B159" s="42" t="str">
        <f ca="1">графік!C165</f>
        <v xml:space="preserve"> </v>
      </c>
      <c r="C159" s="41" t="str">
        <f>графік!D165</f>
        <v/>
      </c>
      <c r="D159" s="194" t="str">
        <f>графік!F165</f>
        <v/>
      </c>
      <c r="E159" s="193" t="str">
        <f>графік!G165</f>
        <v/>
      </c>
      <c r="F159" s="194" t="str">
        <f>графік!H165</f>
        <v/>
      </c>
      <c r="G159" s="194" t="str">
        <f>графік!I165</f>
        <v/>
      </c>
      <c r="H159" s="194" t="str">
        <f>графік!J165</f>
        <v/>
      </c>
      <c r="I159" s="194" t="str">
        <f>графік!K165</f>
        <v/>
      </c>
      <c r="J159" s="194" t="str">
        <f>графік!L165</f>
        <v/>
      </c>
      <c r="K159" s="194" t="str">
        <f>графік!M165</f>
        <v/>
      </c>
      <c r="L159" s="194" t="str">
        <f>графік!N165</f>
        <v/>
      </c>
      <c r="M159" s="194" t="str">
        <f>графік!O165</f>
        <v/>
      </c>
      <c r="N159" s="194" t="str">
        <f>графік!P165</f>
        <v/>
      </c>
      <c r="O159" s="194" t="str">
        <f>графік!Q165</f>
        <v/>
      </c>
      <c r="P159" s="194" t="str">
        <f>графік!R165</f>
        <v/>
      </c>
      <c r="Q159" s="209" t="str">
        <f>графік!S165</f>
        <v/>
      </c>
      <c r="R159" s="194" t="str">
        <f>графік!T165</f>
        <v/>
      </c>
    </row>
    <row r="160" spans="1:18" x14ac:dyDescent="0.35">
      <c r="A160" s="40" t="str">
        <f>графік!A166</f>
        <v/>
      </c>
      <c r="B160" s="42" t="str">
        <f ca="1">графік!C166</f>
        <v xml:space="preserve"> </v>
      </c>
      <c r="C160" s="41" t="str">
        <f>графік!D166</f>
        <v/>
      </c>
      <c r="D160" s="194" t="str">
        <f>графік!F166</f>
        <v/>
      </c>
      <c r="E160" s="193" t="str">
        <f>графік!G166</f>
        <v/>
      </c>
      <c r="F160" s="194" t="str">
        <f>графік!H166</f>
        <v/>
      </c>
      <c r="G160" s="194" t="str">
        <f>графік!I166</f>
        <v/>
      </c>
      <c r="H160" s="194" t="str">
        <f>графік!J166</f>
        <v/>
      </c>
      <c r="I160" s="194" t="str">
        <f>графік!K166</f>
        <v/>
      </c>
      <c r="J160" s="194" t="str">
        <f>графік!L166</f>
        <v/>
      </c>
      <c r="K160" s="194" t="str">
        <f>графік!M166</f>
        <v/>
      </c>
      <c r="L160" s="194" t="str">
        <f>графік!N166</f>
        <v/>
      </c>
      <c r="M160" s="194" t="str">
        <f>графік!O166</f>
        <v/>
      </c>
      <c r="N160" s="194" t="str">
        <f>графік!P166</f>
        <v/>
      </c>
      <c r="O160" s="194" t="str">
        <f>графік!Q166</f>
        <v/>
      </c>
      <c r="P160" s="194" t="str">
        <f>графік!R166</f>
        <v/>
      </c>
      <c r="Q160" s="209" t="str">
        <f>графік!S166</f>
        <v/>
      </c>
      <c r="R160" s="194" t="str">
        <f>графік!T166</f>
        <v/>
      </c>
    </row>
    <row r="161" spans="1:18" x14ac:dyDescent="0.35">
      <c r="A161" s="40" t="str">
        <f>графік!A167</f>
        <v/>
      </c>
      <c r="B161" s="42" t="str">
        <f ca="1">графік!C167</f>
        <v xml:space="preserve"> </v>
      </c>
      <c r="C161" s="41" t="str">
        <f>графік!D167</f>
        <v/>
      </c>
      <c r="D161" s="194" t="str">
        <f>графік!F167</f>
        <v/>
      </c>
      <c r="E161" s="193" t="str">
        <f>графік!G167</f>
        <v/>
      </c>
      <c r="F161" s="194" t="str">
        <f>графік!H167</f>
        <v/>
      </c>
      <c r="G161" s="194" t="str">
        <f>графік!I167</f>
        <v/>
      </c>
      <c r="H161" s="194" t="str">
        <f>графік!J167</f>
        <v/>
      </c>
      <c r="I161" s="194" t="str">
        <f>графік!K167</f>
        <v/>
      </c>
      <c r="J161" s="194" t="str">
        <f>графік!L167</f>
        <v/>
      </c>
      <c r="K161" s="194" t="str">
        <f>графік!M167</f>
        <v/>
      </c>
      <c r="L161" s="194" t="str">
        <f>графік!N167</f>
        <v/>
      </c>
      <c r="M161" s="194" t="str">
        <f>графік!O167</f>
        <v/>
      </c>
      <c r="N161" s="194" t="str">
        <f>графік!P167</f>
        <v/>
      </c>
      <c r="O161" s="194" t="str">
        <f>графік!Q167</f>
        <v/>
      </c>
      <c r="P161" s="194" t="str">
        <f>графік!R167</f>
        <v/>
      </c>
      <c r="Q161" s="209" t="str">
        <f>графік!S167</f>
        <v/>
      </c>
      <c r="R161" s="194" t="str">
        <f>графік!T167</f>
        <v/>
      </c>
    </row>
    <row r="162" spans="1:18" x14ac:dyDescent="0.35">
      <c r="A162" s="40" t="str">
        <f>графік!A168</f>
        <v/>
      </c>
      <c r="B162" s="42" t="str">
        <f ca="1">графік!C168</f>
        <v xml:space="preserve"> </v>
      </c>
      <c r="C162" s="41" t="str">
        <f>графік!D168</f>
        <v/>
      </c>
      <c r="D162" s="194" t="str">
        <f>графік!F168</f>
        <v/>
      </c>
      <c r="E162" s="193" t="str">
        <f>графік!G168</f>
        <v/>
      </c>
      <c r="F162" s="194" t="str">
        <f>графік!H168</f>
        <v/>
      </c>
      <c r="G162" s="194" t="str">
        <f>графік!I168</f>
        <v/>
      </c>
      <c r="H162" s="194" t="str">
        <f>графік!J168</f>
        <v/>
      </c>
      <c r="I162" s="194" t="str">
        <f>графік!K168</f>
        <v/>
      </c>
      <c r="J162" s="194" t="str">
        <f>графік!L168</f>
        <v/>
      </c>
      <c r="K162" s="194" t="str">
        <f>графік!M168</f>
        <v/>
      </c>
      <c r="L162" s="194" t="str">
        <f>графік!N168</f>
        <v/>
      </c>
      <c r="M162" s="194" t="str">
        <f>графік!O168</f>
        <v/>
      </c>
      <c r="N162" s="194" t="str">
        <f>графік!P168</f>
        <v/>
      </c>
      <c r="O162" s="194" t="str">
        <f>графік!Q168</f>
        <v/>
      </c>
      <c r="P162" s="194" t="str">
        <f>графік!R168</f>
        <v/>
      </c>
      <c r="Q162" s="209" t="str">
        <f>графік!S168</f>
        <v/>
      </c>
      <c r="R162" s="194" t="str">
        <f>графік!T168</f>
        <v/>
      </c>
    </row>
    <row r="163" spans="1:18" x14ac:dyDescent="0.35">
      <c r="A163" s="40" t="str">
        <f>графік!A169</f>
        <v/>
      </c>
      <c r="B163" s="42" t="str">
        <f ca="1">графік!C169</f>
        <v xml:space="preserve"> </v>
      </c>
      <c r="C163" s="41" t="str">
        <f>графік!D169</f>
        <v/>
      </c>
      <c r="D163" s="194" t="str">
        <f>графік!F169</f>
        <v/>
      </c>
      <c r="E163" s="193" t="str">
        <f>графік!G169</f>
        <v/>
      </c>
      <c r="F163" s="194" t="str">
        <f>графік!H169</f>
        <v/>
      </c>
      <c r="G163" s="194" t="str">
        <f>графік!I169</f>
        <v/>
      </c>
      <c r="H163" s="194" t="str">
        <f>графік!J169</f>
        <v/>
      </c>
      <c r="I163" s="194" t="str">
        <f>графік!K169</f>
        <v/>
      </c>
      <c r="J163" s="194" t="str">
        <f>графік!L169</f>
        <v/>
      </c>
      <c r="K163" s="194" t="str">
        <f>графік!M169</f>
        <v/>
      </c>
      <c r="L163" s="194" t="str">
        <f>графік!N169</f>
        <v/>
      </c>
      <c r="M163" s="194" t="str">
        <f>графік!O169</f>
        <v/>
      </c>
      <c r="N163" s="194" t="str">
        <f>графік!P169</f>
        <v/>
      </c>
      <c r="O163" s="194" t="str">
        <f>графік!Q169</f>
        <v/>
      </c>
      <c r="P163" s="194" t="str">
        <f>графік!R169</f>
        <v/>
      </c>
      <c r="Q163" s="209" t="str">
        <f>графік!S169</f>
        <v/>
      </c>
      <c r="R163" s="194" t="str">
        <f>графік!T169</f>
        <v/>
      </c>
    </row>
    <row r="164" spans="1:18" x14ac:dyDescent="0.35">
      <c r="A164" s="40" t="str">
        <f>графік!A170</f>
        <v/>
      </c>
      <c r="B164" s="42" t="str">
        <f ca="1">графік!C170</f>
        <v xml:space="preserve"> </v>
      </c>
      <c r="C164" s="41" t="str">
        <f>графік!D170</f>
        <v/>
      </c>
      <c r="D164" s="194" t="str">
        <f>графік!F170</f>
        <v/>
      </c>
      <c r="E164" s="193" t="str">
        <f>графік!G170</f>
        <v/>
      </c>
      <c r="F164" s="194" t="str">
        <f>графік!H170</f>
        <v/>
      </c>
      <c r="G164" s="194" t="str">
        <f>графік!I170</f>
        <v/>
      </c>
      <c r="H164" s="194" t="str">
        <f>графік!J170</f>
        <v/>
      </c>
      <c r="I164" s="194" t="str">
        <f>графік!K170</f>
        <v/>
      </c>
      <c r="J164" s="194" t="str">
        <f>графік!L170</f>
        <v/>
      </c>
      <c r="K164" s="194" t="str">
        <f>графік!M170</f>
        <v/>
      </c>
      <c r="L164" s="194" t="str">
        <f>графік!N170</f>
        <v/>
      </c>
      <c r="M164" s="194" t="str">
        <f>графік!O170</f>
        <v/>
      </c>
      <c r="N164" s="194" t="str">
        <f>графік!P170</f>
        <v/>
      </c>
      <c r="O164" s="194" t="str">
        <f>графік!Q170</f>
        <v/>
      </c>
      <c r="P164" s="194" t="str">
        <f>графік!R170</f>
        <v/>
      </c>
      <c r="Q164" s="209" t="str">
        <f>графік!S170</f>
        <v/>
      </c>
      <c r="R164" s="194" t="str">
        <f>графік!T170</f>
        <v/>
      </c>
    </row>
    <row r="165" spans="1:18" x14ac:dyDescent="0.35">
      <c r="A165" s="40" t="str">
        <f>графік!A171</f>
        <v/>
      </c>
      <c r="B165" s="42" t="str">
        <f ca="1">графік!C171</f>
        <v xml:space="preserve"> </v>
      </c>
      <c r="C165" s="41" t="str">
        <f>графік!D171</f>
        <v/>
      </c>
      <c r="D165" s="194" t="str">
        <f>графік!F171</f>
        <v/>
      </c>
      <c r="E165" s="193" t="str">
        <f>графік!G171</f>
        <v/>
      </c>
      <c r="F165" s="194" t="str">
        <f>графік!H171</f>
        <v/>
      </c>
      <c r="G165" s="194" t="str">
        <f>графік!I171</f>
        <v/>
      </c>
      <c r="H165" s="194" t="str">
        <f>графік!J171</f>
        <v/>
      </c>
      <c r="I165" s="194" t="str">
        <f>графік!K171</f>
        <v/>
      </c>
      <c r="J165" s="194" t="str">
        <f>графік!L171</f>
        <v/>
      </c>
      <c r="K165" s="194" t="str">
        <f>графік!M171</f>
        <v/>
      </c>
      <c r="L165" s="194" t="str">
        <f>графік!N171</f>
        <v/>
      </c>
      <c r="M165" s="194" t="str">
        <f>графік!O171</f>
        <v/>
      </c>
      <c r="N165" s="194" t="str">
        <f>графік!P171</f>
        <v/>
      </c>
      <c r="O165" s="194" t="str">
        <f>графік!Q171</f>
        <v/>
      </c>
      <c r="P165" s="194" t="str">
        <f>графік!R171</f>
        <v/>
      </c>
      <c r="Q165" s="209" t="str">
        <f>графік!S171</f>
        <v/>
      </c>
      <c r="R165" s="194" t="str">
        <f>графік!T171</f>
        <v/>
      </c>
    </row>
    <row r="166" spans="1:18" x14ac:dyDescent="0.35">
      <c r="A166" s="40" t="str">
        <f>графік!A172</f>
        <v/>
      </c>
      <c r="B166" s="42" t="str">
        <f ca="1">графік!C172</f>
        <v xml:space="preserve"> </v>
      </c>
      <c r="C166" s="41" t="str">
        <f>графік!D172</f>
        <v/>
      </c>
      <c r="D166" s="194" t="str">
        <f>графік!F172</f>
        <v/>
      </c>
      <c r="E166" s="193" t="str">
        <f>графік!G172</f>
        <v/>
      </c>
      <c r="F166" s="194" t="str">
        <f>графік!H172</f>
        <v/>
      </c>
      <c r="G166" s="194" t="str">
        <f>графік!I172</f>
        <v/>
      </c>
      <c r="H166" s="194" t="str">
        <f>графік!J172</f>
        <v/>
      </c>
      <c r="I166" s="194" t="str">
        <f>графік!K172</f>
        <v/>
      </c>
      <c r="J166" s="194" t="str">
        <f>графік!L172</f>
        <v/>
      </c>
      <c r="K166" s="194" t="str">
        <f>графік!M172</f>
        <v/>
      </c>
      <c r="L166" s="194" t="str">
        <f>графік!N172</f>
        <v/>
      </c>
      <c r="M166" s="194" t="str">
        <f>графік!O172</f>
        <v/>
      </c>
      <c r="N166" s="194" t="str">
        <f>графік!P172</f>
        <v/>
      </c>
      <c r="O166" s="194" t="str">
        <f>графік!Q172</f>
        <v/>
      </c>
      <c r="P166" s="194" t="str">
        <f>графік!R172</f>
        <v/>
      </c>
      <c r="Q166" s="209" t="str">
        <f>графік!S172</f>
        <v/>
      </c>
      <c r="R166" s="194" t="str">
        <f>графік!T172</f>
        <v/>
      </c>
    </row>
    <row r="167" spans="1:18" x14ac:dyDescent="0.35">
      <c r="A167" s="40" t="str">
        <f>графік!A173</f>
        <v/>
      </c>
      <c r="B167" s="42" t="str">
        <f ca="1">графік!C173</f>
        <v xml:space="preserve"> </v>
      </c>
      <c r="C167" s="41" t="str">
        <f>графік!D173</f>
        <v/>
      </c>
      <c r="D167" s="194" t="str">
        <f>графік!F173</f>
        <v/>
      </c>
      <c r="E167" s="193" t="str">
        <f>графік!G173</f>
        <v/>
      </c>
      <c r="F167" s="194" t="str">
        <f>графік!H173</f>
        <v/>
      </c>
      <c r="G167" s="194" t="str">
        <f>графік!I173</f>
        <v/>
      </c>
      <c r="H167" s="194" t="str">
        <f>графік!J173</f>
        <v/>
      </c>
      <c r="I167" s="194" t="str">
        <f>графік!K173</f>
        <v/>
      </c>
      <c r="J167" s="194" t="str">
        <f>графік!L173</f>
        <v/>
      </c>
      <c r="K167" s="194" t="str">
        <f>графік!M173</f>
        <v/>
      </c>
      <c r="L167" s="194" t="str">
        <f>графік!N173</f>
        <v/>
      </c>
      <c r="M167" s="194" t="str">
        <f>графік!O173</f>
        <v/>
      </c>
      <c r="N167" s="194" t="str">
        <f>графік!P173</f>
        <v/>
      </c>
      <c r="O167" s="194" t="str">
        <f>графік!Q173</f>
        <v/>
      </c>
      <c r="P167" s="194" t="str">
        <f>графік!R173</f>
        <v/>
      </c>
      <c r="Q167" s="209" t="str">
        <f>графік!S173</f>
        <v/>
      </c>
      <c r="R167" s="194" t="str">
        <f>графік!T173</f>
        <v/>
      </c>
    </row>
    <row r="168" spans="1:18" x14ac:dyDescent="0.35">
      <c r="A168" s="40" t="str">
        <f>графік!A174</f>
        <v/>
      </c>
      <c r="B168" s="42" t="str">
        <f ca="1">графік!C174</f>
        <v xml:space="preserve"> </v>
      </c>
      <c r="C168" s="41" t="str">
        <f>графік!D174</f>
        <v/>
      </c>
      <c r="D168" s="194" t="str">
        <f>графік!F174</f>
        <v/>
      </c>
      <c r="E168" s="193" t="str">
        <f>графік!G174</f>
        <v/>
      </c>
      <c r="F168" s="194" t="str">
        <f>графік!H174</f>
        <v/>
      </c>
      <c r="G168" s="194" t="str">
        <f>графік!I174</f>
        <v/>
      </c>
      <c r="H168" s="194" t="str">
        <f>графік!J174</f>
        <v/>
      </c>
      <c r="I168" s="194" t="str">
        <f>графік!K174</f>
        <v/>
      </c>
      <c r="J168" s="194" t="str">
        <f>графік!L174</f>
        <v/>
      </c>
      <c r="K168" s="194" t="str">
        <f>графік!M174</f>
        <v/>
      </c>
      <c r="L168" s="194" t="str">
        <f>графік!N174</f>
        <v/>
      </c>
      <c r="M168" s="194" t="str">
        <f>графік!O174</f>
        <v/>
      </c>
      <c r="N168" s="194" t="str">
        <f>графік!P174</f>
        <v/>
      </c>
      <c r="O168" s="194" t="str">
        <f>графік!Q174</f>
        <v/>
      </c>
      <c r="P168" s="194" t="str">
        <f>графік!R174</f>
        <v/>
      </c>
      <c r="Q168" s="209" t="str">
        <f>графік!S174</f>
        <v/>
      </c>
      <c r="R168" s="194" t="str">
        <f>графік!T174</f>
        <v/>
      </c>
    </row>
    <row r="169" spans="1:18" x14ac:dyDescent="0.35">
      <c r="A169" s="40" t="str">
        <f>графік!A175</f>
        <v/>
      </c>
      <c r="B169" s="42" t="str">
        <f ca="1">графік!C175</f>
        <v xml:space="preserve"> </v>
      </c>
      <c r="C169" s="41" t="str">
        <f>графік!D175</f>
        <v/>
      </c>
      <c r="D169" s="194" t="str">
        <f>графік!F175</f>
        <v/>
      </c>
      <c r="E169" s="193" t="str">
        <f>графік!G175</f>
        <v/>
      </c>
      <c r="F169" s="194" t="str">
        <f>графік!H175</f>
        <v/>
      </c>
      <c r="G169" s="194" t="str">
        <f>графік!I175</f>
        <v/>
      </c>
      <c r="H169" s="194" t="str">
        <f>графік!J175</f>
        <v/>
      </c>
      <c r="I169" s="194" t="str">
        <f>графік!K175</f>
        <v/>
      </c>
      <c r="J169" s="194" t="str">
        <f>графік!L175</f>
        <v/>
      </c>
      <c r="K169" s="194" t="str">
        <f>графік!M175</f>
        <v/>
      </c>
      <c r="L169" s="194" t="str">
        <f>графік!N175</f>
        <v/>
      </c>
      <c r="M169" s="194" t="str">
        <f>графік!O175</f>
        <v/>
      </c>
      <c r="N169" s="194" t="str">
        <f>графік!P175</f>
        <v/>
      </c>
      <c r="O169" s="194" t="str">
        <f>графік!Q175</f>
        <v/>
      </c>
      <c r="P169" s="194" t="str">
        <f>графік!R175</f>
        <v/>
      </c>
      <c r="Q169" s="209" t="str">
        <f>графік!S175</f>
        <v/>
      </c>
      <c r="R169" s="194" t="str">
        <f>графік!T175</f>
        <v/>
      </c>
    </row>
    <row r="170" spans="1:18" x14ac:dyDescent="0.35">
      <c r="A170" s="40" t="str">
        <f>графік!A176</f>
        <v/>
      </c>
      <c r="B170" s="42" t="str">
        <f ca="1">графік!C176</f>
        <v xml:space="preserve"> </v>
      </c>
      <c r="C170" s="41" t="str">
        <f>графік!D176</f>
        <v/>
      </c>
      <c r="D170" s="194" t="str">
        <f>графік!F176</f>
        <v/>
      </c>
      <c r="E170" s="193" t="str">
        <f>графік!G176</f>
        <v/>
      </c>
      <c r="F170" s="194" t="str">
        <f>графік!H176</f>
        <v/>
      </c>
      <c r="G170" s="194" t="str">
        <f>графік!I176</f>
        <v/>
      </c>
      <c r="H170" s="194" t="str">
        <f>графік!J176</f>
        <v/>
      </c>
      <c r="I170" s="194" t="str">
        <f>графік!K176</f>
        <v/>
      </c>
      <c r="J170" s="194" t="str">
        <f>графік!L176</f>
        <v/>
      </c>
      <c r="K170" s="194" t="str">
        <f>графік!M176</f>
        <v/>
      </c>
      <c r="L170" s="194" t="str">
        <f>графік!N176</f>
        <v/>
      </c>
      <c r="M170" s="194" t="str">
        <f>графік!O176</f>
        <v/>
      </c>
      <c r="N170" s="194" t="str">
        <f>графік!P176</f>
        <v/>
      </c>
      <c r="O170" s="194" t="str">
        <f>графік!Q176</f>
        <v/>
      </c>
      <c r="P170" s="194" t="str">
        <f>графік!R176</f>
        <v/>
      </c>
      <c r="Q170" s="209" t="str">
        <f>графік!S176</f>
        <v/>
      </c>
      <c r="R170" s="194" t="str">
        <f>графік!T176</f>
        <v/>
      </c>
    </row>
    <row r="171" spans="1:18" x14ac:dyDescent="0.35">
      <c r="A171" s="40" t="str">
        <f>графік!A177</f>
        <v/>
      </c>
      <c r="B171" s="42" t="str">
        <f ca="1">графік!C177</f>
        <v xml:space="preserve"> </v>
      </c>
      <c r="C171" s="41" t="str">
        <f>графік!D177</f>
        <v/>
      </c>
      <c r="D171" s="194" t="str">
        <f>графік!F177</f>
        <v/>
      </c>
      <c r="E171" s="193" t="str">
        <f>графік!G177</f>
        <v/>
      </c>
      <c r="F171" s="194" t="str">
        <f>графік!H177</f>
        <v/>
      </c>
      <c r="G171" s="194" t="str">
        <f>графік!I177</f>
        <v/>
      </c>
      <c r="H171" s="194" t="str">
        <f>графік!J177</f>
        <v/>
      </c>
      <c r="I171" s="194" t="str">
        <f>графік!K177</f>
        <v/>
      </c>
      <c r="J171" s="194" t="str">
        <f>графік!L177</f>
        <v/>
      </c>
      <c r="K171" s="194" t="str">
        <f>графік!M177</f>
        <v/>
      </c>
      <c r="L171" s="194" t="str">
        <f>графік!N177</f>
        <v/>
      </c>
      <c r="M171" s="194" t="str">
        <f>графік!O177</f>
        <v/>
      </c>
      <c r="N171" s="194" t="str">
        <f>графік!P177</f>
        <v/>
      </c>
      <c r="O171" s="194" t="str">
        <f>графік!Q177</f>
        <v/>
      </c>
      <c r="P171" s="194" t="str">
        <f>графік!R177</f>
        <v/>
      </c>
      <c r="Q171" s="209" t="str">
        <f>графік!S177</f>
        <v/>
      </c>
      <c r="R171" s="194" t="str">
        <f>графік!T177</f>
        <v/>
      </c>
    </row>
    <row r="172" spans="1:18" x14ac:dyDescent="0.35">
      <c r="A172" s="40" t="str">
        <f>графік!A178</f>
        <v/>
      </c>
      <c r="B172" s="42" t="str">
        <f ca="1">графік!C178</f>
        <v xml:space="preserve"> </v>
      </c>
      <c r="C172" s="41" t="str">
        <f>графік!D178</f>
        <v/>
      </c>
      <c r="D172" s="194" t="str">
        <f>графік!F178</f>
        <v/>
      </c>
      <c r="E172" s="193" t="str">
        <f>графік!G178</f>
        <v/>
      </c>
      <c r="F172" s="194" t="str">
        <f>графік!H178</f>
        <v/>
      </c>
      <c r="G172" s="194" t="str">
        <f>графік!I178</f>
        <v/>
      </c>
      <c r="H172" s="194" t="str">
        <f>графік!J178</f>
        <v/>
      </c>
      <c r="I172" s="194" t="str">
        <f>графік!K178</f>
        <v/>
      </c>
      <c r="J172" s="194" t="str">
        <f>графік!L178</f>
        <v/>
      </c>
      <c r="K172" s="194" t="str">
        <f>графік!M178</f>
        <v/>
      </c>
      <c r="L172" s="194" t="str">
        <f>графік!N178</f>
        <v/>
      </c>
      <c r="M172" s="194" t="str">
        <f>графік!O178</f>
        <v/>
      </c>
      <c r="N172" s="194" t="str">
        <f>графік!P178</f>
        <v/>
      </c>
      <c r="O172" s="194" t="str">
        <f>графік!Q178</f>
        <v/>
      </c>
      <c r="P172" s="194" t="str">
        <f>графік!R178</f>
        <v/>
      </c>
      <c r="Q172" s="209" t="str">
        <f>графік!S178</f>
        <v/>
      </c>
      <c r="R172" s="194" t="str">
        <f>графік!T178</f>
        <v/>
      </c>
    </row>
    <row r="173" spans="1:18" x14ac:dyDescent="0.35">
      <c r="A173" s="40" t="str">
        <f>графік!A179</f>
        <v/>
      </c>
      <c r="B173" s="42" t="str">
        <f ca="1">графік!C179</f>
        <v xml:space="preserve"> </v>
      </c>
      <c r="C173" s="41" t="str">
        <f>графік!D179</f>
        <v/>
      </c>
      <c r="D173" s="194" t="str">
        <f>графік!F179</f>
        <v/>
      </c>
      <c r="E173" s="193" t="str">
        <f>графік!G179</f>
        <v/>
      </c>
      <c r="F173" s="194" t="str">
        <f>графік!H179</f>
        <v/>
      </c>
      <c r="G173" s="194" t="str">
        <f>графік!I179</f>
        <v/>
      </c>
      <c r="H173" s="194" t="str">
        <f>графік!J179</f>
        <v/>
      </c>
      <c r="I173" s="194" t="str">
        <f>графік!K179</f>
        <v/>
      </c>
      <c r="J173" s="194" t="str">
        <f>графік!L179</f>
        <v/>
      </c>
      <c r="K173" s="194" t="str">
        <f>графік!M179</f>
        <v/>
      </c>
      <c r="L173" s="194" t="str">
        <f>графік!N179</f>
        <v/>
      </c>
      <c r="M173" s="194" t="str">
        <f>графік!O179</f>
        <v/>
      </c>
      <c r="N173" s="194" t="str">
        <f>графік!P179</f>
        <v/>
      </c>
      <c r="O173" s="194" t="str">
        <f>графік!Q179</f>
        <v/>
      </c>
      <c r="P173" s="194" t="str">
        <f>графік!R179</f>
        <v/>
      </c>
      <c r="Q173" s="209" t="str">
        <f>графік!S179</f>
        <v/>
      </c>
      <c r="R173" s="194" t="str">
        <f>графік!T179</f>
        <v/>
      </c>
    </row>
    <row r="174" spans="1:18" x14ac:dyDescent="0.35">
      <c r="A174" s="40" t="str">
        <f>графік!A180</f>
        <v/>
      </c>
      <c r="B174" s="42" t="str">
        <f ca="1">графік!C180</f>
        <v xml:space="preserve"> </v>
      </c>
      <c r="C174" s="41" t="str">
        <f>графік!D180</f>
        <v/>
      </c>
      <c r="D174" s="194" t="str">
        <f>графік!F180</f>
        <v/>
      </c>
      <c r="E174" s="193" t="str">
        <f>графік!G180</f>
        <v/>
      </c>
      <c r="F174" s="194" t="str">
        <f>графік!H180</f>
        <v/>
      </c>
      <c r="G174" s="194" t="str">
        <f>графік!I180</f>
        <v/>
      </c>
      <c r="H174" s="194" t="str">
        <f>графік!J180</f>
        <v/>
      </c>
      <c r="I174" s="194" t="str">
        <f>графік!K180</f>
        <v/>
      </c>
      <c r="J174" s="194" t="str">
        <f>графік!L180</f>
        <v/>
      </c>
      <c r="K174" s="194" t="str">
        <f>графік!M180</f>
        <v/>
      </c>
      <c r="L174" s="194" t="str">
        <f>графік!N180</f>
        <v/>
      </c>
      <c r="M174" s="194" t="str">
        <f>графік!O180</f>
        <v/>
      </c>
      <c r="N174" s="194" t="str">
        <f>графік!P180</f>
        <v/>
      </c>
      <c r="O174" s="194" t="str">
        <f>графік!Q180</f>
        <v/>
      </c>
      <c r="P174" s="194" t="str">
        <f>графік!R180</f>
        <v/>
      </c>
      <c r="Q174" s="209" t="str">
        <f>графік!S180</f>
        <v/>
      </c>
      <c r="R174" s="194" t="str">
        <f>графік!T180</f>
        <v/>
      </c>
    </row>
    <row r="175" spans="1:18" x14ac:dyDescent="0.35">
      <c r="A175" s="40" t="str">
        <f>графік!A181</f>
        <v/>
      </c>
      <c r="B175" s="42" t="str">
        <f ca="1">графік!C181</f>
        <v xml:space="preserve"> </v>
      </c>
      <c r="C175" s="41" t="str">
        <f>графік!D181</f>
        <v/>
      </c>
      <c r="D175" s="194" t="str">
        <f>графік!F181</f>
        <v/>
      </c>
      <c r="E175" s="193" t="str">
        <f>графік!G181</f>
        <v/>
      </c>
      <c r="F175" s="194" t="str">
        <f>графік!H181</f>
        <v/>
      </c>
      <c r="G175" s="194" t="str">
        <f>графік!I181</f>
        <v/>
      </c>
      <c r="H175" s="194" t="str">
        <f>графік!J181</f>
        <v/>
      </c>
      <c r="I175" s="194" t="str">
        <f>графік!K181</f>
        <v/>
      </c>
      <c r="J175" s="194" t="str">
        <f>графік!L181</f>
        <v/>
      </c>
      <c r="K175" s="194" t="str">
        <f>графік!M181</f>
        <v/>
      </c>
      <c r="L175" s="194" t="str">
        <f>графік!N181</f>
        <v/>
      </c>
      <c r="M175" s="194" t="str">
        <f>графік!O181</f>
        <v/>
      </c>
      <c r="N175" s="194" t="str">
        <f>графік!P181</f>
        <v/>
      </c>
      <c r="O175" s="194" t="str">
        <f>графік!Q181</f>
        <v/>
      </c>
      <c r="P175" s="194" t="str">
        <f>графік!R181</f>
        <v/>
      </c>
      <c r="Q175" s="209" t="str">
        <f>графік!S181</f>
        <v/>
      </c>
      <c r="R175" s="194" t="str">
        <f>графік!T181</f>
        <v/>
      </c>
    </row>
    <row r="176" spans="1:18" x14ac:dyDescent="0.35">
      <c r="A176" s="40" t="str">
        <f>графік!A182</f>
        <v/>
      </c>
      <c r="B176" s="42" t="str">
        <f ca="1">графік!C182</f>
        <v xml:space="preserve"> </v>
      </c>
      <c r="C176" s="41" t="str">
        <f>графік!D182</f>
        <v/>
      </c>
      <c r="D176" s="194" t="str">
        <f>графік!F182</f>
        <v/>
      </c>
      <c r="E176" s="193" t="str">
        <f>графік!G182</f>
        <v/>
      </c>
      <c r="F176" s="194" t="str">
        <f>графік!H182</f>
        <v/>
      </c>
      <c r="G176" s="194" t="str">
        <f>графік!I182</f>
        <v/>
      </c>
      <c r="H176" s="194" t="str">
        <f>графік!J182</f>
        <v/>
      </c>
      <c r="I176" s="194" t="str">
        <f>графік!K182</f>
        <v/>
      </c>
      <c r="J176" s="194" t="str">
        <f>графік!L182</f>
        <v/>
      </c>
      <c r="K176" s="194" t="str">
        <f>графік!M182</f>
        <v/>
      </c>
      <c r="L176" s="194" t="str">
        <f>графік!N182</f>
        <v/>
      </c>
      <c r="M176" s="194" t="str">
        <f>графік!O182</f>
        <v/>
      </c>
      <c r="N176" s="194" t="str">
        <f>графік!P182</f>
        <v/>
      </c>
      <c r="O176" s="194" t="str">
        <f>графік!Q182</f>
        <v/>
      </c>
      <c r="P176" s="194" t="str">
        <f>графік!R182</f>
        <v/>
      </c>
      <c r="Q176" s="209" t="str">
        <f>графік!S182</f>
        <v/>
      </c>
      <c r="R176" s="194" t="str">
        <f>графік!T182</f>
        <v/>
      </c>
    </row>
    <row r="177" spans="1:18" x14ac:dyDescent="0.35">
      <c r="A177" s="40" t="str">
        <f>графік!A183</f>
        <v/>
      </c>
      <c r="B177" s="42" t="str">
        <f ca="1">графік!C183</f>
        <v xml:space="preserve"> </v>
      </c>
      <c r="C177" s="41" t="str">
        <f>графік!D183</f>
        <v/>
      </c>
      <c r="D177" s="194" t="str">
        <f>графік!F183</f>
        <v/>
      </c>
      <c r="E177" s="193" t="str">
        <f>графік!G183</f>
        <v/>
      </c>
      <c r="F177" s="194" t="str">
        <f>графік!H183</f>
        <v/>
      </c>
      <c r="G177" s="194" t="str">
        <f>графік!I183</f>
        <v/>
      </c>
      <c r="H177" s="194" t="str">
        <f>графік!J183</f>
        <v/>
      </c>
      <c r="I177" s="194" t="str">
        <f>графік!K183</f>
        <v/>
      </c>
      <c r="J177" s="194" t="str">
        <f>графік!L183</f>
        <v/>
      </c>
      <c r="K177" s="194" t="str">
        <f>графік!M183</f>
        <v/>
      </c>
      <c r="L177" s="194" t="str">
        <f>графік!N183</f>
        <v/>
      </c>
      <c r="M177" s="194" t="str">
        <f>графік!O183</f>
        <v/>
      </c>
      <c r="N177" s="194" t="str">
        <f>графік!P183</f>
        <v/>
      </c>
      <c r="O177" s="194" t="str">
        <f>графік!Q183</f>
        <v/>
      </c>
      <c r="P177" s="194" t="str">
        <f>графік!R183</f>
        <v/>
      </c>
      <c r="Q177" s="209" t="str">
        <f>графік!S183</f>
        <v/>
      </c>
      <c r="R177" s="194" t="str">
        <f>графік!T183</f>
        <v/>
      </c>
    </row>
    <row r="178" spans="1:18" x14ac:dyDescent="0.35">
      <c r="A178" s="40" t="str">
        <f>графік!A184</f>
        <v/>
      </c>
      <c r="B178" s="42" t="str">
        <f ca="1">графік!C184</f>
        <v xml:space="preserve"> </v>
      </c>
      <c r="C178" s="41" t="str">
        <f>графік!D184</f>
        <v/>
      </c>
      <c r="D178" s="194" t="str">
        <f>графік!F184</f>
        <v/>
      </c>
      <c r="E178" s="193" t="str">
        <f>графік!G184</f>
        <v/>
      </c>
      <c r="F178" s="194" t="str">
        <f>графік!H184</f>
        <v/>
      </c>
      <c r="G178" s="194" t="str">
        <f>графік!I184</f>
        <v/>
      </c>
      <c r="H178" s="194" t="str">
        <f>графік!J184</f>
        <v/>
      </c>
      <c r="I178" s="194" t="str">
        <f>графік!K184</f>
        <v/>
      </c>
      <c r="J178" s="194" t="str">
        <f>графік!L184</f>
        <v/>
      </c>
      <c r="K178" s="194" t="str">
        <f>графік!M184</f>
        <v/>
      </c>
      <c r="L178" s="194" t="str">
        <f>графік!N184</f>
        <v/>
      </c>
      <c r="M178" s="194" t="str">
        <f>графік!O184</f>
        <v/>
      </c>
      <c r="N178" s="194" t="str">
        <f>графік!P184</f>
        <v/>
      </c>
      <c r="O178" s="194" t="str">
        <f>графік!Q184</f>
        <v/>
      </c>
      <c r="P178" s="194" t="str">
        <f>графік!R184</f>
        <v/>
      </c>
      <c r="Q178" s="209" t="str">
        <f>графік!S184</f>
        <v/>
      </c>
      <c r="R178" s="194" t="str">
        <f>графік!T184</f>
        <v/>
      </c>
    </row>
    <row r="179" spans="1:18" x14ac:dyDescent="0.35">
      <c r="A179" s="40" t="str">
        <f>графік!A185</f>
        <v/>
      </c>
      <c r="B179" s="42" t="str">
        <f ca="1">графік!C185</f>
        <v xml:space="preserve"> </v>
      </c>
      <c r="C179" s="41" t="str">
        <f>графік!D185</f>
        <v/>
      </c>
      <c r="D179" s="194" t="str">
        <f>графік!F185</f>
        <v/>
      </c>
      <c r="E179" s="193" t="str">
        <f>графік!G185</f>
        <v/>
      </c>
      <c r="F179" s="194" t="str">
        <f>графік!H185</f>
        <v/>
      </c>
      <c r="G179" s="194" t="str">
        <f>графік!I185</f>
        <v/>
      </c>
      <c r="H179" s="194" t="str">
        <f>графік!J185</f>
        <v/>
      </c>
      <c r="I179" s="194" t="str">
        <f>графік!K185</f>
        <v/>
      </c>
      <c r="J179" s="194" t="str">
        <f>графік!L185</f>
        <v/>
      </c>
      <c r="K179" s="194" t="str">
        <f>графік!M185</f>
        <v/>
      </c>
      <c r="L179" s="194" t="str">
        <f>графік!N185</f>
        <v/>
      </c>
      <c r="M179" s="194" t="str">
        <f>графік!O185</f>
        <v/>
      </c>
      <c r="N179" s="194" t="str">
        <f>графік!P185</f>
        <v/>
      </c>
      <c r="O179" s="194" t="str">
        <f>графік!Q185</f>
        <v/>
      </c>
      <c r="P179" s="194" t="str">
        <f>графік!R185</f>
        <v/>
      </c>
      <c r="Q179" s="209" t="str">
        <f>графік!S185</f>
        <v/>
      </c>
      <c r="R179" s="194" t="str">
        <f>графік!T185</f>
        <v/>
      </c>
    </row>
    <row r="180" spans="1:18" x14ac:dyDescent="0.35">
      <c r="A180" s="40" t="str">
        <f>графік!A186</f>
        <v/>
      </c>
      <c r="B180" s="42" t="str">
        <f ca="1">графік!C186</f>
        <v xml:space="preserve"> </v>
      </c>
      <c r="C180" s="41" t="str">
        <f>графік!D186</f>
        <v/>
      </c>
      <c r="D180" s="194" t="str">
        <f>графік!F186</f>
        <v/>
      </c>
      <c r="E180" s="193" t="str">
        <f>графік!G186</f>
        <v/>
      </c>
      <c r="F180" s="194" t="str">
        <f>графік!H186</f>
        <v/>
      </c>
      <c r="G180" s="194" t="str">
        <f>графік!I186</f>
        <v/>
      </c>
      <c r="H180" s="194" t="str">
        <f>графік!J186</f>
        <v/>
      </c>
      <c r="I180" s="194" t="str">
        <f>графік!K186</f>
        <v/>
      </c>
      <c r="J180" s="194" t="str">
        <f>графік!L186</f>
        <v/>
      </c>
      <c r="K180" s="194" t="str">
        <f>графік!M186</f>
        <v/>
      </c>
      <c r="L180" s="194" t="str">
        <f>графік!N186</f>
        <v/>
      </c>
      <c r="M180" s="194" t="str">
        <f>графік!O186</f>
        <v/>
      </c>
      <c r="N180" s="194" t="str">
        <f>графік!P186</f>
        <v/>
      </c>
      <c r="O180" s="194" t="str">
        <f>графік!Q186</f>
        <v/>
      </c>
      <c r="P180" s="194" t="str">
        <f>графік!R186</f>
        <v/>
      </c>
      <c r="Q180" s="209" t="str">
        <f>графік!S186</f>
        <v/>
      </c>
      <c r="R180" s="194" t="str">
        <f>графік!T186</f>
        <v/>
      </c>
    </row>
    <row r="181" spans="1:18" x14ac:dyDescent="0.35">
      <c r="A181" s="40" t="str">
        <f>графік!A187</f>
        <v/>
      </c>
      <c r="B181" s="42" t="str">
        <f ca="1">графік!C187</f>
        <v xml:space="preserve"> </v>
      </c>
      <c r="C181" s="41" t="str">
        <f>графік!D187</f>
        <v/>
      </c>
      <c r="D181" s="194" t="str">
        <f>графік!F187</f>
        <v/>
      </c>
      <c r="E181" s="193" t="str">
        <f>графік!G187</f>
        <v/>
      </c>
      <c r="F181" s="194" t="str">
        <f>графік!H187</f>
        <v/>
      </c>
      <c r="G181" s="194" t="str">
        <f>графік!I187</f>
        <v/>
      </c>
      <c r="H181" s="194" t="str">
        <f>графік!J187</f>
        <v/>
      </c>
      <c r="I181" s="194" t="str">
        <f>графік!K187</f>
        <v/>
      </c>
      <c r="J181" s="194" t="str">
        <f>графік!L187</f>
        <v/>
      </c>
      <c r="K181" s="194" t="str">
        <f>графік!M187</f>
        <v/>
      </c>
      <c r="L181" s="194" t="str">
        <f>графік!N187</f>
        <v/>
      </c>
      <c r="M181" s="194" t="str">
        <f>графік!O187</f>
        <v/>
      </c>
      <c r="N181" s="194" t="str">
        <f>графік!P187</f>
        <v/>
      </c>
      <c r="O181" s="194" t="str">
        <f>графік!Q187</f>
        <v/>
      </c>
      <c r="P181" s="194" t="str">
        <f>графік!R187</f>
        <v/>
      </c>
      <c r="Q181" s="209" t="str">
        <f>графік!S187</f>
        <v/>
      </c>
      <c r="R181" s="194" t="str">
        <f>графік!T187</f>
        <v/>
      </c>
    </row>
    <row r="182" spans="1:18" x14ac:dyDescent="0.35">
      <c r="A182" s="40" t="str">
        <f>графік!A188</f>
        <v/>
      </c>
      <c r="B182" s="42" t="str">
        <f ca="1">графік!C188</f>
        <v xml:space="preserve"> </v>
      </c>
      <c r="C182" s="41" t="str">
        <f>графік!D188</f>
        <v/>
      </c>
      <c r="D182" s="194" t="str">
        <f>графік!F188</f>
        <v/>
      </c>
      <c r="E182" s="193" t="str">
        <f>графік!G188</f>
        <v/>
      </c>
      <c r="F182" s="194" t="str">
        <f>графік!H188</f>
        <v/>
      </c>
      <c r="G182" s="194" t="str">
        <f>графік!I188</f>
        <v/>
      </c>
      <c r="H182" s="194" t="str">
        <f>графік!J188</f>
        <v/>
      </c>
      <c r="I182" s="194" t="str">
        <f>графік!K188</f>
        <v/>
      </c>
      <c r="J182" s="194" t="str">
        <f>графік!L188</f>
        <v/>
      </c>
      <c r="K182" s="194" t="str">
        <f>графік!M188</f>
        <v/>
      </c>
      <c r="L182" s="194" t="str">
        <f>графік!N188</f>
        <v/>
      </c>
      <c r="M182" s="194" t="str">
        <f>графік!O188</f>
        <v/>
      </c>
      <c r="N182" s="194" t="str">
        <f>графік!P188</f>
        <v/>
      </c>
      <c r="O182" s="194" t="str">
        <f>графік!Q188</f>
        <v/>
      </c>
      <c r="P182" s="194" t="str">
        <f>графік!R188</f>
        <v/>
      </c>
      <c r="Q182" s="209" t="str">
        <f>графік!S188</f>
        <v/>
      </c>
      <c r="R182" s="194" t="str">
        <f>графік!T188</f>
        <v/>
      </c>
    </row>
    <row r="183" spans="1:18" x14ac:dyDescent="0.35">
      <c r="A183" s="40" t="str">
        <f>графік!A189</f>
        <v/>
      </c>
      <c r="B183" s="42" t="str">
        <f ca="1">графік!C189</f>
        <v xml:space="preserve"> </v>
      </c>
      <c r="C183" s="41" t="str">
        <f>графік!D189</f>
        <v/>
      </c>
      <c r="D183" s="194" t="str">
        <f>графік!F189</f>
        <v/>
      </c>
      <c r="E183" s="193" t="str">
        <f>графік!G189</f>
        <v/>
      </c>
      <c r="F183" s="194" t="str">
        <f>графік!H189</f>
        <v/>
      </c>
      <c r="G183" s="194" t="str">
        <f>графік!I189</f>
        <v/>
      </c>
      <c r="H183" s="194" t="str">
        <f>графік!J189</f>
        <v/>
      </c>
      <c r="I183" s="194" t="str">
        <f>графік!K189</f>
        <v/>
      </c>
      <c r="J183" s="194" t="str">
        <f>графік!L189</f>
        <v/>
      </c>
      <c r="K183" s="194" t="str">
        <f>графік!M189</f>
        <v/>
      </c>
      <c r="L183" s="194" t="str">
        <f>графік!N189</f>
        <v/>
      </c>
      <c r="M183" s="194" t="str">
        <f>графік!O189</f>
        <v/>
      </c>
      <c r="N183" s="194" t="str">
        <f>графік!P189</f>
        <v/>
      </c>
      <c r="O183" s="194" t="str">
        <f>графік!Q189</f>
        <v/>
      </c>
      <c r="P183" s="194" t="str">
        <f>графік!R189</f>
        <v/>
      </c>
      <c r="Q183" s="209" t="str">
        <f>графік!S189</f>
        <v/>
      </c>
      <c r="R183" s="194" t="str">
        <f>графік!T189</f>
        <v/>
      </c>
    </row>
    <row r="184" spans="1:18" x14ac:dyDescent="0.35">
      <c r="A184" s="40" t="str">
        <f>графік!A190</f>
        <v/>
      </c>
      <c r="B184" s="42" t="str">
        <f ca="1">графік!C190</f>
        <v xml:space="preserve"> </v>
      </c>
      <c r="C184" s="41" t="str">
        <f>графік!D190</f>
        <v/>
      </c>
      <c r="D184" s="194" t="str">
        <f>графік!F190</f>
        <v/>
      </c>
      <c r="E184" s="193" t="str">
        <f>графік!G190</f>
        <v/>
      </c>
      <c r="F184" s="194" t="str">
        <f>графік!H190</f>
        <v/>
      </c>
      <c r="G184" s="194" t="str">
        <f>графік!I190</f>
        <v/>
      </c>
      <c r="H184" s="194" t="str">
        <f>графік!J190</f>
        <v/>
      </c>
      <c r="I184" s="194" t="str">
        <f>графік!K190</f>
        <v/>
      </c>
      <c r="J184" s="194" t="str">
        <f>графік!L190</f>
        <v/>
      </c>
      <c r="K184" s="194" t="str">
        <f>графік!M190</f>
        <v/>
      </c>
      <c r="L184" s="194" t="str">
        <f>графік!N190</f>
        <v/>
      </c>
      <c r="M184" s="194" t="str">
        <f>графік!O190</f>
        <v/>
      </c>
      <c r="N184" s="194" t="str">
        <f>графік!P190</f>
        <v/>
      </c>
      <c r="O184" s="194" t="str">
        <f>графік!Q190</f>
        <v/>
      </c>
      <c r="P184" s="194" t="str">
        <f>графік!R190</f>
        <v/>
      </c>
      <c r="Q184" s="209" t="str">
        <f>графік!S190</f>
        <v/>
      </c>
      <c r="R184" s="194" t="str">
        <f>графік!T190</f>
        <v/>
      </c>
    </row>
    <row r="185" spans="1:18" x14ac:dyDescent="0.35">
      <c r="A185" s="40" t="str">
        <f>графік!A191</f>
        <v/>
      </c>
      <c r="B185" s="42" t="str">
        <f ca="1">графік!C191</f>
        <v xml:space="preserve"> </v>
      </c>
      <c r="C185" s="41" t="str">
        <f>графік!D191</f>
        <v/>
      </c>
      <c r="D185" s="194" t="str">
        <f>графік!F191</f>
        <v/>
      </c>
      <c r="E185" s="193" t="str">
        <f>графік!G191</f>
        <v/>
      </c>
      <c r="F185" s="194" t="str">
        <f>графік!H191</f>
        <v/>
      </c>
      <c r="G185" s="194" t="str">
        <f>графік!I191</f>
        <v/>
      </c>
      <c r="H185" s="194" t="str">
        <f>графік!J191</f>
        <v/>
      </c>
      <c r="I185" s="194" t="str">
        <f>графік!K191</f>
        <v/>
      </c>
      <c r="J185" s="194" t="str">
        <f>графік!L191</f>
        <v/>
      </c>
      <c r="K185" s="194" t="str">
        <f>графік!M191</f>
        <v/>
      </c>
      <c r="L185" s="194" t="str">
        <f>графік!N191</f>
        <v/>
      </c>
      <c r="M185" s="194" t="str">
        <f>графік!O191</f>
        <v/>
      </c>
      <c r="N185" s="194" t="str">
        <f>графік!P191</f>
        <v/>
      </c>
      <c r="O185" s="194" t="str">
        <f>графік!Q191</f>
        <v/>
      </c>
      <c r="P185" s="194" t="str">
        <f>графік!R191</f>
        <v/>
      </c>
      <c r="Q185" s="209" t="str">
        <f>графік!S191</f>
        <v/>
      </c>
      <c r="R185" s="194" t="str">
        <f>графік!T191</f>
        <v/>
      </c>
    </row>
    <row r="186" spans="1:18" x14ac:dyDescent="0.35">
      <c r="A186" s="40" t="str">
        <f>графік!A192</f>
        <v/>
      </c>
      <c r="B186" s="42" t="str">
        <f ca="1">графік!C192</f>
        <v xml:space="preserve"> </v>
      </c>
      <c r="C186" s="41" t="str">
        <f>графік!D192</f>
        <v/>
      </c>
      <c r="D186" s="194" t="str">
        <f>графік!F192</f>
        <v/>
      </c>
      <c r="E186" s="193" t="str">
        <f>графік!G192</f>
        <v/>
      </c>
      <c r="F186" s="194" t="str">
        <f>графік!H192</f>
        <v/>
      </c>
      <c r="G186" s="194" t="str">
        <f>графік!I192</f>
        <v/>
      </c>
      <c r="H186" s="194" t="str">
        <f>графік!J192</f>
        <v/>
      </c>
      <c r="I186" s="194" t="str">
        <f>графік!K192</f>
        <v/>
      </c>
      <c r="J186" s="194" t="str">
        <f>графік!L192</f>
        <v/>
      </c>
      <c r="K186" s="194" t="str">
        <f>графік!M192</f>
        <v/>
      </c>
      <c r="L186" s="194" t="str">
        <f>графік!N192</f>
        <v/>
      </c>
      <c r="M186" s="194" t="str">
        <f>графік!O192</f>
        <v/>
      </c>
      <c r="N186" s="194" t="str">
        <f>графік!P192</f>
        <v/>
      </c>
      <c r="O186" s="194" t="str">
        <f>графік!Q192</f>
        <v/>
      </c>
      <c r="P186" s="194" t="str">
        <f>графік!R192</f>
        <v/>
      </c>
      <c r="Q186" s="209" t="str">
        <f>графік!S192</f>
        <v/>
      </c>
      <c r="R186" s="194" t="str">
        <f>графік!T192</f>
        <v/>
      </c>
    </row>
    <row r="187" spans="1:18" x14ac:dyDescent="0.35">
      <c r="A187" s="40" t="str">
        <f>графік!A193</f>
        <v/>
      </c>
      <c r="B187" s="42" t="str">
        <f ca="1">графік!C193</f>
        <v xml:space="preserve"> </v>
      </c>
      <c r="C187" s="41" t="str">
        <f>графік!D193</f>
        <v/>
      </c>
      <c r="D187" s="194" t="str">
        <f>графік!F193</f>
        <v/>
      </c>
      <c r="E187" s="193" t="str">
        <f>графік!G193</f>
        <v/>
      </c>
      <c r="F187" s="194" t="str">
        <f>графік!H193</f>
        <v/>
      </c>
      <c r="G187" s="194" t="str">
        <f>графік!I193</f>
        <v/>
      </c>
      <c r="H187" s="194" t="str">
        <f>графік!J193</f>
        <v/>
      </c>
      <c r="I187" s="194" t="str">
        <f>графік!K193</f>
        <v/>
      </c>
      <c r="J187" s="194" t="str">
        <f>графік!L193</f>
        <v/>
      </c>
      <c r="K187" s="194" t="str">
        <f>графік!M193</f>
        <v/>
      </c>
      <c r="L187" s="194" t="str">
        <f>графік!N193</f>
        <v/>
      </c>
      <c r="M187" s="194" t="str">
        <f>графік!O193</f>
        <v/>
      </c>
      <c r="N187" s="194" t="str">
        <f>графік!P193</f>
        <v/>
      </c>
      <c r="O187" s="194" t="str">
        <f>графік!Q193</f>
        <v/>
      </c>
      <c r="P187" s="194" t="str">
        <f>графік!R193</f>
        <v/>
      </c>
      <c r="Q187" s="209" t="str">
        <f>графік!S193</f>
        <v/>
      </c>
      <c r="R187" s="194" t="str">
        <f>графік!T193</f>
        <v/>
      </c>
    </row>
    <row r="188" spans="1:18" x14ac:dyDescent="0.35">
      <c r="A188" s="40" t="str">
        <f>графік!A194</f>
        <v/>
      </c>
      <c r="B188" s="42" t="str">
        <f ca="1">графік!C194</f>
        <v xml:space="preserve"> </v>
      </c>
      <c r="C188" s="41" t="str">
        <f>графік!D194</f>
        <v/>
      </c>
      <c r="D188" s="194" t="str">
        <f>графік!F194</f>
        <v/>
      </c>
      <c r="E188" s="193" t="str">
        <f>графік!G194</f>
        <v/>
      </c>
      <c r="F188" s="194" t="str">
        <f>графік!H194</f>
        <v/>
      </c>
      <c r="G188" s="194" t="str">
        <f>графік!I194</f>
        <v/>
      </c>
      <c r="H188" s="194" t="str">
        <f>графік!J194</f>
        <v/>
      </c>
      <c r="I188" s="194" t="str">
        <f>графік!K194</f>
        <v/>
      </c>
      <c r="J188" s="194" t="str">
        <f>графік!L194</f>
        <v/>
      </c>
      <c r="K188" s="194" t="str">
        <f>графік!M194</f>
        <v/>
      </c>
      <c r="L188" s="194" t="str">
        <f>графік!N194</f>
        <v/>
      </c>
      <c r="M188" s="194" t="str">
        <f>графік!O194</f>
        <v/>
      </c>
      <c r="N188" s="194" t="str">
        <f>графік!P194</f>
        <v/>
      </c>
      <c r="O188" s="194" t="str">
        <f>графік!Q194</f>
        <v/>
      </c>
      <c r="P188" s="194" t="str">
        <f>графік!R194</f>
        <v/>
      </c>
      <c r="Q188" s="209" t="str">
        <f>графік!S194</f>
        <v/>
      </c>
      <c r="R188" s="194" t="str">
        <f>графік!T194</f>
        <v/>
      </c>
    </row>
    <row r="189" spans="1:18" x14ac:dyDescent="0.35">
      <c r="A189" s="40" t="str">
        <f>графік!A195</f>
        <v/>
      </c>
      <c r="B189" s="42" t="str">
        <f ca="1">графік!C195</f>
        <v xml:space="preserve"> </v>
      </c>
      <c r="C189" s="41" t="str">
        <f>графік!D195</f>
        <v/>
      </c>
      <c r="D189" s="194" t="str">
        <f>графік!F195</f>
        <v/>
      </c>
      <c r="E189" s="193" t="str">
        <f>графік!G195</f>
        <v/>
      </c>
      <c r="F189" s="194" t="str">
        <f>графік!H195</f>
        <v/>
      </c>
      <c r="G189" s="194" t="str">
        <f>графік!I195</f>
        <v/>
      </c>
      <c r="H189" s="194" t="str">
        <f>графік!J195</f>
        <v/>
      </c>
      <c r="I189" s="194" t="str">
        <f>графік!K195</f>
        <v/>
      </c>
      <c r="J189" s="194" t="str">
        <f>графік!L195</f>
        <v/>
      </c>
      <c r="K189" s="194" t="str">
        <f>графік!M195</f>
        <v/>
      </c>
      <c r="L189" s="194" t="str">
        <f>графік!N195</f>
        <v/>
      </c>
      <c r="M189" s="194" t="str">
        <f>графік!O195</f>
        <v/>
      </c>
      <c r="N189" s="194" t="str">
        <f>графік!P195</f>
        <v/>
      </c>
      <c r="O189" s="194" t="str">
        <f>графік!Q195</f>
        <v/>
      </c>
      <c r="P189" s="194" t="str">
        <f>графік!R195</f>
        <v/>
      </c>
      <c r="Q189" s="209" t="str">
        <f>графік!S195</f>
        <v/>
      </c>
      <c r="R189" s="194" t="str">
        <f>графік!T195</f>
        <v/>
      </c>
    </row>
    <row r="190" spans="1:18" x14ac:dyDescent="0.35">
      <c r="A190" s="40" t="str">
        <f>графік!A196</f>
        <v/>
      </c>
      <c r="B190" s="42" t="str">
        <f ca="1">графік!C196</f>
        <v xml:space="preserve"> </v>
      </c>
      <c r="C190" s="41" t="str">
        <f>графік!D196</f>
        <v/>
      </c>
      <c r="D190" s="194" t="str">
        <f>графік!F196</f>
        <v/>
      </c>
      <c r="E190" s="193" t="str">
        <f>графік!G196</f>
        <v/>
      </c>
      <c r="F190" s="194" t="str">
        <f>графік!H196</f>
        <v/>
      </c>
      <c r="G190" s="194" t="str">
        <f>графік!I196</f>
        <v/>
      </c>
      <c r="H190" s="194" t="str">
        <f>графік!J196</f>
        <v/>
      </c>
      <c r="I190" s="194" t="str">
        <f>графік!K196</f>
        <v/>
      </c>
      <c r="J190" s="194" t="str">
        <f>графік!L196</f>
        <v/>
      </c>
      <c r="K190" s="194" t="str">
        <f>графік!M196</f>
        <v/>
      </c>
      <c r="L190" s="194" t="str">
        <f>графік!N196</f>
        <v/>
      </c>
      <c r="M190" s="194" t="str">
        <f>графік!O196</f>
        <v/>
      </c>
      <c r="N190" s="194" t="str">
        <f>графік!P196</f>
        <v/>
      </c>
      <c r="O190" s="194" t="str">
        <f>графік!Q196</f>
        <v/>
      </c>
      <c r="P190" s="194" t="str">
        <f>графік!R196</f>
        <v/>
      </c>
      <c r="Q190" s="209" t="str">
        <f>графік!S196</f>
        <v/>
      </c>
      <c r="R190" s="194" t="str">
        <f>графік!T196</f>
        <v/>
      </c>
    </row>
    <row r="191" spans="1:18" x14ac:dyDescent="0.35">
      <c r="A191" s="40" t="str">
        <f>графік!A197</f>
        <v/>
      </c>
      <c r="B191" s="42" t="str">
        <f ca="1">графік!C197</f>
        <v xml:space="preserve"> </v>
      </c>
      <c r="C191" s="41" t="str">
        <f>графік!D197</f>
        <v/>
      </c>
      <c r="D191" s="194" t="str">
        <f>графік!F197</f>
        <v/>
      </c>
      <c r="E191" s="193" t="str">
        <f>графік!G197</f>
        <v/>
      </c>
      <c r="F191" s="194" t="str">
        <f>графік!H197</f>
        <v/>
      </c>
      <c r="G191" s="194" t="str">
        <f>графік!I197</f>
        <v/>
      </c>
      <c r="H191" s="194" t="str">
        <f>графік!J197</f>
        <v/>
      </c>
      <c r="I191" s="194" t="str">
        <f>графік!K197</f>
        <v/>
      </c>
      <c r="J191" s="194" t="str">
        <f>графік!L197</f>
        <v/>
      </c>
      <c r="K191" s="194" t="str">
        <f>графік!M197</f>
        <v/>
      </c>
      <c r="L191" s="194" t="str">
        <f>графік!N197</f>
        <v/>
      </c>
      <c r="M191" s="194" t="str">
        <f>графік!O197</f>
        <v/>
      </c>
      <c r="N191" s="194" t="str">
        <f>графік!P197</f>
        <v/>
      </c>
      <c r="O191" s="194" t="str">
        <f>графік!Q197</f>
        <v/>
      </c>
      <c r="P191" s="194" t="str">
        <f>графік!R197</f>
        <v/>
      </c>
      <c r="Q191" s="209" t="str">
        <f>графік!S197</f>
        <v/>
      </c>
      <c r="R191" s="194" t="str">
        <f>графік!T197</f>
        <v/>
      </c>
    </row>
    <row r="192" spans="1:18" x14ac:dyDescent="0.35">
      <c r="A192" s="40" t="str">
        <f>графік!A198</f>
        <v/>
      </c>
      <c r="B192" s="42" t="str">
        <f ca="1">графік!C198</f>
        <v xml:space="preserve"> </v>
      </c>
      <c r="C192" s="41" t="str">
        <f>графік!D198</f>
        <v/>
      </c>
      <c r="D192" s="194" t="str">
        <f>графік!F198</f>
        <v/>
      </c>
      <c r="E192" s="193" t="str">
        <f>графік!G198</f>
        <v/>
      </c>
      <c r="F192" s="194" t="str">
        <f>графік!H198</f>
        <v/>
      </c>
      <c r="G192" s="194" t="str">
        <f>графік!I198</f>
        <v/>
      </c>
      <c r="H192" s="194" t="str">
        <f>графік!J198</f>
        <v/>
      </c>
      <c r="I192" s="194" t="str">
        <f>графік!K198</f>
        <v/>
      </c>
      <c r="J192" s="194" t="str">
        <f>графік!L198</f>
        <v/>
      </c>
      <c r="K192" s="194" t="str">
        <f>графік!M198</f>
        <v/>
      </c>
      <c r="L192" s="194" t="str">
        <f>графік!N198</f>
        <v/>
      </c>
      <c r="M192" s="194" t="str">
        <f>графік!O198</f>
        <v/>
      </c>
      <c r="N192" s="194" t="str">
        <f>графік!P198</f>
        <v/>
      </c>
      <c r="O192" s="194" t="str">
        <f>графік!Q198</f>
        <v/>
      </c>
      <c r="P192" s="194" t="str">
        <f>графік!R198</f>
        <v/>
      </c>
      <c r="Q192" s="209" t="str">
        <f>графік!S198</f>
        <v/>
      </c>
      <c r="R192" s="194" t="str">
        <f>графік!T198</f>
        <v/>
      </c>
    </row>
    <row r="193" spans="1:18" x14ac:dyDescent="0.35">
      <c r="A193" s="40" t="str">
        <f>графік!A199</f>
        <v/>
      </c>
      <c r="B193" s="42" t="str">
        <f ca="1">графік!C199</f>
        <v xml:space="preserve"> </v>
      </c>
      <c r="C193" s="41" t="str">
        <f>графік!D199</f>
        <v/>
      </c>
      <c r="D193" s="194" t="str">
        <f>графік!F199</f>
        <v/>
      </c>
      <c r="E193" s="193" t="str">
        <f>графік!G199</f>
        <v/>
      </c>
      <c r="F193" s="194" t="str">
        <f>графік!H199</f>
        <v/>
      </c>
      <c r="G193" s="194" t="str">
        <f>графік!I199</f>
        <v/>
      </c>
      <c r="H193" s="194" t="str">
        <f>графік!J199</f>
        <v/>
      </c>
      <c r="I193" s="194" t="str">
        <f>графік!K199</f>
        <v/>
      </c>
      <c r="J193" s="194" t="str">
        <f>графік!L199</f>
        <v/>
      </c>
      <c r="K193" s="194" t="str">
        <f>графік!M199</f>
        <v/>
      </c>
      <c r="L193" s="194" t="str">
        <f>графік!N199</f>
        <v/>
      </c>
      <c r="M193" s="194" t="str">
        <f>графік!O199</f>
        <v/>
      </c>
      <c r="N193" s="194" t="str">
        <f>графік!P199</f>
        <v/>
      </c>
      <c r="O193" s="194" t="str">
        <f>графік!Q199</f>
        <v/>
      </c>
      <c r="P193" s="194" t="str">
        <f>графік!R199</f>
        <v/>
      </c>
      <c r="Q193" s="209" t="str">
        <f>графік!S199</f>
        <v/>
      </c>
      <c r="R193" s="194" t="str">
        <f>графік!T199</f>
        <v/>
      </c>
    </row>
    <row r="194" spans="1:18" x14ac:dyDescent="0.35">
      <c r="A194" s="40" t="str">
        <f>графік!A200</f>
        <v/>
      </c>
      <c r="B194" s="42" t="str">
        <f ca="1">графік!C200</f>
        <v xml:space="preserve"> </v>
      </c>
      <c r="C194" s="41" t="str">
        <f>графік!D200</f>
        <v/>
      </c>
      <c r="D194" s="194" t="str">
        <f>графік!F200</f>
        <v/>
      </c>
      <c r="E194" s="193" t="str">
        <f>графік!G200</f>
        <v/>
      </c>
      <c r="F194" s="194" t="str">
        <f>графік!H200</f>
        <v/>
      </c>
      <c r="G194" s="194" t="str">
        <f>графік!I200</f>
        <v/>
      </c>
      <c r="H194" s="194" t="str">
        <f>графік!J200</f>
        <v/>
      </c>
      <c r="I194" s="194" t="str">
        <f>графік!K200</f>
        <v/>
      </c>
      <c r="J194" s="194" t="str">
        <f>графік!L200</f>
        <v/>
      </c>
      <c r="K194" s="194" t="str">
        <f>графік!M200</f>
        <v/>
      </c>
      <c r="L194" s="194" t="str">
        <f>графік!N200</f>
        <v/>
      </c>
      <c r="M194" s="194" t="str">
        <f>графік!O200</f>
        <v/>
      </c>
      <c r="N194" s="194" t="str">
        <f>графік!P200</f>
        <v/>
      </c>
      <c r="O194" s="194" t="str">
        <f>графік!Q200</f>
        <v/>
      </c>
      <c r="P194" s="194" t="str">
        <f>графік!R200</f>
        <v/>
      </c>
      <c r="Q194" s="209" t="str">
        <f>графік!S200</f>
        <v/>
      </c>
      <c r="R194" s="194" t="str">
        <f>графік!T200</f>
        <v/>
      </c>
    </row>
    <row r="195" spans="1:18" x14ac:dyDescent="0.35">
      <c r="A195" s="40" t="str">
        <f>графік!A201</f>
        <v/>
      </c>
      <c r="B195" s="42" t="str">
        <f ca="1">графік!C201</f>
        <v xml:space="preserve"> </v>
      </c>
      <c r="C195" s="41" t="str">
        <f>графік!D201</f>
        <v/>
      </c>
      <c r="D195" s="194" t="str">
        <f>графік!F201</f>
        <v/>
      </c>
      <c r="E195" s="193" t="str">
        <f>графік!G201</f>
        <v/>
      </c>
      <c r="F195" s="194" t="str">
        <f>графік!H201</f>
        <v/>
      </c>
      <c r="G195" s="194" t="str">
        <f>графік!I201</f>
        <v/>
      </c>
      <c r="H195" s="194" t="str">
        <f>графік!J201</f>
        <v/>
      </c>
      <c r="I195" s="194" t="str">
        <f>графік!K201</f>
        <v/>
      </c>
      <c r="J195" s="194" t="str">
        <f>графік!L201</f>
        <v/>
      </c>
      <c r="K195" s="194" t="str">
        <f>графік!M201</f>
        <v/>
      </c>
      <c r="L195" s="194" t="str">
        <f>графік!N201</f>
        <v/>
      </c>
      <c r="M195" s="194" t="str">
        <f>графік!O201</f>
        <v/>
      </c>
      <c r="N195" s="194" t="str">
        <f>графік!P201</f>
        <v/>
      </c>
      <c r="O195" s="194" t="str">
        <f>графік!Q201</f>
        <v/>
      </c>
      <c r="P195" s="194" t="str">
        <f>графік!R201</f>
        <v/>
      </c>
      <c r="Q195" s="209" t="str">
        <f>графік!S201</f>
        <v/>
      </c>
      <c r="R195" s="194" t="str">
        <f>графік!T201</f>
        <v/>
      </c>
    </row>
    <row r="196" spans="1:18" x14ac:dyDescent="0.35">
      <c r="A196" s="40" t="str">
        <f>графік!A202</f>
        <v/>
      </c>
      <c r="B196" s="42" t="str">
        <f ca="1">графік!C202</f>
        <v xml:space="preserve"> </v>
      </c>
      <c r="C196" s="41" t="str">
        <f>графік!D202</f>
        <v/>
      </c>
      <c r="D196" s="194" t="str">
        <f>графік!F202</f>
        <v/>
      </c>
      <c r="E196" s="193" t="str">
        <f>графік!G202</f>
        <v/>
      </c>
      <c r="F196" s="194" t="str">
        <f>графік!H202</f>
        <v/>
      </c>
      <c r="G196" s="194" t="str">
        <f>графік!I202</f>
        <v/>
      </c>
      <c r="H196" s="194" t="str">
        <f>графік!J202</f>
        <v/>
      </c>
      <c r="I196" s="194" t="str">
        <f>графік!K202</f>
        <v/>
      </c>
      <c r="J196" s="194" t="str">
        <f>графік!L202</f>
        <v/>
      </c>
      <c r="K196" s="194" t="str">
        <f>графік!M202</f>
        <v/>
      </c>
      <c r="L196" s="194" t="str">
        <f>графік!N202</f>
        <v/>
      </c>
      <c r="M196" s="194" t="str">
        <f>графік!O202</f>
        <v/>
      </c>
      <c r="N196" s="194" t="str">
        <f>графік!P202</f>
        <v/>
      </c>
      <c r="O196" s="194" t="str">
        <f>графік!Q202</f>
        <v/>
      </c>
      <c r="P196" s="194" t="str">
        <f>графік!R202</f>
        <v/>
      </c>
      <c r="Q196" s="209" t="str">
        <f>графік!S202</f>
        <v/>
      </c>
      <c r="R196" s="194" t="str">
        <f>графік!T202</f>
        <v/>
      </c>
    </row>
    <row r="197" spans="1:18" x14ac:dyDescent="0.35">
      <c r="A197" s="40" t="str">
        <f>графік!A203</f>
        <v/>
      </c>
      <c r="B197" s="42" t="str">
        <f ca="1">графік!C203</f>
        <v xml:space="preserve"> </v>
      </c>
      <c r="C197" s="41" t="str">
        <f>графік!D203</f>
        <v/>
      </c>
      <c r="D197" s="194" t="str">
        <f>графік!F203</f>
        <v/>
      </c>
      <c r="E197" s="193" t="str">
        <f>графік!G203</f>
        <v/>
      </c>
      <c r="F197" s="194" t="str">
        <f>графік!H203</f>
        <v/>
      </c>
      <c r="G197" s="194" t="str">
        <f>графік!I203</f>
        <v/>
      </c>
      <c r="H197" s="194" t="str">
        <f>графік!J203</f>
        <v/>
      </c>
      <c r="I197" s="194" t="str">
        <f>графік!K203</f>
        <v/>
      </c>
      <c r="J197" s="194" t="str">
        <f>графік!L203</f>
        <v/>
      </c>
      <c r="K197" s="194" t="str">
        <f>графік!M203</f>
        <v/>
      </c>
      <c r="L197" s="194" t="str">
        <f>графік!N203</f>
        <v/>
      </c>
      <c r="M197" s="194" t="str">
        <f>графік!O203</f>
        <v/>
      </c>
      <c r="N197" s="194" t="str">
        <f>графік!P203</f>
        <v/>
      </c>
      <c r="O197" s="194" t="str">
        <f>графік!Q203</f>
        <v/>
      </c>
      <c r="P197" s="194" t="str">
        <f>графік!R203</f>
        <v/>
      </c>
      <c r="Q197" s="209" t="str">
        <f>графік!S203</f>
        <v/>
      </c>
      <c r="R197" s="194" t="str">
        <f>графік!T203</f>
        <v/>
      </c>
    </row>
    <row r="198" spans="1:18" x14ac:dyDescent="0.35">
      <c r="A198" s="40" t="str">
        <f>графік!A204</f>
        <v/>
      </c>
      <c r="B198" s="42" t="str">
        <f ca="1">графік!C204</f>
        <v xml:space="preserve"> </v>
      </c>
      <c r="C198" s="41" t="str">
        <f>графік!D204</f>
        <v/>
      </c>
      <c r="D198" s="194" t="str">
        <f>графік!F204</f>
        <v/>
      </c>
      <c r="E198" s="193" t="str">
        <f>графік!G204</f>
        <v/>
      </c>
      <c r="F198" s="194" t="str">
        <f>графік!H204</f>
        <v/>
      </c>
      <c r="G198" s="194" t="str">
        <f>графік!I204</f>
        <v/>
      </c>
      <c r="H198" s="194" t="str">
        <f>графік!J204</f>
        <v/>
      </c>
      <c r="I198" s="194" t="str">
        <f>графік!K204</f>
        <v/>
      </c>
      <c r="J198" s="194" t="str">
        <f>графік!L204</f>
        <v/>
      </c>
      <c r="K198" s="194" t="str">
        <f>графік!M204</f>
        <v/>
      </c>
      <c r="L198" s="194" t="str">
        <f>графік!N204</f>
        <v/>
      </c>
      <c r="M198" s="194" t="str">
        <f>графік!O204</f>
        <v/>
      </c>
      <c r="N198" s="194" t="str">
        <f>графік!P204</f>
        <v/>
      </c>
      <c r="O198" s="194" t="str">
        <f>графік!Q204</f>
        <v/>
      </c>
      <c r="P198" s="194" t="str">
        <f>графік!R204</f>
        <v/>
      </c>
      <c r="Q198" s="209" t="str">
        <f>графік!S204</f>
        <v/>
      </c>
      <c r="R198" s="194" t="str">
        <f>графік!T204</f>
        <v/>
      </c>
    </row>
    <row r="199" spans="1:18" x14ac:dyDescent="0.35">
      <c r="A199" s="40" t="str">
        <f>графік!A205</f>
        <v/>
      </c>
      <c r="B199" s="42" t="str">
        <f ca="1">графік!C205</f>
        <v xml:space="preserve"> </v>
      </c>
      <c r="C199" s="41" t="str">
        <f>графік!D205</f>
        <v/>
      </c>
      <c r="D199" s="194" t="str">
        <f>графік!F205</f>
        <v/>
      </c>
      <c r="E199" s="193" t="str">
        <f>графік!G205</f>
        <v/>
      </c>
      <c r="F199" s="194" t="str">
        <f>графік!H205</f>
        <v/>
      </c>
      <c r="G199" s="194" t="str">
        <f>графік!I205</f>
        <v/>
      </c>
      <c r="H199" s="194" t="str">
        <f>графік!J205</f>
        <v/>
      </c>
      <c r="I199" s="194" t="str">
        <f>графік!K205</f>
        <v/>
      </c>
      <c r="J199" s="194" t="str">
        <f>графік!L205</f>
        <v/>
      </c>
      <c r="K199" s="194" t="str">
        <f>графік!M205</f>
        <v/>
      </c>
      <c r="L199" s="194" t="str">
        <f>графік!N205</f>
        <v/>
      </c>
      <c r="M199" s="194" t="str">
        <f>графік!O205</f>
        <v/>
      </c>
      <c r="N199" s="194" t="str">
        <f>графік!P205</f>
        <v/>
      </c>
      <c r="O199" s="194" t="str">
        <f>графік!Q205</f>
        <v/>
      </c>
      <c r="P199" s="194" t="str">
        <f>графік!R205</f>
        <v/>
      </c>
      <c r="Q199" s="209" t="str">
        <f>графік!S205</f>
        <v/>
      </c>
      <c r="R199" s="194" t="str">
        <f>графік!T205</f>
        <v/>
      </c>
    </row>
    <row r="200" spans="1:18" x14ac:dyDescent="0.35">
      <c r="A200" s="40" t="str">
        <f>графік!A206</f>
        <v/>
      </c>
      <c r="B200" s="42" t="str">
        <f ca="1">графік!C206</f>
        <v xml:space="preserve"> </v>
      </c>
      <c r="C200" s="41" t="str">
        <f>графік!D206</f>
        <v/>
      </c>
      <c r="D200" s="194" t="str">
        <f>графік!F206</f>
        <v/>
      </c>
      <c r="E200" s="193" t="str">
        <f>графік!G206</f>
        <v/>
      </c>
      <c r="F200" s="194" t="str">
        <f>графік!H206</f>
        <v/>
      </c>
      <c r="G200" s="194" t="str">
        <f>графік!I206</f>
        <v/>
      </c>
      <c r="H200" s="194" t="str">
        <f>графік!J206</f>
        <v/>
      </c>
      <c r="I200" s="194" t="str">
        <f>графік!K206</f>
        <v/>
      </c>
      <c r="J200" s="194" t="str">
        <f>графік!L206</f>
        <v/>
      </c>
      <c r="K200" s="194" t="str">
        <f>графік!M206</f>
        <v/>
      </c>
      <c r="L200" s="194" t="str">
        <f>графік!N206</f>
        <v/>
      </c>
      <c r="M200" s="194" t="str">
        <f>графік!O206</f>
        <v/>
      </c>
      <c r="N200" s="194" t="str">
        <f>графік!P206</f>
        <v/>
      </c>
      <c r="O200" s="194" t="str">
        <f>графік!Q206</f>
        <v/>
      </c>
      <c r="P200" s="194" t="str">
        <f>графік!R206</f>
        <v/>
      </c>
      <c r="Q200" s="209" t="str">
        <f>графік!S206</f>
        <v/>
      </c>
      <c r="R200" s="194" t="str">
        <f>графік!T206</f>
        <v/>
      </c>
    </row>
    <row r="201" spans="1:18" x14ac:dyDescent="0.35">
      <c r="A201" s="40" t="str">
        <f>графік!A207</f>
        <v/>
      </c>
      <c r="B201" s="42" t="str">
        <f ca="1">графік!C207</f>
        <v xml:space="preserve"> </v>
      </c>
      <c r="C201" s="41" t="str">
        <f>графік!D207</f>
        <v/>
      </c>
      <c r="D201" s="194" t="str">
        <f>графік!F207</f>
        <v/>
      </c>
      <c r="E201" s="193" t="str">
        <f>графік!G207</f>
        <v/>
      </c>
      <c r="F201" s="194" t="str">
        <f>графік!H207</f>
        <v/>
      </c>
      <c r="G201" s="194" t="str">
        <f>графік!I207</f>
        <v/>
      </c>
      <c r="H201" s="194" t="str">
        <f>графік!J207</f>
        <v/>
      </c>
      <c r="I201" s="194" t="str">
        <f>графік!K207</f>
        <v/>
      </c>
      <c r="J201" s="194" t="str">
        <f>графік!L207</f>
        <v/>
      </c>
      <c r="K201" s="194" t="str">
        <f>графік!M207</f>
        <v/>
      </c>
      <c r="L201" s="194" t="str">
        <f>графік!N207</f>
        <v/>
      </c>
      <c r="M201" s="194" t="str">
        <f>графік!O207</f>
        <v/>
      </c>
      <c r="N201" s="194" t="str">
        <f>графік!P207</f>
        <v/>
      </c>
      <c r="O201" s="194" t="str">
        <f>графік!Q207</f>
        <v/>
      </c>
      <c r="P201" s="194" t="str">
        <f>графік!R207</f>
        <v/>
      </c>
      <c r="Q201" s="209" t="str">
        <f>графік!S207</f>
        <v/>
      </c>
      <c r="R201" s="194" t="str">
        <f>графік!T207</f>
        <v/>
      </c>
    </row>
    <row r="202" spans="1:18" x14ac:dyDescent="0.35">
      <c r="A202" s="40" t="str">
        <f>графік!A208</f>
        <v/>
      </c>
      <c r="B202" s="42" t="str">
        <f ca="1">графік!C208</f>
        <v xml:space="preserve"> </v>
      </c>
      <c r="C202" s="41" t="str">
        <f>графік!D208</f>
        <v/>
      </c>
      <c r="D202" s="194" t="str">
        <f>графік!F208</f>
        <v/>
      </c>
      <c r="E202" s="193" t="str">
        <f>графік!G208</f>
        <v/>
      </c>
      <c r="F202" s="194" t="str">
        <f>графік!H208</f>
        <v/>
      </c>
      <c r="G202" s="194" t="str">
        <f>графік!I208</f>
        <v/>
      </c>
      <c r="H202" s="194" t="str">
        <f>графік!J208</f>
        <v/>
      </c>
      <c r="I202" s="194" t="str">
        <f>графік!K208</f>
        <v/>
      </c>
      <c r="J202" s="194" t="str">
        <f>графік!L208</f>
        <v/>
      </c>
      <c r="K202" s="194" t="str">
        <f>графік!M208</f>
        <v/>
      </c>
      <c r="L202" s="194" t="str">
        <f>графік!N208</f>
        <v/>
      </c>
      <c r="M202" s="194" t="str">
        <f>графік!O208</f>
        <v/>
      </c>
      <c r="N202" s="194" t="str">
        <f>графік!P208</f>
        <v/>
      </c>
      <c r="O202" s="194" t="str">
        <f>графік!Q208</f>
        <v/>
      </c>
      <c r="P202" s="194" t="str">
        <f>графік!R208</f>
        <v/>
      </c>
      <c r="Q202" s="209" t="str">
        <f>графік!S208</f>
        <v/>
      </c>
      <c r="R202" s="194" t="str">
        <f>графік!T208</f>
        <v/>
      </c>
    </row>
    <row r="203" spans="1:18" x14ac:dyDescent="0.35">
      <c r="A203" s="40" t="str">
        <f>графік!A209</f>
        <v/>
      </c>
      <c r="B203" s="42" t="str">
        <f ca="1">графік!C209</f>
        <v xml:space="preserve"> </v>
      </c>
      <c r="C203" s="41" t="str">
        <f>графік!D209</f>
        <v/>
      </c>
      <c r="D203" s="194" t="str">
        <f>графік!F209</f>
        <v/>
      </c>
      <c r="E203" s="193" t="str">
        <f>графік!G209</f>
        <v/>
      </c>
      <c r="F203" s="194" t="str">
        <f>графік!H209</f>
        <v/>
      </c>
      <c r="G203" s="194" t="str">
        <f>графік!I209</f>
        <v/>
      </c>
      <c r="H203" s="194" t="str">
        <f>графік!J209</f>
        <v/>
      </c>
      <c r="I203" s="194" t="str">
        <f>графік!K209</f>
        <v/>
      </c>
      <c r="J203" s="194" t="str">
        <f>графік!L209</f>
        <v/>
      </c>
      <c r="K203" s="194" t="str">
        <f>графік!M209</f>
        <v/>
      </c>
      <c r="L203" s="194" t="str">
        <f>графік!N209</f>
        <v/>
      </c>
      <c r="M203" s="194" t="str">
        <f>графік!O209</f>
        <v/>
      </c>
      <c r="N203" s="194" t="str">
        <f>графік!P209</f>
        <v/>
      </c>
      <c r="O203" s="194" t="str">
        <f>графік!Q209</f>
        <v/>
      </c>
      <c r="P203" s="194" t="str">
        <f>графік!R209</f>
        <v/>
      </c>
      <c r="Q203" s="209" t="str">
        <f>графік!S209</f>
        <v/>
      </c>
      <c r="R203" s="194" t="str">
        <f>графік!T209</f>
        <v/>
      </c>
    </row>
    <row r="204" spans="1:18" x14ac:dyDescent="0.35">
      <c r="A204" s="40" t="str">
        <f>графік!A210</f>
        <v/>
      </c>
      <c r="B204" s="42" t="str">
        <f ca="1">графік!C210</f>
        <v xml:space="preserve"> </v>
      </c>
      <c r="C204" s="41" t="str">
        <f>графік!D210</f>
        <v/>
      </c>
      <c r="D204" s="194" t="str">
        <f>графік!F210</f>
        <v/>
      </c>
      <c r="E204" s="193" t="str">
        <f>графік!G210</f>
        <v/>
      </c>
      <c r="F204" s="194" t="str">
        <f>графік!H210</f>
        <v/>
      </c>
      <c r="G204" s="194" t="str">
        <f>графік!I210</f>
        <v/>
      </c>
      <c r="H204" s="194" t="str">
        <f>графік!J210</f>
        <v/>
      </c>
      <c r="I204" s="194" t="str">
        <f>графік!K210</f>
        <v/>
      </c>
      <c r="J204" s="194" t="str">
        <f>графік!L210</f>
        <v/>
      </c>
      <c r="K204" s="194" t="str">
        <f>графік!M210</f>
        <v/>
      </c>
      <c r="L204" s="194" t="str">
        <f>графік!N210</f>
        <v/>
      </c>
      <c r="M204" s="194" t="str">
        <f>графік!O210</f>
        <v/>
      </c>
      <c r="N204" s="194" t="str">
        <f>графік!P210</f>
        <v/>
      </c>
      <c r="O204" s="194" t="str">
        <f>графік!Q210</f>
        <v/>
      </c>
      <c r="P204" s="194" t="str">
        <f>графік!R210</f>
        <v/>
      </c>
      <c r="Q204" s="209" t="str">
        <f>графік!S210</f>
        <v/>
      </c>
      <c r="R204" s="194" t="str">
        <f>графік!T210</f>
        <v/>
      </c>
    </row>
    <row r="205" spans="1:18" x14ac:dyDescent="0.35">
      <c r="A205" s="40" t="str">
        <f>графік!A211</f>
        <v/>
      </c>
      <c r="B205" s="42" t="str">
        <f ca="1">графік!C211</f>
        <v xml:space="preserve"> </v>
      </c>
      <c r="C205" s="41" t="str">
        <f>графік!D211</f>
        <v/>
      </c>
      <c r="D205" s="194" t="str">
        <f>графік!F211</f>
        <v/>
      </c>
      <c r="E205" s="193" t="str">
        <f>графік!G211</f>
        <v/>
      </c>
      <c r="F205" s="194" t="str">
        <f>графік!H211</f>
        <v/>
      </c>
      <c r="G205" s="194" t="str">
        <f>графік!I211</f>
        <v/>
      </c>
      <c r="H205" s="194" t="str">
        <f>графік!J211</f>
        <v/>
      </c>
      <c r="I205" s="194" t="str">
        <f>графік!K211</f>
        <v/>
      </c>
      <c r="J205" s="194" t="str">
        <f>графік!L211</f>
        <v/>
      </c>
      <c r="K205" s="194" t="str">
        <f>графік!M211</f>
        <v/>
      </c>
      <c r="L205" s="194" t="str">
        <f>графік!N211</f>
        <v/>
      </c>
      <c r="M205" s="194" t="str">
        <f>графік!O211</f>
        <v/>
      </c>
      <c r="N205" s="194" t="str">
        <f>графік!P211</f>
        <v/>
      </c>
      <c r="O205" s="194" t="str">
        <f>графік!Q211</f>
        <v/>
      </c>
      <c r="P205" s="194" t="str">
        <f>графік!R211</f>
        <v/>
      </c>
      <c r="Q205" s="209" t="str">
        <f>графік!S211</f>
        <v/>
      </c>
      <c r="R205" s="194" t="str">
        <f>графік!T211</f>
        <v/>
      </c>
    </row>
    <row r="206" spans="1:18" x14ac:dyDescent="0.35">
      <c r="A206" s="40" t="str">
        <f>графік!A212</f>
        <v/>
      </c>
      <c r="B206" s="42" t="str">
        <f ca="1">графік!C212</f>
        <v xml:space="preserve"> </v>
      </c>
      <c r="C206" s="41" t="str">
        <f>графік!D212</f>
        <v/>
      </c>
      <c r="D206" s="194" t="str">
        <f>графік!F212</f>
        <v/>
      </c>
      <c r="E206" s="193" t="str">
        <f>графік!G212</f>
        <v/>
      </c>
      <c r="F206" s="194" t="str">
        <f>графік!H212</f>
        <v/>
      </c>
      <c r="G206" s="194" t="str">
        <f>графік!I212</f>
        <v/>
      </c>
      <c r="H206" s="194" t="str">
        <f>графік!J212</f>
        <v/>
      </c>
      <c r="I206" s="194" t="str">
        <f>графік!K212</f>
        <v/>
      </c>
      <c r="J206" s="194" t="str">
        <f>графік!L212</f>
        <v/>
      </c>
      <c r="K206" s="194" t="str">
        <f>графік!M212</f>
        <v/>
      </c>
      <c r="L206" s="194" t="str">
        <f>графік!N212</f>
        <v/>
      </c>
      <c r="M206" s="194" t="str">
        <f>графік!O212</f>
        <v/>
      </c>
      <c r="N206" s="194" t="str">
        <f>графік!P212</f>
        <v/>
      </c>
      <c r="O206" s="194" t="str">
        <f>графік!Q212</f>
        <v/>
      </c>
      <c r="P206" s="194" t="str">
        <f>графік!R212</f>
        <v/>
      </c>
      <c r="Q206" s="209" t="str">
        <f>графік!S212</f>
        <v/>
      </c>
      <c r="R206" s="194" t="str">
        <f>графік!T212</f>
        <v/>
      </c>
    </row>
    <row r="207" spans="1:18" x14ac:dyDescent="0.35">
      <c r="A207" s="40" t="str">
        <f>графік!A213</f>
        <v/>
      </c>
      <c r="B207" s="42" t="str">
        <f ca="1">графік!C213</f>
        <v xml:space="preserve"> </v>
      </c>
      <c r="C207" s="41" t="str">
        <f>графік!D213</f>
        <v/>
      </c>
      <c r="D207" s="194" t="str">
        <f>графік!F213</f>
        <v/>
      </c>
      <c r="E207" s="193" t="str">
        <f>графік!G213</f>
        <v/>
      </c>
      <c r="F207" s="194" t="str">
        <f>графік!H213</f>
        <v/>
      </c>
      <c r="G207" s="194" t="str">
        <f>графік!I213</f>
        <v/>
      </c>
      <c r="H207" s="194" t="str">
        <f>графік!J213</f>
        <v/>
      </c>
      <c r="I207" s="194" t="str">
        <f>графік!K213</f>
        <v/>
      </c>
      <c r="J207" s="194" t="str">
        <f>графік!L213</f>
        <v/>
      </c>
      <c r="K207" s="194" t="str">
        <f>графік!M213</f>
        <v/>
      </c>
      <c r="L207" s="194" t="str">
        <f>графік!N213</f>
        <v/>
      </c>
      <c r="M207" s="194" t="str">
        <f>графік!O213</f>
        <v/>
      </c>
      <c r="N207" s="194" t="str">
        <f>графік!P213</f>
        <v/>
      </c>
      <c r="O207" s="194" t="str">
        <f>графік!Q213</f>
        <v/>
      </c>
      <c r="P207" s="194" t="str">
        <f>графік!R213</f>
        <v/>
      </c>
      <c r="Q207" s="209" t="str">
        <f>графік!S213</f>
        <v/>
      </c>
      <c r="R207" s="194" t="str">
        <f>графік!T213</f>
        <v/>
      </c>
    </row>
    <row r="208" spans="1:18" x14ac:dyDescent="0.35">
      <c r="A208" s="40" t="str">
        <f>графік!A214</f>
        <v/>
      </c>
      <c r="B208" s="42" t="str">
        <f ca="1">графік!C214</f>
        <v xml:space="preserve"> </v>
      </c>
      <c r="C208" s="41" t="str">
        <f>графік!D214</f>
        <v/>
      </c>
      <c r="D208" s="194" t="str">
        <f>графік!F214</f>
        <v/>
      </c>
      <c r="E208" s="193" t="str">
        <f>графік!G214</f>
        <v/>
      </c>
      <c r="F208" s="194" t="str">
        <f>графік!H214</f>
        <v/>
      </c>
      <c r="G208" s="194" t="str">
        <f>графік!I214</f>
        <v/>
      </c>
      <c r="H208" s="194" t="str">
        <f>графік!J214</f>
        <v/>
      </c>
      <c r="I208" s="194" t="str">
        <f>графік!K214</f>
        <v/>
      </c>
      <c r="J208" s="194" t="str">
        <f>графік!L214</f>
        <v/>
      </c>
      <c r="K208" s="194" t="str">
        <f>графік!M214</f>
        <v/>
      </c>
      <c r="L208" s="194" t="str">
        <f>графік!N214</f>
        <v/>
      </c>
      <c r="M208" s="194" t="str">
        <f>графік!O214</f>
        <v/>
      </c>
      <c r="N208" s="194" t="str">
        <f>графік!P214</f>
        <v/>
      </c>
      <c r="O208" s="194" t="str">
        <f>графік!Q214</f>
        <v/>
      </c>
      <c r="P208" s="194" t="str">
        <f>графік!R214</f>
        <v/>
      </c>
      <c r="Q208" s="209" t="str">
        <f>графік!S214</f>
        <v/>
      </c>
      <c r="R208" s="194" t="str">
        <f>графік!T214</f>
        <v/>
      </c>
    </row>
    <row r="209" spans="1:18" x14ac:dyDescent="0.35">
      <c r="A209" s="40" t="str">
        <f>графік!A215</f>
        <v/>
      </c>
      <c r="B209" s="42" t="str">
        <f ca="1">графік!C215</f>
        <v xml:space="preserve"> </v>
      </c>
      <c r="C209" s="41" t="str">
        <f>графік!D215</f>
        <v/>
      </c>
      <c r="D209" s="194" t="str">
        <f>графік!F215</f>
        <v/>
      </c>
      <c r="E209" s="193" t="str">
        <f>графік!G215</f>
        <v/>
      </c>
      <c r="F209" s="194" t="str">
        <f>графік!H215</f>
        <v/>
      </c>
      <c r="G209" s="194" t="str">
        <f>графік!I215</f>
        <v/>
      </c>
      <c r="H209" s="194" t="str">
        <f>графік!J215</f>
        <v/>
      </c>
      <c r="I209" s="194" t="str">
        <f>графік!K215</f>
        <v/>
      </c>
      <c r="J209" s="194" t="str">
        <f>графік!L215</f>
        <v/>
      </c>
      <c r="K209" s="194" t="str">
        <f>графік!M215</f>
        <v/>
      </c>
      <c r="L209" s="194" t="str">
        <f>графік!N215</f>
        <v/>
      </c>
      <c r="M209" s="194" t="str">
        <f>графік!O215</f>
        <v/>
      </c>
      <c r="N209" s="194" t="str">
        <f>графік!P215</f>
        <v/>
      </c>
      <c r="O209" s="194" t="str">
        <f>графік!Q215</f>
        <v/>
      </c>
      <c r="P209" s="194" t="str">
        <f>графік!R215</f>
        <v/>
      </c>
      <c r="Q209" s="209" t="str">
        <f>графік!S215</f>
        <v/>
      </c>
      <c r="R209" s="194" t="str">
        <f>графік!T215</f>
        <v/>
      </c>
    </row>
    <row r="210" spans="1:18" x14ac:dyDescent="0.35">
      <c r="A210" s="40" t="str">
        <f>графік!A216</f>
        <v/>
      </c>
      <c r="B210" s="42" t="str">
        <f ca="1">графік!C216</f>
        <v xml:space="preserve"> </v>
      </c>
      <c r="C210" s="41" t="str">
        <f>графік!D216</f>
        <v/>
      </c>
      <c r="D210" s="194" t="str">
        <f>графік!F216</f>
        <v/>
      </c>
      <c r="E210" s="193" t="str">
        <f>графік!G216</f>
        <v/>
      </c>
      <c r="F210" s="194" t="str">
        <f>графік!H216</f>
        <v/>
      </c>
      <c r="G210" s="194" t="str">
        <f>графік!I216</f>
        <v/>
      </c>
      <c r="H210" s="194" t="str">
        <f>графік!J216</f>
        <v/>
      </c>
      <c r="I210" s="194" t="str">
        <f>графік!K216</f>
        <v/>
      </c>
      <c r="J210" s="194" t="str">
        <f>графік!L216</f>
        <v/>
      </c>
      <c r="K210" s="194" t="str">
        <f>графік!M216</f>
        <v/>
      </c>
      <c r="L210" s="194" t="str">
        <f>графік!N216</f>
        <v/>
      </c>
      <c r="M210" s="194" t="str">
        <f>графік!O216</f>
        <v/>
      </c>
      <c r="N210" s="194" t="str">
        <f>графік!P216</f>
        <v/>
      </c>
      <c r="O210" s="194" t="str">
        <f>графік!Q216</f>
        <v/>
      </c>
      <c r="P210" s="194" t="str">
        <f>графік!R216</f>
        <v/>
      </c>
      <c r="Q210" s="209" t="str">
        <f>графік!S216</f>
        <v/>
      </c>
      <c r="R210" s="194" t="str">
        <f>графік!T216</f>
        <v/>
      </c>
    </row>
    <row r="211" spans="1:18" x14ac:dyDescent="0.35">
      <c r="A211" s="40" t="str">
        <f>графік!A217</f>
        <v/>
      </c>
      <c r="B211" s="42" t="str">
        <f ca="1">графік!C217</f>
        <v xml:space="preserve"> </v>
      </c>
      <c r="C211" s="41" t="str">
        <f>графік!D217</f>
        <v/>
      </c>
      <c r="D211" s="194" t="str">
        <f>графік!F217</f>
        <v/>
      </c>
      <c r="E211" s="193" t="str">
        <f>графік!G217</f>
        <v/>
      </c>
      <c r="F211" s="194" t="str">
        <f>графік!H217</f>
        <v/>
      </c>
      <c r="G211" s="194" t="str">
        <f>графік!I217</f>
        <v/>
      </c>
      <c r="H211" s="194" t="str">
        <f>графік!J217</f>
        <v/>
      </c>
      <c r="I211" s="194" t="str">
        <f>графік!K217</f>
        <v/>
      </c>
      <c r="J211" s="194" t="str">
        <f>графік!L217</f>
        <v/>
      </c>
      <c r="K211" s="194" t="str">
        <f>графік!M217</f>
        <v/>
      </c>
      <c r="L211" s="194" t="str">
        <f>графік!N217</f>
        <v/>
      </c>
      <c r="M211" s="194" t="str">
        <f>графік!O217</f>
        <v/>
      </c>
      <c r="N211" s="194" t="str">
        <f>графік!P217</f>
        <v/>
      </c>
      <c r="O211" s="194" t="str">
        <f>графік!Q217</f>
        <v/>
      </c>
      <c r="P211" s="194" t="str">
        <f>графік!R217</f>
        <v/>
      </c>
      <c r="Q211" s="209" t="str">
        <f>графік!S217</f>
        <v/>
      </c>
      <c r="R211" s="194" t="str">
        <f>графік!T217</f>
        <v/>
      </c>
    </row>
    <row r="212" spans="1:18" x14ac:dyDescent="0.35">
      <c r="A212" s="40" t="str">
        <f>графік!A218</f>
        <v/>
      </c>
      <c r="B212" s="42" t="str">
        <f ca="1">графік!C218</f>
        <v xml:space="preserve"> </v>
      </c>
      <c r="C212" s="41" t="str">
        <f>графік!D218</f>
        <v/>
      </c>
      <c r="D212" s="194" t="str">
        <f>графік!F218</f>
        <v/>
      </c>
      <c r="E212" s="193" t="str">
        <f>графік!G218</f>
        <v/>
      </c>
      <c r="F212" s="194" t="str">
        <f>графік!H218</f>
        <v/>
      </c>
      <c r="G212" s="194" t="str">
        <f>графік!I218</f>
        <v/>
      </c>
      <c r="H212" s="194" t="str">
        <f>графік!J218</f>
        <v/>
      </c>
      <c r="I212" s="194" t="str">
        <f>графік!K218</f>
        <v/>
      </c>
      <c r="J212" s="194" t="str">
        <f>графік!L218</f>
        <v/>
      </c>
      <c r="K212" s="194" t="str">
        <f>графік!M218</f>
        <v/>
      </c>
      <c r="L212" s="194" t="str">
        <f>графік!N218</f>
        <v/>
      </c>
      <c r="M212" s="194" t="str">
        <f>графік!O218</f>
        <v/>
      </c>
      <c r="N212" s="194" t="str">
        <f>графік!P218</f>
        <v/>
      </c>
      <c r="O212" s="194" t="str">
        <f>графік!Q218</f>
        <v/>
      </c>
      <c r="P212" s="194" t="str">
        <f>графік!R218</f>
        <v/>
      </c>
      <c r="Q212" s="209" t="str">
        <f>графік!S218</f>
        <v/>
      </c>
      <c r="R212" s="194" t="str">
        <f>графік!T218</f>
        <v/>
      </c>
    </row>
    <row r="213" spans="1:18" x14ac:dyDescent="0.35">
      <c r="A213" s="40" t="str">
        <f>графік!A219</f>
        <v/>
      </c>
      <c r="B213" s="42" t="str">
        <f ca="1">графік!C219</f>
        <v xml:space="preserve"> </v>
      </c>
      <c r="C213" s="41" t="str">
        <f>графік!D219</f>
        <v/>
      </c>
      <c r="D213" s="194" t="str">
        <f>графік!F219</f>
        <v/>
      </c>
      <c r="E213" s="193" t="str">
        <f>графік!G219</f>
        <v/>
      </c>
      <c r="F213" s="194" t="str">
        <f>графік!H219</f>
        <v/>
      </c>
      <c r="G213" s="194" t="str">
        <f>графік!I219</f>
        <v/>
      </c>
      <c r="H213" s="194" t="str">
        <f>графік!J219</f>
        <v/>
      </c>
      <c r="I213" s="194" t="str">
        <f>графік!K219</f>
        <v/>
      </c>
      <c r="J213" s="194" t="str">
        <f>графік!L219</f>
        <v/>
      </c>
      <c r="K213" s="194" t="str">
        <f>графік!M219</f>
        <v/>
      </c>
      <c r="L213" s="194" t="str">
        <f>графік!N219</f>
        <v/>
      </c>
      <c r="M213" s="194" t="str">
        <f>графік!O219</f>
        <v/>
      </c>
      <c r="N213" s="194" t="str">
        <f>графік!P219</f>
        <v/>
      </c>
      <c r="O213" s="194" t="str">
        <f>графік!Q219</f>
        <v/>
      </c>
      <c r="P213" s="194" t="str">
        <f>графік!R219</f>
        <v/>
      </c>
      <c r="Q213" s="209" t="str">
        <f>графік!S219</f>
        <v/>
      </c>
      <c r="R213" s="194" t="str">
        <f>графік!T219</f>
        <v/>
      </c>
    </row>
    <row r="214" spans="1:18" x14ac:dyDescent="0.35">
      <c r="A214" s="40" t="str">
        <f>графік!A220</f>
        <v/>
      </c>
      <c r="B214" s="42" t="str">
        <f ca="1">графік!C220</f>
        <v xml:space="preserve"> </v>
      </c>
      <c r="C214" s="41" t="str">
        <f>графік!D220</f>
        <v/>
      </c>
      <c r="D214" s="194" t="str">
        <f>графік!F220</f>
        <v/>
      </c>
      <c r="E214" s="193" t="str">
        <f>графік!G220</f>
        <v/>
      </c>
      <c r="F214" s="194" t="str">
        <f>графік!H220</f>
        <v/>
      </c>
      <c r="G214" s="194" t="str">
        <f>графік!I220</f>
        <v/>
      </c>
      <c r="H214" s="194" t="str">
        <f>графік!J220</f>
        <v/>
      </c>
      <c r="I214" s="194" t="str">
        <f>графік!K220</f>
        <v/>
      </c>
      <c r="J214" s="194" t="str">
        <f>графік!L220</f>
        <v/>
      </c>
      <c r="K214" s="194" t="str">
        <f>графік!M220</f>
        <v/>
      </c>
      <c r="L214" s="194" t="str">
        <f>графік!N220</f>
        <v/>
      </c>
      <c r="M214" s="194" t="str">
        <f>графік!O220</f>
        <v/>
      </c>
      <c r="N214" s="194" t="str">
        <f>графік!P220</f>
        <v/>
      </c>
      <c r="O214" s="194" t="str">
        <f>графік!Q220</f>
        <v/>
      </c>
      <c r="P214" s="194" t="str">
        <f>графік!R220</f>
        <v/>
      </c>
      <c r="Q214" s="209" t="str">
        <f>графік!S220</f>
        <v/>
      </c>
      <c r="R214" s="194" t="str">
        <f>графік!T220</f>
        <v/>
      </c>
    </row>
    <row r="215" spans="1:18" x14ac:dyDescent="0.35">
      <c r="A215" s="40" t="str">
        <f>графік!A221</f>
        <v/>
      </c>
      <c r="B215" s="42" t="str">
        <f ca="1">графік!C221</f>
        <v xml:space="preserve"> </v>
      </c>
      <c r="C215" s="41" t="str">
        <f>графік!D221</f>
        <v/>
      </c>
      <c r="D215" s="194" t="str">
        <f>графік!F221</f>
        <v/>
      </c>
      <c r="E215" s="193" t="str">
        <f>графік!G221</f>
        <v/>
      </c>
      <c r="F215" s="194" t="str">
        <f>графік!H221</f>
        <v/>
      </c>
      <c r="G215" s="194" t="str">
        <f>графік!I221</f>
        <v/>
      </c>
      <c r="H215" s="194" t="str">
        <f>графік!J221</f>
        <v/>
      </c>
      <c r="I215" s="194" t="str">
        <f>графік!K221</f>
        <v/>
      </c>
      <c r="J215" s="194" t="str">
        <f>графік!L221</f>
        <v/>
      </c>
      <c r="K215" s="194" t="str">
        <f>графік!M221</f>
        <v/>
      </c>
      <c r="L215" s="194" t="str">
        <f>графік!N221</f>
        <v/>
      </c>
      <c r="M215" s="194" t="str">
        <f>графік!O221</f>
        <v/>
      </c>
      <c r="N215" s="194" t="str">
        <f>графік!P221</f>
        <v/>
      </c>
      <c r="O215" s="194" t="str">
        <f>графік!Q221</f>
        <v/>
      </c>
      <c r="P215" s="194" t="str">
        <f>графік!R221</f>
        <v/>
      </c>
      <c r="Q215" s="209" t="str">
        <f>графік!S221</f>
        <v/>
      </c>
      <c r="R215" s="194" t="str">
        <f>графік!T221</f>
        <v/>
      </c>
    </row>
    <row r="216" spans="1:18" x14ac:dyDescent="0.35">
      <c r="A216" s="40" t="str">
        <f>графік!A222</f>
        <v/>
      </c>
      <c r="B216" s="42" t="str">
        <f ca="1">графік!C222</f>
        <v xml:space="preserve"> </v>
      </c>
      <c r="C216" s="41" t="str">
        <f>графік!D222</f>
        <v/>
      </c>
      <c r="D216" s="194" t="str">
        <f>графік!F222</f>
        <v/>
      </c>
      <c r="E216" s="193" t="str">
        <f>графік!G222</f>
        <v/>
      </c>
      <c r="F216" s="194" t="str">
        <f>графік!H222</f>
        <v/>
      </c>
      <c r="G216" s="194" t="str">
        <f>графік!I222</f>
        <v/>
      </c>
      <c r="H216" s="194" t="str">
        <f>графік!J222</f>
        <v/>
      </c>
      <c r="I216" s="194" t="str">
        <f>графік!K222</f>
        <v/>
      </c>
      <c r="J216" s="194" t="str">
        <f>графік!L222</f>
        <v/>
      </c>
      <c r="K216" s="194" t="str">
        <f>графік!M222</f>
        <v/>
      </c>
      <c r="L216" s="194" t="str">
        <f>графік!N222</f>
        <v/>
      </c>
      <c r="M216" s="194" t="str">
        <f>графік!O222</f>
        <v/>
      </c>
      <c r="N216" s="194" t="str">
        <f>графік!P222</f>
        <v/>
      </c>
      <c r="O216" s="194" t="str">
        <f>графік!Q222</f>
        <v/>
      </c>
      <c r="P216" s="194" t="str">
        <f>графік!R222</f>
        <v/>
      </c>
      <c r="Q216" s="209" t="str">
        <f>графік!S222</f>
        <v/>
      </c>
      <c r="R216" s="194" t="str">
        <f>графік!T222</f>
        <v/>
      </c>
    </row>
    <row r="217" spans="1:18" x14ac:dyDescent="0.35">
      <c r="A217" s="40" t="str">
        <f>графік!A223</f>
        <v/>
      </c>
      <c r="B217" s="42" t="str">
        <f ca="1">графік!C223</f>
        <v xml:space="preserve"> </v>
      </c>
      <c r="C217" s="41" t="str">
        <f>графік!D223</f>
        <v/>
      </c>
      <c r="D217" s="194" t="str">
        <f>графік!F223</f>
        <v/>
      </c>
      <c r="E217" s="193" t="str">
        <f>графік!G223</f>
        <v/>
      </c>
      <c r="F217" s="194" t="str">
        <f>графік!H223</f>
        <v/>
      </c>
      <c r="G217" s="194" t="str">
        <f>графік!I223</f>
        <v/>
      </c>
      <c r="H217" s="194" t="str">
        <f>графік!J223</f>
        <v/>
      </c>
      <c r="I217" s="194" t="str">
        <f>графік!K223</f>
        <v/>
      </c>
      <c r="J217" s="194" t="str">
        <f>графік!L223</f>
        <v/>
      </c>
      <c r="K217" s="194" t="str">
        <f>графік!M223</f>
        <v/>
      </c>
      <c r="L217" s="194" t="str">
        <f>графік!N223</f>
        <v/>
      </c>
      <c r="M217" s="194" t="str">
        <f>графік!O223</f>
        <v/>
      </c>
      <c r="N217" s="194" t="str">
        <f>графік!P223</f>
        <v/>
      </c>
      <c r="O217" s="194" t="str">
        <f>графік!Q223</f>
        <v/>
      </c>
      <c r="P217" s="194" t="str">
        <f>графік!R223</f>
        <v/>
      </c>
      <c r="Q217" s="209" t="str">
        <f>графік!S223</f>
        <v/>
      </c>
      <c r="R217" s="194" t="str">
        <f>графік!T223</f>
        <v/>
      </c>
    </row>
    <row r="218" spans="1:18" x14ac:dyDescent="0.35">
      <c r="A218" s="40" t="str">
        <f>графік!A224</f>
        <v/>
      </c>
      <c r="B218" s="42" t="str">
        <f ca="1">графік!C224</f>
        <v xml:space="preserve"> </v>
      </c>
      <c r="C218" s="41" t="str">
        <f>графік!D224</f>
        <v/>
      </c>
      <c r="D218" s="194" t="str">
        <f>графік!F224</f>
        <v/>
      </c>
      <c r="E218" s="193" t="str">
        <f>графік!G224</f>
        <v/>
      </c>
      <c r="F218" s="194" t="str">
        <f>графік!H224</f>
        <v/>
      </c>
      <c r="G218" s="194" t="str">
        <f>графік!I224</f>
        <v/>
      </c>
      <c r="H218" s="194" t="str">
        <f>графік!J224</f>
        <v/>
      </c>
      <c r="I218" s="194" t="str">
        <f>графік!K224</f>
        <v/>
      </c>
      <c r="J218" s="194" t="str">
        <f>графік!L224</f>
        <v/>
      </c>
      <c r="K218" s="194" t="str">
        <f>графік!M224</f>
        <v/>
      </c>
      <c r="L218" s="194" t="str">
        <f>графік!N224</f>
        <v/>
      </c>
      <c r="M218" s="194" t="str">
        <f>графік!O224</f>
        <v/>
      </c>
      <c r="N218" s="194" t="str">
        <f>графік!P224</f>
        <v/>
      </c>
      <c r="O218" s="194" t="str">
        <f>графік!Q224</f>
        <v/>
      </c>
      <c r="P218" s="194" t="str">
        <f>графік!R224</f>
        <v/>
      </c>
      <c r="Q218" s="209" t="str">
        <f>графік!S224</f>
        <v/>
      </c>
      <c r="R218" s="194" t="str">
        <f>графік!T224</f>
        <v/>
      </c>
    </row>
    <row r="219" spans="1:18" x14ac:dyDescent="0.35">
      <c r="A219" s="40" t="str">
        <f>графік!A225</f>
        <v/>
      </c>
      <c r="B219" s="42" t="str">
        <f ca="1">графік!C225</f>
        <v xml:space="preserve"> </v>
      </c>
      <c r="C219" s="41" t="str">
        <f>графік!D225</f>
        <v/>
      </c>
      <c r="D219" s="194" t="str">
        <f>графік!F225</f>
        <v/>
      </c>
      <c r="E219" s="193" t="str">
        <f>графік!G225</f>
        <v/>
      </c>
      <c r="F219" s="194" t="str">
        <f>графік!H225</f>
        <v/>
      </c>
      <c r="G219" s="194" t="str">
        <f>графік!I225</f>
        <v/>
      </c>
      <c r="H219" s="194" t="str">
        <f>графік!J225</f>
        <v/>
      </c>
      <c r="I219" s="194" t="str">
        <f>графік!K225</f>
        <v/>
      </c>
      <c r="J219" s="194" t="str">
        <f>графік!L225</f>
        <v/>
      </c>
      <c r="K219" s="194" t="str">
        <f>графік!M225</f>
        <v/>
      </c>
      <c r="L219" s="194" t="str">
        <f>графік!N225</f>
        <v/>
      </c>
      <c r="M219" s="194" t="str">
        <f>графік!O225</f>
        <v/>
      </c>
      <c r="N219" s="194" t="str">
        <f>графік!P225</f>
        <v/>
      </c>
      <c r="O219" s="194" t="str">
        <f>графік!Q225</f>
        <v/>
      </c>
      <c r="P219" s="194" t="str">
        <f>графік!R225</f>
        <v/>
      </c>
      <c r="Q219" s="209" t="str">
        <f>графік!S225</f>
        <v/>
      </c>
      <c r="R219" s="194" t="str">
        <f>графік!T225</f>
        <v/>
      </c>
    </row>
    <row r="220" spans="1:18" x14ac:dyDescent="0.35">
      <c r="A220" s="40" t="str">
        <f>графік!A226</f>
        <v/>
      </c>
      <c r="B220" s="42" t="str">
        <f ca="1">графік!C226</f>
        <v xml:space="preserve"> </v>
      </c>
      <c r="C220" s="41" t="str">
        <f>графік!D226</f>
        <v/>
      </c>
      <c r="D220" s="194" t="str">
        <f>графік!F226</f>
        <v/>
      </c>
      <c r="E220" s="193" t="str">
        <f>графік!G226</f>
        <v/>
      </c>
      <c r="F220" s="194" t="str">
        <f>графік!H226</f>
        <v/>
      </c>
      <c r="G220" s="194" t="str">
        <f>графік!I226</f>
        <v/>
      </c>
      <c r="H220" s="194" t="str">
        <f>графік!J226</f>
        <v/>
      </c>
      <c r="I220" s="194" t="str">
        <f>графік!K226</f>
        <v/>
      </c>
      <c r="J220" s="194" t="str">
        <f>графік!L226</f>
        <v/>
      </c>
      <c r="K220" s="194" t="str">
        <f>графік!M226</f>
        <v/>
      </c>
      <c r="L220" s="194" t="str">
        <f>графік!N226</f>
        <v/>
      </c>
      <c r="M220" s="194" t="str">
        <f>графік!O226</f>
        <v/>
      </c>
      <c r="N220" s="194" t="str">
        <f>графік!P226</f>
        <v/>
      </c>
      <c r="O220" s="194" t="str">
        <f>графік!Q226</f>
        <v/>
      </c>
      <c r="P220" s="194" t="str">
        <f>графік!R226</f>
        <v/>
      </c>
      <c r="Q220" s="209" t="str">
        <f>графік!S226</f>
        <v/>
      </c>
      <c r="R220" s="194" t="str">
        <f>графік!T226</f>
        <v/>
      </c>
    </row>
    <row r="221" spans="1:18" x14ac:dyDescent="0.35">
      <c r="A221" s="40" t="str">
        <f>графік!A227</f>
        <v/>
      </c>
      <c r="B221" s="42" t="str">
        <f ca="1">графік!C227</f>
        <v xml:space="preserve"> </v>
      </c>
      <c r="C221" s="41" t="str">
        <f>графік!D227</f>
        <v/>
      </c>
      <c r="D221" s="194" t="str">
        <f>графік!F227</f>
        <v/>
      </c>
      <c r="E221" s="193" t="str">
        <f>графік!G227</f>
        <v/>
      </c>
      <c r="F221" s="194" t="str">
        <f>графік!H227</f>
        <v/>
      </c>
      <c r="G221" s="194" t="str">
        <f>графік!I227</f>
        <v/>
      </c>
      <c r="H221" s="194" t="str">
        <f>графік!J227</f>
        <v/>
      </c>
      <c r="I221" s="194" t="str">
        <f>графік!K227</f>
        <v/>
      </c>
      <c r="J221" s="194" t="str">
        <f>графік!L227</f>
        <v/>
      </c>
      <c r="K221" s="194" t="str">
        <f>графік!M227</f>
        <v/>
      </c>
      <c r="L221" s="194" t="str">
        <f>графік!N227</f>
        <v/>
      </c>
      <c r="M221" s="194" t="str">
        <f>графік!O227</f>
        <v/>
      </c>
      <c r="N221" s="194" t="str">
        <f>графік!P227</f>
        <v/>
      </c>
      <c r="O221" s="194" t="str">
        <f>графік!Q227</f>
        <v/>
      </c>
      <c r="P221" s="194" t="str">
        <f>графік!R227</f>
        <v/>
      </c>
      <c r="Q221" s="209" t="str">
        <f>графік!S227</f>
        <v/>
      </c>
      <c r="R221" s="194" t="str">
        <f>графік!T227</f>
        <v/>
      </c>
    </row>
    <row r="222" spans="1:18" x14ac:dyDescent="0.35">
      <c r="A222" s="40" t="str">
        <f>графік!A228</f>
        <v/>
      </c>
      <c r="B222" s="42" t="str">
        <f ca="1">графік!C228</f>
        <v xml:space="preserve"> </v>
      </c>
      <c r="C222" s="41" t="str">
        <f>графік!D228</f>
        <v/>
      </c>
      <c r="D222" s="194" t="str">
        <f>графік!F228</f>
        <v/>
      </c>
      <c r="E222" s="193" t="str">
        <f>графік!G228</f>
        <v/>
      </c>
      <c r="F222" s="194" t="str">
        <f>графік!H228</f>
        <v/>
      </c>
      <c r="G222" s="194" t="str">
        <f>графік!I228</f>
        <v/>
      </c>
      <c r="H222" s="194" t="str">
        <f>графік!J228</f>
        <v/>
      </c>
      <c r="I222" s="194" t="str">
        <f>графік!K228</f>
        <v/>
      </c>
      <c r="J222" s="194" t="str">
        <f>графік!L228</f>
        <v/>
      </c>
      <c r="K222" s="194" t="str">
        <f>графік!M228</f>
        <v/>
      </c>
      <c r="L222" s="194" t="str">
        <f>графік!N228</f>
        <v/>
      </c>
      <c r="M222" s="194" t="str">
        <f>графік!O228</f>
        <v/>
      </c>
      <c r="N222" s="194" t="str">
        <f>графік!P228</f>
        <v/>
      </c>
      <c r="O222" s="194" t="str">
        <f>графік!Q228</f>
        <v/>
      </c>
      <c r="P222" s="194" t="str">
        <f>графік!R228</f>
        <v/>
      </c>
      <c r="Q222" s="209" t="str">
        <f>графік!S228</f>
        <v/>
      </c>
      <c r="R222" s="194" t="str">
        <f>графік!T228</f>
        <v/>
      </c>
    </row>
    <row r="223" spans="1:18" x14ac:dyDescent="0.35">
      <c r="A223" s="40" t="str">
        <f>графік!A229</f>
        <v/>
      </c>
      <c r="B223" s="42" t="str">
        <f ca="1">графік!C229</f>
        <v xml:space="preserve"> </v>
      </c>
      <c r="C223" s="41" t="str">
        <f>графік!D229</f>
        <v/>
      </c>
      <c r="D223" s="194" t="str">
        <f>графік!F229</f>
        <v/>
      </c>
      <c r="E223" s="193" t="str">
        <f>графік!G229</f>
        <v/>
      </c>
      <c r="F223" s="194" t="str">
        <f>графік!H229</f>
        <v/>
      </c>
      <c r="G223" s="194" t="str">
        <f>графік!I229</f>
        <v/>
      </c>
      <c r="H223" s="194" t="str">
        <f>графік!J229</f>
        <v/>
      </c>
      <c r="I223" s="194" t="str">
        <f>графік!K229</f>
        <v/>
      </c>
      <c r="J223" s="194" t="str">
        <f>графік!L229</f>
        <v/>
      </c>
      <c r="K223" s="194" t="str">
        <f>графік!M229</f>
        <v/>
      </c>
      <c r="L223" s="194" t="str">
        <f>графік!N229</f>
        <v/>
      </c>
      <c r="M223" s="194" t="str">
        <f>графік!O229</f>
        <v/>
      </c>
      <c r="N223" s="194" t="str">
        <f>графік!P229</f>
        <v/>
      </c>
      <c r="O223" s="194" t="str">
        <f>графік!Q229</f>
        <v/>
      </c>
      <c r="P223" s="194" t="str">
        <f>графік!R229</f>
        <v/>
      </c>
      <c r="Q223" s="209" t="str">
        <f>графік!S229</f>
        <v/>
      </c>
      <c r="R223" s="194" t="str">
        <f>графік!T229</f>
        <v/>
      </c>
    </row>
    <row r="224" spans="1:18" x14ac:dyDescent="0.35">
      <c r="A224" s="40" t="str">
        <f>графік!A230</f>
        <v/>
      </c>
      <c r="B224" s="42" t="str">
        <f ca="1">графік!C230</f>
        <v xml:space="preserve"> </v>
      </c>
      <c r="C224" s="41" t="str">
        <f>графік!D230</f>
        <v/>
      </c>
      <c r="D224" s="194" t="str">
        <f>графік!F230</f>
        <v/>
      </c>
      <c r="E224" s="193" t="str">
        <f>графік!G230</f>
        <v/>
      </c>
      <c r="F224" s="194" t="str">
        <f>графік!H230</f>
        <v/>
      </c>
      <c r="G224" s="194" t="str">
        <f>графік!I230</f>
        <v/>
      </c>
      <c r="H224" s="194" t="str">
        <f>графік!J230</f>
        <v/>
      </c>
      <c r="I224" s="194" t="str">
        <f>графік!K230</f>
        <v/>
      </c>
      <c r="J224" s="194" t="str">
        <f>графік!L230</f>
        <v/>
      </c>
      <c r="K224" s="194" t="str">
        <f>графік!M230</f>
        <v/>
      </c>
      <c r="L224" s="194" t="str">
        <f>графік!N230</f>
        <v/>
      </c>
      <c r="M224" s="194" t="str">
        <f>графік!O230</f>
        <v/>
      </c>
      <c r="N224" s="194" t="str">
        <f>графік!P230</f>
        <v/>
      </c>
      <c r="O224" s="194" t="str">
        <f>графік!Q230</f>
        <v/>
      </c>
      <c r="P224" s="194" t="str">
        <f>графік!R230</f>
        <v/>
      </c>
      <c r="Q224" s="209" t="str">
        <f>графік!S230</f>
        <v/>
      </c>
      <c r="R224" s="194" t="str">
        <f>графік!T230</f>
        <v/>
      </c>
    </row>
    <row r="225" spans="1:18" x14ac:dyDescent="0.35">
      <c r="A225" s="40" t="str">
        <f>графік!A231</f>
        <v/>
      </c>
      <c r="B225" s="42" t="str">
        <f ca="1">графік!C231</f>
        <v xml:space="preserve"> </v>
      </c>
      <c r="C225" s="41" t="str">
        <f>графік!D231</f>
        <v/>
      </c>
      <c r="D225" s="194" t="str">
        <f>графік!F231</f>
        <v/>
      </c>
      <c r="E225" s="193" t="str">
        <f>графік!G231</f>
        <v/>
      </c>
      <c r="F225" s="194" t="str">
        <f>графік!H231</f>
        <v/>
      </c>
      <c r="G225" s="194" t="str">
        <f>графік!I231</f>
        <v/>
      </c>
      <c r="H225" s="194" t="str">
        <f>графік!J231</f>
        <v/>
      </c>
      <c r="I225" s="194" t="str">
        <f>графік!K231</f>
        <v/>
      </c>
      <c r="J225" s="194" t="str">
        <f>графік!L231</f>
        <v/>
      </c>
      <c r="K225" s="194" t="str">
        <f>графік!M231</f>
        <v/>
      </c>
      <c r="L225" s="194" t="str">
        <f>графік!N231</f>
        <v/>
      </c>
      <c r="M225" s="194" t="str">
        <f>графік!O231</f>
        <v/>
      </c>
      <c r="N225" s="194" t="str">
        <f>графік!P231</f>
        <v/>
      </c>
      <c r="O225" s="194" t="str">
        <f>графік!Q231</f>
        <v/>
      </c>
      <c r="P225" s="194" t="str">
        <f>графік!R231</f>
        <v/>
      </c>
      <c r="Q225" s="209" t="str">
        <f>графік!S231</f>
        <v/>
      </c>
      <c r="R225" s="194" t="str">
        <f>графік!T231</f>
        <v/>
      </c>
    </row>
    <row r="226" spans="1:18" x14ac:dyDescent="0.35">
      <c r="A226" s="40" t="str">
        <f>графік!A232</f>
        <v/>
      </c>
      <c r="B226" s="42" t="str">
        <f ca="1">графік!C232</f>
        <v xml:space="preserve"> </v>
      </c>
      <c r="C226" s="41" t="str">
        <f>графік!D232</f>
        <v/>
      </c>
      <c r="D226" s="194" t="str">
        <f>графік!F232</f>
        <v/>
      </c>
      <c r="E226" s="193" t="str">
        <f>графік!G232</f>
        <v/>
      </c>
      <c r="F226" s="194" t="str">
        <f>графік!H232</f>
        <v/>
      </c>
      <c r="G226" s="194" t="str">
        <f>графік!I232</f>
        <v/>
      </c>
      <c r="H226" s="194" t="str">
        <f>графік!J232</f>
        <v/>
      </c>
      <c r="I226" s="194" t="str">
        <f>графік!K232</f>
        <v/>
      </c>
      <c r="J226" s="194" t="str">
        <f>графік!L232</f>
        <v/>
      </c>
      <c r="K226" s="194" t="str">
        <f>графік!M232</f>
        <v/>
      </c>
      <c r="L226" s="194" t="str">
        <f>графік!N232</f>
        <v/>
      </c>
      <c r="M226" s="194" t="str">
        <f>графік!O232</f>
        <v/>
      </c>
      <c r="N226" s="194" t="str">
        <f>графік!P232</f>
        <v/>
      </c>
      <c r="O226" s="194" t="str">
        <f>графік!Q232</f>
        <v/>
      </c>
      <c r="P226" s="194" t="str">
        <f>графік!R232</f>
        <v/>
      </c>
      <c r="Q226" s="209" t="str">
        <f>графік!S232</f>
        <v/>
      </c>
      <c r="R226" s="194" t="str">
        <f>графік!T232</f>
        <v/>
      </c>
    </row>
    <row r="227" spans="1:18" x14ac:dyDescent="0.35">
      <c r="A227" s="40" t="str">
        <f>графік!A233</f>
        <v/>
      </c>
      <c r="B227" s="42" t="str">
        <f ca="1">графік!C233</f>
        <v xml:space="preserve"> </v>
      </c>
      <c r="C227" s="41" t="str">
        <f>графік!D233</f>
        <v/>
      </c>
      <c r="D227" s="194" t="str">
        <f>графік!F233</f>
        <v/>
      </c>
      <c r="E227" s="193" t="str">
        <f>графік!G233</f>
        <v/>
      </c>
      <c r="F227" s="194" t="str">
        <f>графік!H233</f>
        <v/>
      </c>
      <c r="G227" s="194" t="str">
        <f>графік!I233</f>
        <v/>
      </c>
      <c r="H227" s="194" t="str">
        <f>графік!J233</f>
        <v/>
      </c>
      <c r="I227" s="194" t="str">
        <f>графік!K233</f>
        <v/>
      </c>
      <c r="J227" s="194" t="str">
        <f>графік!L233</f>
        <v/>
      </c>
      <c r="K227" s="194" t="str">
        <f>графік!M233</f>
        <v/>
      </c>
      <c r="L227" s="194" t="str">
        <f>графік!N233</f>
        <v/>
      </c>
      <c r="M227" s="194" t="str">
        <f>графік!O233</f>
        <v/>
      </c>
      <c r="N227" s="194" t="str">
        <f>графік!P233</f>
        <v/>
      </c>
      <c r="O227" s="194" t="str">
        <f>графік!Q233</f>
        <v/>
      </c>
      <c r="P227" s="194" t="str">
        <f>графік!R233</f>
        <v/>
      </c>
      <c r="Q227" s="209" t="str">
        <f>графік!S233</f>
        <v/>
      </c>
      <c r="R227" s="194" t="str">
        <f>графік!T233</f>
        <v/>
      </c>
    </row>
    <row r="228" spans="1:18" x14ac:dyDescent="0.35">
      <c r="A228" s="40" t="str">
        <f>графік!A234</f>
        <v/>
      </c>
      <c r="B228" s="42" t="str">
        <f ca="1">графік!C234</f>
        <v xml:space="preserve"> </v>
      </c>
      <c r="C228" s="41" t="str">
        <f>графік!D234</f>
        <v/>
      </c>
      <c r="D228" s="194" t="str">
        <f>графік!F234</f>
        <v/>
      </c>
      <c r="E228" s="193" t="str">
        <f>графік!G234</f>
        <v/>
      </c>
      <c r="F228" s="194" t="str">
        <f>графік!H234</f>
        <v/>
      </c>
      <c r="G228" s="194" t="str">
        <f>графік!I234</f>
        <v/>
      </c>
      <c r="H228" s="194" t="str">
        <f>графік!J234</f>
        <v/>
      </c>
      <c r="I228" s="194" t="str">
        <f>графік!K234</f>
        <v/>
      </c>
      <c r="J228" s="194" t="str">
        <f>графік!L234</f>
        <v/>
      </c>
      <c r="K228" s="194" t="str">
        <f>графік!M234</f>
        <v/>
      </c>
      <c r="L228" s="194" t="str">
        <f>графік!N234</f>
        <v/>
      </c>
      <c r="M228" s="194" t="str">
        <f>графік!O234</f>
        <v/>
      </c>
      <c r="N228" s="194" t="str">
        <f>графік!P234</f>
        <v/>
      </c>
      <c r="O228" s="194" t="str">
        <f>графік!Q234</f>
        <v/>
      </c>
      <c r="P228" s="194" t="str">
        <f>графік!R234</f>
        <v/>
      </c>
      <c r="Q228" s="209" t="str">
        <f>графік!S234</f>
        <v/>
      </c>
      <c r="R228" s="194" t="str">
        <f>графік!T234</f>
        <v/>
      </c>
    </row>
    <row r="229" spans="1:18" x14ac:dyDescent="0.35">
      <c r="A229" s="40" t="str">
        <f>графік!A235</f>
        <v/>
      </c>
      <c r="B229" s="42" t="str">
        <f ca="1">графік!C235</f>
        <v xml:space="preserve"> </v>
      </c>
      <c r="C229" s="41" t="str">
        <f>графік!D235</f>
        <v/>
      </c>
      <c r="D229" s="194" t="str">
        <f>графік!F235</f>
        <v/>
      </c>
      <c r="E229" s="193" t="str">
        <f>графік!G235</f>
        <v/>
      </c>
      <c r="F229" s="194" t="str">
        <f>графік!H235</f>
        <v/>
      </c>
      <c r="G229" s="194" t="str">
        <f>графік!I235</f>
        <v/>
      </c>
      <c r="H229" s="194" t="str">
        <f>графік!J235</f>
        <v/>
      </c>
      <c r="I229" s="194" t="str">
        <f>графік!K235</f>
        <v/>
      </c>
      <c r="J229" s="194" t="str">
        <f>графік!L235</f>
        <v/>
      </c>
      <c r="K229" s="194" t="str">
        <f>графік!M235</f>
        <v/>
      </c>
      <c r="L229" s="194" t="str">
        <f>графік!N235</f>
        <v/>
      </c>
      <c r="M229" s="194" t="str">
        <f>графік!O235</f>
        <v/>
      </c>
      <c r="N229" s="194" t="str">
        <f>графік!P235</f>
        <v/>
      </c>
      <c r="O229" s="194" t="str">
        <f>графік!Q235</f>
        <v/>
      </c>
      <c r="P229" s="194" t="str">
        <f>графік!R235</f>
        <v/>
      </c>
      <c r="Q229" s="209" t="str">
        <f>графік!S235</f>
        <v/>
      </c>
      <c r="R229" s="194" t="str">
        <f>графік!T235</f>
        <v/>
      </c>
    </row>
    <row r="230" spans="1:18" x14ac:dyDescent="0.35">
      <c r="A230" s="40" t="str">
        <f>графік!A236</f>
        <v/>
      </c>
      <c r="B230" s="42" t="str">
        <f ca="1">графік!C236</f>
        <v xml:space="preserve"> </v>
      </c>
      <c r="C230" s="41" t="str">
        <f>графік!D236</f>
        <v/>
      </c>
      <c r="D230" s="194" t="str">
        <f>графік!F236</f>
        <v/>
      </c>
      <c r="E230" s="193" t="str">
        <f>графік!G236</f>
        <v/>
      </c>
      <c r="F230" s="194" t="str">
        <f>графік!H236</f>
        <v/>
      </c>
      <c r="G230" s="194" t="str">
        <f>графік!I236</f>
        <v/>
      </c>
      <c r="H230" s="194" t="str">
        <f>графік!J236</f>
        <v/>
      </c>
      <c r="I230" s="194" t="str">
        <f>графік!K236</f>
        <v/>
      </c>
      <c r="J230" s="194" t="str">
        <f>графік!L236</f>
        <v/>
      </c>
      <c r="K230" s="194" t="str">
        <f>графік!M236</f>
        <v/>
      </c>
      <c r="L230" s="194" t="str">
        <f>графік!N236</f>
        <v/>
      </c>
      <c r="M230" s="194" t="str">
        <f>графік!O236</f>
        <v/>
      </c>
      <c r="N230" s="194" t="str">
        <f>графік!P236</f>
        <v/>
      </c>
      <c r="O230" s="194" t="str">
        <f>графік!Q236</f>
        <v/>
      </c>
      <c r="P230" s="194" t="str">
        <f>графік!R236</f>
        <v/>
      </c>
      <c r="Q230" s="209" t="str">
        <f>графік!S236</f>
        <v/>
      </c>
      <c r="R230" s="194" t="str">
        <f>графік!T236</f>
        <v/>
      </c>
    </row>
    <row r="231" spans="1:18" x14ac:dyDescent="0.35">
      <c r="A231" s="40" t="str">
        <f>графік!A237</f>
        <v/>
      </c>
      <c r="B231" s="42" t="str">
        <f ca="1">графік!C237</f>
        <v xml:space="preserve"> </v>
      </c>
      <c r="C231" s="41" t="str">
        <f>графік!D237</f>
        <v/>
      </c>
      <c r="D231" s="194" t="str">
        <f>графік!F237</f>
        <v/>
      </c>
      <c r="E231" s="193" t="str">
        <f>графік!G237</f>
        <v/>
      </c>
      <c r="F231" s="194" t="str">
        <f>графік!H237</f>
        <v/>
      </c>
      <c r="G231" s="194" t="str">
        <f>графік!I237</f>
        <v/>
      </c>
      <c r="H231" s="194" t="str">
        <f>графік!J237</f>
        <v/>
      </c>
      <c r="I231" s="194" t="str">
        <f>графік!K237</f>
        <v/>
      </c>
      <c r="J231" s="194" t="str">
        <f>графік!L237</f>
        <v/>
      </c>
      <c r="K231" s="194" t="str">
        <f>графік!M237</f>
        <v/>
      </c>
      <c r="L231" s="194" t="str">
        <f>графік!N237</f>
        <v/>
      </c>
      <c r="M231" s="194" t="str">
        <f>графік!O237</f>
        <v/>
      </c>
      <c r="N231" s="194" t="str">
        <f>графік!P237</f>
        <v/>
      </c>
      <c r="O231" s="194" t="str">
        <f>графік!Q237</f>
        <v/>
      </c>
      <c r="P231" s="194" t="str">
        <f>графік!R237</f>
        <v/>
      </c>
      <c r="Q231" s="209" t="str">
        <f>графік!S237</f>
        <v/>
      </c>
      <c r="R231" s="194" t="str">
        <f>графік!T237</f>
        <v/>
      </c>
    </row>
    <row r="232" spans="1:18" x14ac:dyDescent="0.35">
      <c r="A232" s="40" t="str">
        <f>графік!A238</f>
        <v/>
      </c>
      <c r="B232" s="42" t="str">
        <f ca="1">графік!C238</f>
        <v xml:space="preserve"> </v>
      </c>
      <c r="C232" s="41" t="str">
        <f>графік!D238</f>
        <v/>
      </c>
      <c r="D232" s="194" t="str">
        <f>графік!F238</f>
        <v/>
      </c>
      <c r="E232" s="193" t="str">
        <f>графік!G238</f>
        <v/>
      </c>
      <c r="F232" s="194" t="str">
        <f>графік!H238</f>
        <v/>
      </c>
      <c r="G232" s="194" t="str">
        <f>графік!I238</f>
        <v/>
      </c>
      <c r="H232" s="194" t="str">
        <f>графік!J238</f>
        <v/>
      </c>
      <c r="I232" s="194" t="str">
        <f>графік!K238</f>
        <v/>
      </c>
      <c r="J232" s="194" t="str">
        <f>графік!L238</f>
        <v/>
      </c>
      <c r="K232" s="194" t="str">
        <f>графік!M238</f>
        <v/>
      </c>
      <c r="L232" s="194" t="str">
        <f>графік!N238</f>
        <v/>
      </c>
      <c r="M232" s="194" t="str">
        <f>графік!O238</f>
        <v/>
      </c>
      <c r="N232" s="194" t="str">
        <f>графік!P238</f>
        <v/>
      </c>
      <c r="O232" s="194" t="str">
        <f>графік!Q238</f>
        <v/>
      </c>
      <c r="P232" s="194" t="str">
        <f>графік!R238</f>
        <v/>
      </c>
      <c r="Q232" s="209" t="str">
        <f>графік!S238</f>
        <v/>
      </c>
      <c r="R232" s="194" t="str">
        <f>графік!T238</f>
        <v/>
      </c>
    </row>
    <row r="233" spans="1:18" x14ac:dyDescent="0.35">
      <c r="A233" s="40" t="str">
        <f>графік!A239</f>
        <v/>
      </c>
      <c r="B233" s="42" t="str">
        <f ca="1">графік!C239</f>
        <v xml:space="preserve"> </v>
      </c>
      <c r="C233" s="41" t="str">
        <f>графік!D239</f>
        <v/>
      </c>
      <c r="D233" s="194" t="str">
        <f>графік!F239</f>
        <v/>
      </c>
      <c r="E233" s="193" t="str">
        <f>графік!G239</f>
        <v/>
      </c>
      <c r="F233" s="194" t="str">
        <f>графік!H239</f>
        <v/>
      </c>
      <c r="G233" s="194" t="str">
        <f>графік!I239</f>
        <v/>
      </c>
      <c r="H233" s="194" t="str">
        <f>графік!J239</f>
        <v/>
      </c>
      <c r="I233" s="194" t="str">
        <f>графік!K239</f>
        <v/>
      </c>
      <c r="J233" s="194" t="str">
        <f>графік!L239</f>
        <v/>
      </c>
      <c r="K233" s="194" t="str">
        <f>графік!M239</f>
        <v/>
      </c>
      <c r="L233" s="194" t="str">
        <f>графік!N239</f>
        <v/>
      </c>
      <c r="M233" s="194" t="str">
        <f>графік!O239</f>
        <v/>
      </c>
      <c r="N233" s="194" t="str">
        <f>графік!P239</f>
        <v/>
      </c>
      <c r="O233" s="194" t="str">
        <f>графік!Q239</f>
        <v/>
      </c>
      <c r="P233" s="194" t="str">
        <f>графік!R239</f>
        <v/>
      </c>
      <c r="Q233" s="209" t="str">
        <f>графік!S239</f>
        <v/>
      </c>
      <c r="R233" s="194" t="str">
        <f>графік!T239</f>
        <v/>
      </c>
    </row>
    <row r="234" spans="1:18" x14ac:dyDescent="0.35">
      <c r="A234" s="40" t="str">
        <f>графік!A240</f>
        <v/>
      </c>
      <c r="B234" s="42" t="str">
        <f ca="1">графік!C240</f>
        <v xml:space="preserve"> </v>
      </c>
      <c r="C234" s="41" t="str">
        <f>графік!D240</f>
        <v/>
      </c>
      <c r="D234" s="194" t="str">
        <f>графік!F240</f>
        <v/>
      </c>
      <c r="E234" s="193" t="str">
        <f>графік!G240</f>
        <v/>
      </c>
      <c r="F234" s="194" t="str">
        <f>графік!H240</f>
        <v/>
      </c>
      <c r="G234" s="194" t="str">
        <f>графік!I240</f>
        <v/>
      </c>
      <c r="H234" s="194" t="str">
        <f>графік!J240</f>
        <v/>
      </c>
      <c r="I234" s="194" t="str">
        <f>графік!K240</f>
        <v/>
      </c>
      <c r="J234" s="194" t="str">
        <f>графік!L240</f>
        <v/>
      </c>
      <c r="K234" s="194" t="str">
        <f>графік!M240</f>
        <v/>
      </c>
      <c r="L234" s="194" t="str">
        <f>графік!N240</f>
        <v/>
      </c>
      <c r="M234" s="194" t="str">
        <f>графік!O240</f>
        <v/>
      </c>
      <c r="N234" s="194" t="str">
        <f>графік!P240</f>
        <v/>
      </c>
      <c r="O234" s="194" t="str">
        <f>графік!Q240</f>
        <v/>
      </c>
      <c r="P234" s="194" t="str">
        <f>графік!R240</f>
        <v/>
      </c>
      <c r="Q234" s="209" t="str">
        <f>графік!S240</f>
        <v/>
      </c>
      <c r="R234" s="194" t="str">
        <f>графік!T240</f>
        <v/>
      </c>
    </row>
    <row r="235" spans="1:18" x14ac:dyDescent="0.35">
      <c r="A235" s="40" t="str">
        <f>графік!A241</f>
        <v/>
      </c>
      <c r="B235" s="42" t="str">
        <f ca="1">графік!C241</f>
        <v xml:space="preserve"> </v>
      </c>
      <c r="C235" s="41" t="str">
        <f>графік!D241</f>
        <v/>
      </c>
      <c r="D235" s="194" t="str">
        <f>графік!F241</f>
        <v/>
      </c>
      <c r="E235" s="193" t="str">
        <f>графік!G241</f>
        <v/>
      </c>
      <c r="F235" s="194" t="str">
        <f>графік!H241</f>
        <v/>
      </c>
      <c r="G235" s="194" t="str">
        <f>графік!I241</f>
        <v/>
      </c>
      <c r="H235" s="194" t="str">
        <f>графік!J241</f>
        <v/>
      </c>
      <c r="I235" s="194" t="str">
        <f>графік!K241</f>
        <v/>
      </c>
      <c r="J235" s="194" t="str">
        <f>графік!L241</f>
        <v/>
      </c>
      <c r="K235" s="194" t="str">
        <f>графік!M241</f>
        <v/>
      </c>
      <c r="L235" s="194" t="str">
        <f>графік!N241</f>
        <v/>
      </c>
      <c r="M235" s="194" t="str">
        <f>графік!O241</f>
        <v/>
      </c>
      <c r="N235" s="194" t="str">
        <f>графік!P241</f>
        <v/>
      </c>
      <c r="O235" s="194" t="str">
        <f>графік!Q241</f>
        <v/>
      </c>
      <c r="P235" s="194" t="str">
        <f>графік!R241</f>
        <v/>
      </c>
      <c r="Q235" s="209" t="str">
        <f>графік!S241</f>
        <v/>
      </c>
      <c r="R235" s="194" t="str">
        <f>графік!T241</f>
        <v/>
      </c>
    </row>
    <row r="236" spans="1:18" x14ac:dyDescent="0.35">
      <c r="A236" s="40" t="str">
        <f>графік!A242</f>
        <v/>
      </c>
      <c r="B236" s="42" t="str">
        <f ca="1">графік!C242</f>
        <v xml:space="preserve"> </v>
      </c>
      <c r="C236" s="41" t="str">
        <f>графік!D242</f>
        <v/>
      </c>
      <c r="D236" s="194" t="str">
        <f>графік!F242</f>
        <v/>
      </c>
      <c r="E236" s="193" t="str">
        <f>графік!G242</f>
        <v/>
      </c>
      <c r="F236" s="194" t="str">
        <f>графік!H242</f>
        <v/>
      </c>
      <c r="G236" s="194" t="str">
        <f>графік!I242</f>
        <v/>
      </c>
      <c r="H236" s="194" t="str">
        <f>графік!J242</f>
        <v/>
      </c>
      <c r="I236" s="194" t="str">
        <f>графік!K242</f>
        <v/>
      </c>
      <c r="J236" s="194" t="str">
        <f>графік!L242</f>
        <v/>
      </c>
      <c r="K236" s="194" t="str">
        <f>графік!M242</f>
        <v/>
      </c>
      <c r="L236" s="194" t="str">
        <f>графік!N242</f>
        <v/>
      </c>
      <c r="M236" s="194" t="str">
        <f>графік!O242</f>
        <v/>
      </c>
      <c r="N236" s="194" t="str">
        <f>графік!P242</f>
        <v/>
      </c>
      <c r="O236" s="194" t="str">
        <f>графік!Q242</f>
        <v/>
      </c>
      <c r="P236" s="194" t="str">
        <f>графік!R242</f>
        <v/>
      </c>
      <c r="Q236" s="209" t="str">
        <f>графік!S242</f>
        <v/>
      </c>
      <c r="R236" s="194" t="str">
        <f>графік!T242</f>
        <v/>
      </c>
    </row>
    <row r="237" spans="1:18" x14ac:dyDescent="0.35">
      <c r="A237" s="40" t="str">
        <f>графік!A243</f>
        <v/>
      </c>
      <c r="B237" s="42" t="str">
        <f ca="1">графік!C243</f>
        <v xml:space="preserve"> </v>
      </c>
      <c r="C237" s="41" t="str">
        <f>графік!D243</f>
        <v/>
      </c>
      <c r="D237" s="194" t="str">
        <f>графік!F243</f>
        <v/>
      </c>
      <c r="E237" s="193" t="str">
        <f>графік!G243</f>
        <v/>
      </c>
      <c r="F237" s="194" t="str">
        <f>графік!H243</f>
        <v/>
      </c>
      <c r="G237" s="194" t="str">
        <f>графік!I243</f>
        <v/>
      </c>
      <c r="H237" s="194" t="str">
        <f>графік!J243</f>
        <v/>
      </c>
      <c r="I237" s="194" t="str">
        <f>графік!K243</f>
        <v/>
      </c>
      <c r="J237" s="194" t="str">
        <f>графік!L243</f>
        <v/>
      </c>
      <c r="K237" s="194" t="str">
        <f>графік!M243</f>
        <v/>
      </c>
      <c r="L237" s="194" t="str">
        <f>графік!N243</f>
        <v/>
      </c>
      <c r="M237" s="194" t="str">
        <f>графік!O243</f>
        <v/>
      </c>
      <c r="N237" s="194" t="str">
        <f>графік!P243</f>
        <v/>
      </c>
      <c r="O237" s="194" t="str">
        <f>графік!Q243</f>
        <v/>
      </c>
      <c r="P237" s="194" t="str">
        <f>графік!R243</f>
        <v/>
      </c>
      <c r="Q237" s="209" t="str">
        <f>графік!S243</f>
        <v/>
      </c>
      <c r="R237" s="194" t="str">
        <f>графік!T243</f>
        <v/>
      </c>
    </row>
    <row r="238" spans="1:18" x14ac:dyDescent="0.35">
      <c r="A238" s="40" t="str">
        <f>графік!A244</f>
        <v/>
      </c>
      <c r="B238" s="42" t="str">
        <f ca="1">графік!C244</f>
        <v xml:space="preserve"> </v>
      </c>
      <c r="C238" s="41" t="str">
        <f>графік!D244</f>
        <v/>
      </c>
      <c r="D238" s="194" t="str">
        <f>графік!F244</f>
        <v/>
      </c>
      <c r="E238" s="193" t="str">
        <f>графік!G244</f>
        <v/>
      </c>
      <c r="F238" s="194" t="str">
        <f>графік!H244</f>
        <v/>
      </c>
      <c r="G238" s="194" t="str">
        <f>графік!I244</f>
        <v/>
      </c>
      <c r="H238" s="194" t="str">
        <f>графік!J244</f>
        <v/>
      </c>
      <c r="I238" s="194" t="str">
        <f>графік!K244</f>
        <v/>
      </c>
      <c r="J238" s="194" t="str">
        <f>графік!L244</f>
        <v/>
      </c>
      <c r="K238" s="194" t="str">
        <f>графік!M244</f>
        <v/>
      </c>
      <c r="L238" s="194" t="str">
        <f>графік!N244</f>
        <v/>
      </c>
      <c r="M238" s="194" t="str">
        <f>графік!O244</f>
        <v/>
      </c>
      <c r="N238" s="194" t="str">
        <f>графік!P244</f>
        <v/>
      </c>
      <c r="O238" s="194" t="str">
        <f>графік!Q244</f>
        <v/>
      </c>
      <c r="P238" s="194" t="str">
        <f>графік!R244</f>
        <v/>
      </c>
      <c r="Q238" s="209" t="str">
        <f>графік!S244</f>
        <v/>
      </c>
      <c r="R238" s="194" t="str">
        <f>графік!T244</f>
        <v/>
      </c>
    </row>
    <row r="239" spans="1:18" x14ac:dyDescent="0.35">
      <c r="A239" s="40" t="str">
        <f>графік!A245</f>
        <v/>
      </c>
      <c r="B239" s="42" t="str">
        <f ca="1">графік!C245</f>
        <v xml:space="preserve"> </v>
      </c>
      <c r="C239" s="41" t="str">
        <f>графік!D245</f>
        <v/>
      </c>
      <c r="D239" s="194" t="str">
        <f>графік!F245</f>
        <v/>
      </c>
      <c r="E239" s="193" t="str">
        <f>графік!G245</f>
        <v/>
      </c>
      <c r="F239" s="194" t="str">
        <f>графік!H245</f>
        <v/>
      </c>
      <c r="G239" s="194" t="str">
        <f>графік!I245</f>
        <v/>
      </c>
      <c r="H239" s="194" t="str">
        <f>графік!J245</f>
        <v/>
      </c>
      <c r="I239" s="194" t="str">
        <f>графік!K245</f>
        <v/>
      </c>
      <c r="J239" s="194" t="str">
        <f>графік!L245</f>
        <v/>
      </c>
      <c r="K239" s="194" t="str">
        <f>графік!M245</f>
        <v/>
      </c>
      <c r="L239" s="194" t="str">
        <f>графік!N245</f>
        <v/>
      </c>
      <c r="M239" s="194" t="str">
        <f>графік!O245</f>
        <v/>
      </c>
      <c r="N239" s="194" t="str">
        <f>графік!P245</f>
        <v/>
      </c>
      <c r="O239" s="194" t="str">
        <f>графік!Q245</f>
        <v/>
      </c>
      <c r="P239" s="194" t="str">
        <f>графік!R245</f>
        <v/>
      </c>
      <c r="Q239" s="209" t="str">
        <f>графік!S245</f>
        <v/>
      </c>
      <c r="R239" s="194" t="str">
        <f>графік!T245</f>
        <v/>
      </c>
    </row>
    <row r="240" spans="1:18" x14ac:dyDescent="0.35">
      <c r="A240" s="40" t="str">
        <f>графік!A246</f>
        <v/>
      </c>
      <c r="B240" s="42" t="str">
        <f ca="1">графік!C246</f>
        <v xml:space="preserve"> </v>
      </c>
      <c r="C240" s="41" t="str">
        <f>графік!D246</f>
        <v/>
      </c>
      <c r="D240" s="194" t="str">
        <f>графік!F246</f>
        <v/>
      </c>
      <c r="E240" s="193" t="str">
        <f>графік!G246</f>
        <v/>
      </c>
      <c r="F240" s="194" t="str">
        <f>графік!H246</f>
        <v/>
      </c>
      <c r="G240" s="194" t="str">
        <f>графік!I246</f>
        <v/>
      </c>
      <c r="H240" s="194" t="str">
        <f>графік!J246</f>
        <v/>
      </c>
      <c r="I240" s="194" t="str">
        <f>графік!K246</f>
        <v/>
      </c>
      <c r="J240" s="194" t="str">
        <f>графік!L246</f>
        <v/>
      </c>
      <c r="K240" s="194" t="str">
        <f>графік!M246</f>
        <v/>
      </c>
      <c r="L240" s="194" t="str">
        <f>графік!N246</f>
        <v/>
      </c>
      <c r="M240" s="194" t="str">
        <f>графік!O246</f>
        <v/>
      </c>
      <c r="N240" s="194" t="str">
        <f>графік!P246</f>
        <v/>
      </c>
      <c r="O240" s="194" t="str">
        <f>графік!Q246</f>
        <v/>
      </c>
      <c r="P240" s="194" t="str">
        <f>графік!R246</f>
        <v/>
      </c>
      <c r="Q240" s="209" t="str">
        <f>графік!S246</f>
        <v/>
      </c>
      <c r="R240" s="194" t="str">
        <f>графік!T246</f>
        <v/>
      </c>
    </row>
    <row r="241" spans="1:18" x14ac:dyDescent="0.35">
      <c r="A241" s="40" t="str">
        <f>графік!A247</f>
        <v/>
      </c>
      <c r="B241" s="42" t="str">
        <f ca="1">графік!C247</f>
        <v xml:space="preserve"> </v>
      </c>
      <c r="C241" s="41" t="str">
        <f>графік!D247</f>
        <v/>
      </c>
      <c r="D241" s="194" t="str">
        <f>графік!F247</f>
        <v/>
      </c>
      <c r="E241" s="193" t="str">
        <f>графік!G247</f>
        <v/>
      </c>
      <c r="F241" s="194" t="str">
        <f>графік!H247</f>
        <v/>
      </c>
      <c r="G241" s="194" t="str">
        <f>графік!I247</f>
        <v/>
      </c>
      <c r="H241" s="194" t="str">
        <f>графік!J247</f>
        <v/>
      </c>
      <c r="I241" s="194" t="str">
        <f>графік!K247</f>
        <v/>
      </c>
      <c r="J241" s="194" t="str">
        <f>графік!L247</f>
        <v/>
      </c>
      <c r="K241" s="194" t="str">
        <f>графік!M247</f>
        <v/>
      </c>
      <c r="L241" s="194" t="str">
        <f>графік!N247</f>
        <v/>
      </c>
      <c r="M241" s="194" t="str">
        <f>графік!O247</f>
        <v/>
      </c>
      <c r="N241" s="194" t="str">
        <f>графік!P247</f>
        <v/>
      </c>
      <c r="O241" s="194" t="str">
        <f>графік!Q247</f>
        <v/>
      </c>
      <c r="P241" s="194" t="str">
        <f>графік!R247</f>
        <v/>
      </c>
      <c r="Q241" s="209" t="str">
        <f>графік!S247</f>
        <v/>
      </c>
      <c r="R241" s="194" t="str">
        <f>графік!T247</f>
        <v/>
      </c>
    </row>
    <row r="242" spans="1:18" x14ac:dyDescent="0.35">
      <c r="A242" s="40" t="str">
        <f>графік!A248</f>
        <v/>
      </c>
      <c r="B242" s="42" t="str">
        <f ca="1">графік!C248</f>
        <v xml:space="preserve"> </v>
      </c>
      <c r="C242" s="41" t="str">
        <f>графік!D248</f>
        <v/>
      </c>
      <c r="D242" s="194" t="str">
        <f>графік!F248</f>
        <v/>
      </c>
      <c r="E242" s="193" t="str">
        <f>графік!G248</f>
        <v/>
      </c>
      <c r="F242" s="194" t="str">
        <f>графік!H248</f>
        <v/>
      </c>
      <c r="G242" s="194" t="str">
        <f>графік!I248</f>
        <v/>
      </c>
      <c r="H242" s="194" t="str">
        <f>графік!J248</f>
        <v/>
      </c>
      <c r="I242" s="194" t="str">
        <f>графік!K248</f>
        <v/>
      </c>
      <c r="J242" s="194" t="str">
        <f>графік!L248</f>
        <v/>
      </c>
      <c r="K242" s="194" t="str">
        <f>графік!M248</f>
        <v/>
      </c>
      <c r="L242" s="194" t="str">
        <f>графік!N248</f>
        <v/>
      </c>
      <c r="M242" s="194" t="str">
        <f>графік!O248</f>
        <v/>
      </c>
      <c r="N242" s="194" t="str">
        <f>графік!P248</f>
        <v/>
      </c>
      <c r="O242" s="194" t="str">
        <f>графік!Q248</f>
        <v/>
      </c>
      <c r="P242" s="194" t="str">
        <f>графік!R248</f>
        <v/>
      </c>
      <c r="Q242" s="209" t="str">
        <f>графік!S248</f>
        <v/>
      </c>
      <c r="R242" s="194" t="str">
        <f>графік!T248</f>
        <v/>
      </c>
    </row>
    <row r="243" spans="1:18" x14ac:dyDescent="0.35">
      <c r="A243" s="40" t="str">
        <f>графік!A249</f>
        <v/>
      </c>
      <c r="B243" s="42" t="str">
        <f ca="1">графік!C249</f>
        <v xml:space="preserve"> </v>
      </c>
      <c r="C243" s="41" t="str">
        <f>графік!D249</f>
        <v/>
      </c>
      <c r="D243" s="194" t="str">
        <f>графік!F249</f>
        <v/>
      </c>
      <c r="E243" s="193" t="str">
        <f>графік!G249</f>
        <v/>
      </c>
      <c r="F243" s="194" t="str">
        <f>графік!H249</f>
        <v/>
      </c>
      <c r="G243" s="194" t="str">
        <f>графік!I249</f>
        <v/>
      </c>
      <c r="H243" s="194" t="str">
        <f>графік!J249</f>
        <v/>
      </c>
      <c r="I243" s="194" t="str">
        <f>графік!K249</f>
        <v/>
      </c>
      <c r="J243" s="194" t="str">
        <f>графік!L249</f>
        <v/>
      </c>
      <c r="K243" s="194" t="str">
        <f>графік!M249</f>
        <v/>
      </c>
      <c r="L243" s="194" t="str">
        <f>графік!N249</f>
        <v/>
      </c>
      <c r="M243" s="194" t="str">
        <f>графік!O249</f>
        <v/>
      </c>
      <c r="N243" s="194" t="str">
        <f>графік!P249</f>
        <v/>
      </c>
      <c r="O243" s="194" t="str">
        <f>графік!Q249</f>
        <v/>
      </c>
      <c r="P243" s="194" t="str">
        <f>графік!R249</f>
        <v/>
      </c>
      <c r="Q243" s="209" t="str">
        <f>графік!S249</f>
        <v/>
      </c>
      <c r="R243" s="194" t="str">
        <f>графік!T249</f>
        <v/>
      </c>
    </row>
    <row r="244" spans="1:18" x14ac:dyDescent="0.35">
      <c r="A244" s="40" t="str">
        <f>графік!A250</f>
        <v/>
      </c>
      <c r="B244" s="42" t="str">
        <f ca="1">графік!C250</f>
        <v xml:space="preserve"> </v>
      </c>
      <c r="C244" s="41" t="str">
        <f>графік!D250</f>
        <v/>
      </c>
      <c r="D244" s="194" t="str">
        <f>графік!F250</f>
        <v/>
      </c>
      <c r="E244" s="193" t="str">
        <f>графік!G250</f>
        <v/>
      </c>
      <c r="F244" s="194" t="str">
        <f>графік!H250</f>
        <v/>
      </c>
      <c r="G244" s="194" t="str">
        <f>графік!I250</f>
        <v/>
      </c>
      <c r="H244" s="194" t="str">
        <f>графік!J250</f>
        <v/>
      </c>
      <c r="I244" s="194" t="str">
        <f>графік!K250</f>
        <v/>
      </c>
      <c r="J244" s="194" t="str">
        <f>графік!L250</f>
        <v/>
      </c>
      <c r="K244" s="194" t="str">
        <f>графік!M250</f>
        <v/>
      </c>
      <c r="L244" s="194" t="str">
        <f>графік!N250</f>
        <v/>
      </c>
      <c r="M244" s="194" t="str">
        <f>графік!O250</f>
        <v/>
      </c>
      <c r="N244" s="194" t="str">
        <f>графік!P250</f>
        <v/>
      </c>
      <c r="O244" s="194" t="str">
        <f>графік!Q250</f>
        <v/>
      </c>
      <c r="P244" s="194" t="str">
        <f>графік!R250</f>
        <v/>
      </c>
      <c r="Q244" s="209" t="str">
        <f>графік!S250</f>
        <v/>
      </c>
      <c r="R244" s="194" t="str">
        <f>графік!T250</f>
        <v/>
      </c>
    </row>
    <row r="245" spans="1:18" x14ac:dyDescent="0.35">
      <c r="A245" s="40" t="str">
        <f>графік!A251</f>
        <v/>
      </c>
      <c r="B245" s="42" t="str">
        <f ca="1">графік!C251</f>
        <v xml:space="preserve"> </v>
      </c>
      <c r="C245" s="41" t="str">
        <f>графік!D251</f>
        <v/>
      </c>
      <c r="D245" s="194" t="str">
        <f>графік!F251</f>
        <v/>
      </c>
      <c r="E245" s="193" t="str">
        <f>графік!G251</f>
        <v/>
      </c>
      <c r="F245" s="194" t="str">
        <f>графік!H251</f>
        <v/>
      </c>
      <c r="G245" s="194" t="str">
        <f>графік!I251</f>
        <v/>
      </c>
      <c r="H245" s="194" t="str">
        <f>графік!J251</f>
        <v/>
      </c>
      <c r="I245" s="194" t="str">
        <f>графік!K251</f>
        <v/>
      </c>
      <c r="J245" s="194" t="str">
        <f>графік!L251</f>
        <v/>
      </c>
      <c r="K245" s="194" t="str">
        <f>графік!M251</f>
        <v/>
      </c>
      <c r="L245" s="194" t="str">
        <f>графік!N251</f>
        <v/>
      </c>
      <c r="M245" s="194" t="str">
        <f>графік!O251</f>
        <v/>
      </c>
      <c r="N245" s="194" t="str">
        <f>графік!P251</f>
        <v/>
      </c>
      <c r="O245" s="194" t="str">
        <f>графік!Q251</f>
        <v/>
      </c>
      <c r="P245" s="194" t="str">
        <f>графік!R251</f>
        <v/>
      </c>
      <c r="Q245" s="209" t="str">
        <f>графік!S251</f>
        <v/>
      </c>
      <c r="R245" s="194" t="str">
        <f>графік!T251</f>
        <v/>
      </c>
    </row>
    <row r="246" spans="1:18" x14ac:dyDescent="0.35">
      <c r="A246" s="40" t="str">
        <f>графік!A252</f>
        <v/>
      </c>
      <c r="B246" s="42" t="str">
        <f ca="1">графік!C252</f>
        <v xml:space="preserve"> </v>
      </c>
      <c r="C246" s="41" t="str">
        <f>графік!D252</f>
        <v/>
      </c>
      <c r="D246" s="194" t="str">
        <f>графік!F252</f>
        <v/>
      </c>
      <c r="E246" s="193" t="str">
        <f>графік!G252</f>
        <v/>
      </c>
      <c r="F246" s="194" t="str">
        <f>графік!H252</f>
        <v/>
      </c>
      <c r="G246" s="194" t="str">
        <f>графік!I252</f>
        <v/>
      </c>
      <c r="H246" s="194" t="str">
        <f>графік!J252</f>
        <v/>
      </c>
      <c r="I246" s="194" t="str">
        <f>графік!K252</f>
        <v/>
      </c>
      <c r="J246" s="194" t="str">
        <f>графік!L252</f>
        <v/>
      </c>
      <c r="K246" s="194" t="str">
        <f>графік!M252</f>
        <v/>
      </c>
      <c r="L246" s="194" t="str">
        <f>графік!N252</f>
        <v/>
      </c>
      <c r="M246" s="194" t="str">
        <f>графік!O252</f>
        <v/>
      </c>
      <c r="N246" s="194" t="str">
        <f>графік!P252</f>
        <v/>
      </c>
      <c r="O246" s="194" t="str">
        <f>графік!Q252</f>
        <v/>
      </c>
      <c r="P246" s="194" t="str">
        <f>графік!R252</f>
        <v/>
      </c>
      <c r="Q246" s="209" t="str">
        <f>графік!S252</f>
        <v/>
      </c>
      <c r="R246" s="194" t="str">
        <f>графік!T252</f>
        <v/>
      </c>
    </row>
    <row r="247" spans="1:18" x14ac:dyDescent="0.35">
      <c r="A247" s="40" t="str">
        <f>графік!A253</f>
        <v/>
      </c>
      <c r="B247" s="42" t="str">
        <f ca="1">графік!C253</f>
        <v xml:space="preserve"> </v>
      </c>
      <c r="C247" s="41" t="str">
        <f>графік!D253</f>
        <v/>
      </c>
      <c r="D247" s="194" t="str">
        <f>графік!F253</f>
        <v/>
      </c>
      <c r="E247" s="193" t="str">
        <f>графік!G253</f>
        <v/>
      </c>
      <c r="F247" s="194" t="str">
        <f>графік!H253</f>
        <v/>
      </c>
      <c r="G247" s="194" t="str">
        <f>графік!I253</f>
        <v/>
      </c>
      <c r="H247" s="194" t="str">
        <f>графік!J253</f>
        <v/>
      </c>
      <c r="I247" s="194" t="str">
        <f>графік!K253</f>
        <v/>
      </c>
      <c r="J247" s="194" t="str">
        <f>графік!L253</f>
        <v/>
      </c>
      <c r="K247" s="194" t="str">
        <f>графік!M253</f>
        <v/>
      </c>
      <c r="L247" s="194" t="str">
        <f>графік!N253</f>
        <v/>
      </c>
      <c r="M247" s="194" t="str">
        <f>графік!O253</f>
        <v/>
      </c>
      <c r="N247" s="194" t="str">
        <f>графік!P253</f>
        <v/>
      </c>
      <c r="O247" s="194" t="str">
        <f>графік!Q253</f>
        <v/>
      </c>
      <c r="P247" s="194" t="str">
        <f>графік!R253</f>
        <v/>
      </c>
      <c r="Q247" s="209" t="str">
        <f>графік!S253</f>
        <v/>
      </c>
      <c r="R247" s="194" t="str">
        <f>графік!T253</f>
        <v/>
      </c>
    </row>
    <row r="248" spans="1:18" x14ac:dyDescent="0.35">
      <c r="A248" s="40" t="str">
        <f>графік!A254</f>
        <v/>
      </c>
      <c r="B248" s="42" t="str">
        <f ca="1">графік!C254</f>
        <v xml:space="preserve"> </v>
      </c>
      <c r="C248" s="41" t="str">
        <f>графік!D254</f>
        <v/>
      </c>
      <c r="D248" s="194" t="str">
        <f>графік!F254</f>
        <v/>
      </c>
      <c r="E248" s="193" t="str">
        <f>графік!G254</f>
        <v/>
      </c>
      <c r="F248" s="194" t="str">
        <f>графік!H254</f>
        <v/>
      </c>
      <c r="G248" s="194" t="str">
        <f>графік!I254</f>
        <v/>
      </c>
      <c r="H248" s="194" t="str">
        <f>графік!J254</f>
        <v/>
      </c>
      <c r="I248" s="194" t="str">
        <f>графік!K254</f>
        <v/>
      </c>
      <c r="J248" s="194" t="str">
        <f>графік!L254</f>
        <v/>
      </c>
      <c r="K248" s="194" t="str">
        <f>графік!M254</f>
        <v/>
      </c>
      <c r="L248" s="194" t="str">
        <f>графік!N254</f>
        <v/>
      </c>
      <c r="M248" s="194" t="str">
        <f>графік!O254</f>
        <v/>
      </c>
      <c r="N248" s="194" t="str">
        <f>графік!P254</f>
        <v/>
      </c>
      <c r="O248" s="194" t="str">
        <f>графік!Q254</f>
        <v/>
      </c>
      <c r="P248" s="194" t="str">
        <f>графік!R254</f>
        <v/>
      </c>
      <c r="Q248" s="209" t="str">
        <f>графік!S254</f>
        <v/>
      </c>
      <c r="R248" s="194" t="str">
        <f>графік!T254</f>
        <v/>
      </c>
    </row>
    <row r="249" spans="1:18" x14ac:dyDescent="0.35">
      <c r="A249" s="40" t="str">
        <f>графік!A255</f>
        <v/>
      </c>
      <c r="B249" s="42" t="str">
        <f ca="1">графік!C255</f>
        <v xml:space="preserve"> </v>
      </c>
      <c r="C249" s="41" t="str">
        <f>графік!D255</f>
        <v/>
      </c>
      <c r="D249" s="194" t="str">
        <f>графік!F255</f>
        <v/>
      </c>
      <c r="E249" s="193" t="str">
        <f>графік!G255</f>
        <v/>
      </c>
      <c r="F249" s="194" t="str">
        <f>графік!H255</f>
        <v/>
      </c>
      <c r="G249" s="194" t="str">
        <f>графік!I255</f>
        <v/>
      </c>
      <c r="H249" s="194" t="str">
        <f>графік!J255</f>
        <v/>
      </c>
      <c r="I249" s="194" t="str">
        <f>графік!K255</f>
        <v/>
      </c>
      <c r="J249" s="194" t="str">
        <f>графік!L255</f>
        <v/>
      </c>
      <c r="K249" s="194" t="str">
        <f>графік!M255</f>
        <v/>
      </c>
      <c r="L249" s="194" t="str">
        <f>графік!N255</f>
        <v/>
      </c>
      <c r="M249" s="194" t="str">
        <f>графік!O255</f>
        <v/>
      </c>
      <c r="N249" s="194" t="str">
        <f>графік!P255</f>
        <v/>
      </c>
      <c r="O249" s="194" t="str">
        <f>графік!Q255</f>
        <v/>
      </c>
      <c r="P249" s="194" t="str">
        <f>графік!R255</f>
        <v/>
      </c>
      <c r="Q249" s="209" t="str">
        <f>графік!S255</f>
        <v/>
      </c>
      <c r="R249" s="194" t="str">
        <f>графік!T255</f>
        <v/>
      </c>
    </row>
    <row r="250" spans="1:18" x14ac:dyDescent="0.35">
      <c r="A250" s="40" t="str">
        <f>графік!A256</f>
        <v/>
      </c>
      <c r="B250" s="42" t="str">
        <f ca="1">графік!C256</f>
        <v xml:space="preserve"> </v>
      </c>
      <c r="C250" s="41" t="str">
        <f>графік!D256</f>
        <v/>
      </c>
      <c r="D250" s="194" t="str">
        <f>графік!F256</f>
        <v/>
      </c>
      <c r="E250" s="193" t="str">
        <f>графік!G256</f>
        <v/>
      </c>
      <c r="F250" s="194" t="str">
        <f>графік!H256</f>
        <v/>
      </c>
      <c r="G250" s="194" t="str">
        <f>графік!I256</f>
        <v/>
      </c>
      <c r="H250" s="194" t="str">
        <f>графік!J256</f>
        <v/>
      </c>
      <c r="I250" s="194" t="str">
        <f>графік!K256</f>
        <v/>
      </c>
      <c r="J250" s="194" t="str">
        <f>графік!L256</f>
        <v/>
      </c>
      <c r="K250" s="194" t="str">
        <f>графік!M256</f>
        <v/>
      </c>
      <c r="L250" s="194" t="str">
        <f>графік!N256</f>
        <v/>
      </c>
      <c r="M250" s="194" t="str">
        <f>графік!O256</f>
        <v/>
      </c>
      <c r="N250" s="194" t="str">
        <f>графік!P256</f>
        <v/>
      </c>
      <c r="O250" s="194" t="str">
        <f>графік!Q256</f>
        <v/>
      </c>
      <c r="P250" s="194" t="str">
        <f>графік!R256</f>
        <v/>
      </c>
      <c r="Q250" s="209" t="str">
        <f>графік!S256</f>
        <v/>
      </c>
      <c r="R250" s="194" t="str">
        <f>графік!T256</f>
        <v/>
      </c>
    </row>
    <row r="251" spans="1:18" x14ac:dyDescent="0.35">
      <c r="A251" s="40" t="str">
        <f>графік!A257</f>
        <v/>
      </c>
      <c r="B251" s="42" t="str">
        <f ca="1">графік!C257</f>
        <v xml:space="preserve"> </v>
      </c>
      <c r="C251" s="41" t="str">
        <f>графік!D257</f>
        <v/>
      </c>
      <c r="D251" s="194" t="str">
        <f>графік!F257</f>
        <v/>
      </c>
      <c r="E251" s="193" t="str">
        <f>графік!G257</f>
        <v/>
      </c>
      <c r="F251" s="194" t="str">
        <f>графік!H257</f>
        <v/>
      </c>
      <c r="G251" s="194" t="str">
        <f>графік!I257</f>
        <v/>
      </c>
      <c r="H251" s="194" t="str">
        <f>графік!J257</f>
        <v/>
      </c>
      <c r="I251" s="194" t="str">
        <f>графік!K257</f>
        <v/>
      </c>
      <c r="J251" s="194" t="str">
        <f>графік!L257</f>
        <v/>
      </c>
      <c r="K251" s="194" t="str">
        <f>графік!M257</f>
        <v/>
      </c>
      <c r="L251" s="194" t="str">
        <f>графік!N257</f>
        <v/>
      </c>
      <c r="M251" s="194" t="str">
        <f>графік!O257</f>
        <v/>
      </c>
      <c r="N251" s="194" t="str">
        <f>графік!P257</f>
        <v/>
      </c>
      <c r="O251" s="194" t="str">
        <f>графік!Q257</f>
        <v/>
      </c>
      <c r="P251" s="194" t="str">
        <f>графік!R257</f>
        <v/>
      </c>
      <c r="Q251" s="209" t="str">
        <f>графік!S257</f>
        <v/>
      </c>
      <c r="R251" s="194" t="str">
        <f>графік!T257</f>
        <v/>
      </c>
    </row>
    <row r="252" spans="1:18" x14ac:dyDescent="0.35">
      <c r="A252" s="40" t="str">
        <f>графік!A258</f>
        <v/>
      </c>
      <c r="B252" s="42" t="str">
        <f ca="1">графік!C258</f>
        <v xml:space="preserve"> </v>
      </c>
      <c r="C252" s="41" t="str">
        <f>графік!D258</f>
        <v/>
      </c>
      <c r="D252" s="194" t="str">
        <f>графік!F258</f>
        <v/>
      </c>
      <c r="E252" s="193" t="str">
        <f>графік!G258</f>
        <v/>
      </c>
      <c r="F252" s="194" t="str">
        <f>графік!H258</f>
        <v/>
      </c>
      <c r="G252" s="194" t="str">
        <f>графік!I258</f>
        <v/>
      </c>
      <c r="H252" s="194" t="str">
        <f>графік!J258</f>
        <v/>
      </c>
      <c r="I252" s="194" t="str">
        <f>графік!K258</f>
        <v/>
      </c>
      <c r="J252" s="194" t="str">
        <f>графік!L258</f>
        <v/>
      </c>
      <c r="K252" s="194" t="str">
        <f>графік!M258</f>
        <v/>
      </c>
      <c r="L252" s="194" t="str">
        <f>графік!N258</f>
        <v/>
      </c>
      <c r="M252" s="194" t="str">
        <f>графік!O258</f>
        <v/>
      </c>
      <c r="N252" s="194" t="str">
        <f>графік!P258</f>
        <v/>
      </c>
      <c r="O252" s="194" t="str">
        <f>графік!Q258</f>
        <v/>
      </c>
      <c r="P252" s="194" t="str">
        <f>графік!R258</f>
        <v/>
      </c>
      <c r="Q252" s="209" t="str">
        <f>графік!S258</f>
        <v/>
      </c>
      <c r="R252" s="194" t="str">
        <f>графік!T258</f>
        <v/>
      </c>
    </row>
    <row r="253" spans="1:18" x14ac:dyDescent="0.35">
      <c r="A253" s="40" t="str">
        <f>графік!A259</f>
        <v/>
      </c>
      <c r="B253" s="42" t="str">
        <f ca="1">графік!C259</f>
        <v xml:space="preserve"> </v>
      </c>
      <c r="C253" s="41" t="str">
        <f>графік!D259</f>
        <v/>
      </c>
      <c r="D253" s="194" t="str">
        <f>графік!F259</f>
        <v/>
      </c>
      <c r="E253" s="193" t="str">
        <f>графік!G259</f>
        <v/>
      </c>
      <c r="F253" s="194" t="str">
        <f>графік!H259</f>
        <v/>
      </c>
      <c r="G253" s="194" t="str">
        <f>графік!I259</f>
        <v/>
      </c>
      <c r="H253" s="194" t="str">
        <f>графік!J259</f>
        <v/>
      </c>
      <c r="I253" s="194" t="str">
        <f>графік!K259</f>
        <v/>
      </c>
      <c r="J253" s="194" t="str">
        <f>графік!L259</f>
        <v/>
      </c>
      <c r="K253" s="194" t="str">
        <f>графік!M259</f>
        <v/>
      </c>
      <c r="L253" s="194" t="str">
        <f>графік!N259</f>
        <v/>
      </c>
      <c r="M253" s="194" t="str">
        <f>графік!O259</f>
        <v/>
      </c>
      <c r="N253" s="194" t="str">
        <f>графік!P259</f>
        <v/>
      </c>
      <c r="O253" s="194" t="str">
        <f>графік!Q259</f>
        <v/>
      </c>
      <c r="P253" s="194" t="str">
        <f>графік!R259</f>
        <v/>
      </c>
      <c r="Q253" s="209" t="str">
        <f>графік!S259</f>
        <v/>
      </c>
      <c r="R253" s="194" t="str">
        <f>графік!T259</f>
        <v/>
      </c>
    </row>
    <row r="254" spans="1:18" x14ac:dyDescent="0.35">
      <c r="A254" s="40" t="str">
        <f>графік!A260</f>
        <v/>
      </c>
      <c r="B254" s="42" t="str">
        <f ca="1">графік!C260</f>
        <v xml:space="preserve"> </v>
      </c>
      <c r="C254" s="41" t="str">
        <f>графік!D260</f>
        <v/>
      </c>
      <c r="D254" s="194" t="str">
        <f>графік!F260</f>
        <v/>
      </c>
      <c r="E254" s="193" t="str">
        <f>графік!G260</f>
        <v/>
      </c>
      <c r="F254" s="194" t="str">
        <f>графік!H260</f>
        <v/>
      </c>
      <c r="G254" s="194" t="str">
        <f>графік!I260</f>
        <v/>
      </c>
      <c r="H254" s="194" t="str">
        <f>графік!J260</f>
        <v/>
      </c>
      <c r="I254" s="194" t="str">
        <f>графік!K260</f>
        <v/>
      </c>
      <c r="J254" s="194" t="str">
        <f>графік!L260</f>
        <v/>
      </c>
      <c r="K254" s="194" t="str">
        <f>графік!M260</f>
        <v/>
      </c>
      <c r="L254" s="194" t="str">
        <f>графік!N260</f>
        <v/>
      </c>
      <c r="M254" s="194" t="str">
        <f>графік!O260</f>
        <v/>
      </c>
      <c r="N254" s="194" t="str">
        <f>графік!P260</f>
        <v/>
      </c>
      <c r="O254" s="194" t="str">
        <f>графік!Q260</f>
        <v/>
      </c>
      <c r="P254" s="194" t="str">
        <f>графік!R260</f>
        <v/>
      </c>
      <c r="Q254" s="209" t="str">
        <f>графік!S260</f>
        <v/>
      </c>
      <c r="R254" s="194" t="str">
        <f>графік!T260</f>
        <v/>
      </c>
    </row>
    <row r="255" spans="1:18" x14ac:dyDescent="0.35">
      <c r="A255" s="40" t="str">
        <f>графік!A261</f>
        <v/>
      </c>
      <c r="B255" s="42" t="str">
        <f ca="1">графік!C261</f>
        <v xml:space="preserve"> </v>
      </c>
      <c r="C255" s="41" t="str">
        <f>графік!D261</f>
        <v/>
      </c>
      <c r="D255" s="194" t="str">
        <f>графік!F261</f>
        <v/>
      </c>
      <c r="E255" s="193" t="str">
        <f>графік!G261</f>
        <v/>
      </c>
      <c r="F255" s="194" t="str">
        <f>графік!H261</f>
        <v/>
      </c>
      <c r="G255" s="194" t="str">
        <f>графік!I261</f>
        <v/>
      </c>
      <c r="H255" s="194" t="str">
        <f>графік!J261</f>
        <v/>
      </c>
      <c r="I255" s="194" t="str">
        <f>графік!K261</f>
        <v/>
      </c>
      <c r="J255" s="194" t="str">
        <f>графік!L261</f>
        <v/>
      </c>
      <c r="K255" s="194" t="str">
        <f>графік!M261</f>
        <v/>
      </c>
      <c r="L255" s="194" t="str">
        <f>графік!N261</f>
        <v/>
      </c>
      <c r="M255" s="194" t="str">
        <f>графік!O261</f>
        <v/>
      </c>
      <c r="N255" s="194" t="str">
        <f>графік!P261</f>
        <v/>
      </c>
      <c r="O255" s="194" t="str">
        <f>графік!Q261</f>
        <v/>
      </c>
      <c r="P255" s="194" t="str">
        <f>графік!R261</f>
        <v/>
      </c>
      <c r="Q255" s="209" t="str">
        <f>графік!S261</f>
        <v/>
      </c>
      <c r="R255" s="194" t="str">
        <f>графік!T261</f>
        <v/>
      </c>
    </row>
    <row r="256" spans="1:18" x14ac:dyDescent="0.35">
      <c r="A256" s="40" t="str">
        <f>графік!A262</f>
        <v/>
      </c>
      <c r="B256" s="42" t="str">
        <f ca="1">графік!C262</f>
        <v xml:space="preserve"> </v>
      </c>
      <c r="C256" s="41" t="str">
        <f>графік!D262</f>
        <v/>
      </c>
      <c r="D256" s="194" t="str">
        <f>графік!F262</f>
        <v/>
      </c>
      <c r="E256" s="193" t="str">
        <f>графік!G262</f>
        <v/>
      </c>
      <c r="F256" s="194" t="str">
        <f>графік!H262</f>
        <v/>
      </c>
      <c r="G256" s="194" t="str">
        <f>графік!I262</f>
        <v/>
      </c>
      <c r="H256" s="194" t="str">
        <f>графік!J262</f>
        <v/>
      </c>
      <c r="I256" s="194" t="str">
        <f>графік!K262</f>
        <v/>
      </c>
      <c r="J256" s="194" t="str">
        <f>графік!L262</f>
        <v/>
      </c>
      <c r="K256" s="194" t="str">
        <f>графік!M262</f>
        <v/>
      </c>
      <c r="L256" s="194" t="str">
        <f>графік!N262</f>
        <v/>
      </c>
      <c r="M256" s="194" t="str">
        <f>графік!O262</f>
        <v/>
      </c>
      <c r="N256" s="194" t="str">
        <f>графік!P262</f>
        <v/>
      </c>
      <c r="O256" s="194" t="str">
        <f>графік!Q262</f>
        <v/>
      </c>
      <c r="P256" s="194" t="str">
        <f>графік!R262</f>
        <v/>
      </c>
      <c r="Q256" s="209" t="str">
        <f>графік!S262</f>
        <v/>
      </c>
      <c r="R256" s="194" t="str">
        <f>графік!T262</f>
        <v/>
      </c>
    </row>
    <row r="257" spans="1:18" x14ac:dyDescent="0.35">
      <c r="A257" s="40" t="str">
        <f>графік!A263</f>
        <v/>
      </c>
      <c r="B257" s="42" t="str">
        <f ca="1">графік!C263</f>
        <v xml:space="preserve"> </v>
      </c>
      <c r="C257" s="41" t="str">
        <f>графік!D263</f>
        <v/>
      </c>
      <c r="D257" s="194" t="str">
        <f>графік!F263</f>
        <v/>
      </c>
      <c r="E257" s="193" t="str">
        <f>графік!G263</f>
        <v/>
      </c>
      <c r="F257" s="194" t="str">
        <f>графік!H263</f>
        <v/>
      </c>
      <c r="G257" s="194" t="str">
        <f>графік!I263</f>
        <v/>
      </c>
      <c r="H257" s="194" t="str">
        <f>графік!J263</f>
        <v/>
      </c>
      <c r="I257" s="194" t="str">
        <f>графік!K263</f>
        <v/>
      </c>
      <c r="J257" s="194" t="str">
        <f>графік!L263</f>
        <v/>
      </c>
      <c r="K257" s="194" t="str">
        <f>графік!M263</f>
        <v/>
      </c>
      <c r="L257" s="194" t="str">
        <f>графік!N263</f>
        <v/>
      </c>
      <c r="M257" s="194" t="str">
        <f>графік!O263</f>
        <v/>
      </c>
      <c r="N257" s="194" t="str">
        <f>графік!P263</f>
        <v/>
      </c>
      <c r="O257" s="194" t="str">
        <f>графік!Q263</f>
        <v/>
      </c>
      <c r="P257" s="194" t="str">
        <f>графік!R263</f>
        <v/>
      </c>
      <c r="Q257" s="209" t="str">
        <f>графік!S263</f>
        <v/>
      </c>
      <c r="R257" s="194" t="str">
        <f>графік!T263</f>
        <v/>
      </c>
    </row>
    <row r="258" spans="1:18" x14ac:dyDescent="0.35">
      <c r="A258" s="40" t="str">
        <f>графік!A264</f>
        <v/>
      </c>
      <c r="B258" s="42" t="str">
        <f ca="1">графік!C264</f>
        <v xml:space="preserve"> </v>
      </c>
      <c r="C258" s="41" t="str">
        <f>графік!D264</f>
        <v/>
      </c>
      <c r="D258" s="194" t="str">
        <f>графік!F264</f>
        <v/>
      </c>
      <c r="E258" s="193" t="str">
        <f>графік!G264</f>
        <v/>
      </c>
      <c r="F258" s="194" t="str">
        <f>графік!H264</f>
        <v/>
      </c>
      <c r="G258" s="194" t="str">
        <f>графік!I264</f>
        <v/>
      </c>
      <c r="H258" s="194" t="str">
        <f>графік!J264</f>
        <v/>
      </c>
      <c r="I258" s="194" t="str">
        <f>графік!K264</f>
        <v/>
      </c>
      <c r="J258" s="194" t="str">
        <f>графік!L264</f>
        <v/>
      </c>
      <c r="K258" s="194" t="str">
        <f>графік!M264</f>
        <v/>
      </c>
      <c r="L258" s="194" t="str">
        <f>графік!N264</f>
        <v/>
      </c>
      <c r="M258" s="194" t="str">
        <f>графік!O264</f>
        <v/>
      </c>
      <c r="N258" s="194" t="str">
        <f>графік!P264</f>
        <v/>
      </c>
      <c r="O258" s="194" t="str">
        <f>графік!Q264</f>
        <v/>
      </c>
      <c r="P258" s="194" t="str">
        <f>графік!R264</f>
        <v/>
      </c>
      <c r="Q258" s="209" t="str">
        <f>графік!S264</f>
        <v/>
      </c>
      <c r="R258" s="194" t="str">
        <f>графік!T264</f>
        <v/>
      </c>
    </row>
    <row r="259" spans="1:18" x14ac:dyDescent="0.35">
      <c r="A259" s="40" t="str">
        <f>графік!A265</f>
        <v/>
      </c>
      <c r="B259" s="42" t="str">
        <f ca="1">графік!C265</f>
        <v xml:space="preserve"> </v>
      </c>
      <c r="C259" s="41" t="str">
        <f>графік!D265</f>
        <v/>
      </c>
      <c r="D259" s="194" t="str">
        <f>графік!F265</f>
        <v/>
      </c>
      <c r="E259" s="193" t="str">
        <f>графік!G265</f>
        <v/>
      </c>
      <c r="F259" s="194" t="str">
        <f>графік!H265</f>
        <v/>
      </c>
      <c r="G259" s="194" t="str">
        <f>графік!I265</f>
        <v/>
      </c>
      <c r="H259" s="194" t="str">
        <f>графік!J265</f>
        <v/>
      </c>
      <c r="I259" s="194" t="str">
        <f>графік!K265</f>
        <v/>
      </c>
      <c r="J259" s="194" t="str">
        <f>графік!L265</f>
        <v/>
      </c>
      <c r="K259" s="194" t="str">
        <f>графік!M265</f>
        <v/>
      </c>
      <c r="L259" s="194" t="str">
        <f>графік!N265</f>
        <v/>
      </c>
      <c r="M259" s="194" t="str">
        <f>графік!O265</f>
        <v/>
      </c>
      <c r="N259" s="194" t="str">
        <f>графік!P265</f>
        <v/>
      </c>
      <c r="O259" s="194" t="str">
        <f>графік!Q265</f>
        <v/>
      </c>
      <c r="P259" s="194" t="str">
        <f>графік!R265</f>
        <v/>
      </c>
      <c r="Q259" s="209" t="str">
        <f>графік!S265</f>
        <v/>
      </c>
      <c r="R259" s="194" t="str">
        <f>графік!T265</f>
        <v/>
      </c>
    </row>
    <row r="260" spans="1:18" x14ac:dyDescent="0.35">
      <c r="A260" s="40" t="str">
        <f>графік!A266</f>
        <v/>
      </c>
      <c r="B260" s="42" t="str">
        <f ca="1">графік!C266</f>
        <v xml:space="preserve"> </v>
      </c>
      <c r="C260" s="41" t="str">
        <f>графік!D266</f>
        <v/>
      </c>
      <c r="D260" s="194" t="str">
        <f>графік!F266</f>
        <v/>
      </c>
      <c r="E260" s="193" t="str">
        <f>графік!G266</f>
        <v/>
      </c>
      <c r="F260" s="194" t="str">
        <f>графік!H266</f>
        <v/>
      </c>
      <c r="G260" s="194" t="str">
        <f>графік!I266</f>
        <v/>
      </c>
      <c r="H260" s="194" t="str">
        <f>графік!J266</f>
        <v/>
      </c>
      <c r="I260" s="194" t="str">
        <f>графік!K266</f>
        <v/>
      </c>
      <c r="J260" s="194" t="str">
        <f>графік!L266</f>
        <v/>
      </c>
      <c r="K260" s="194" t="str">
        <f>графік!M266</f>
        <v/>
      </c>
      <c r="L260" s="194" t="str">
        <f>графік!N266</f>
        <v/>
      </c>
      <c r="M260" s="194" t="str">
        <f>графік!O266</f>
        <v/>
      </c>
      <c r="N260" s="194" t="str">
        <f>графік!P266</f>
        <v/>
      </c>
      <c r="O260" s="194" t="str">
        <f>графік!Q266</f>
        <v/>
      </c>
      <c r="P260" s="194" t="str">
        <f>графік!R266</f>
        <v/>
      </c>
      <c r="Q260" s="209" t="str">
        <f>графік!S266</f>
        <v/>
      </c>
      <c r="R260" s="194" t="str">
        <f>графік!T266</f>
        <v/>
      </c>
    </row>
    <row r="261" spans="1:18" x14ac:dyDescent="0.35">
      <c r="A261" s="40" t="str">
        <f>графік!A267</f>
        <v/>
      </c>
      <c r="B261" s="42" t="str">
        <f ca="1">графік!C267</f>
        <v xml:space="preserve"> </v>
      </c>
      <c r="C261" s="41" t="str">
        <f>графік!D267</f>
        <v/>
      </c>
      <c r="D261" s="194" t="str">
        <f>графік!F267</f>
        <v/>
      </c>
      <c r="E261" s="193" t="str">
        <f>графік!G267</f>
        <v/>
      </c>
      <c r="F261" s="194" t="str">
        <f>графік!H267</f>
        <v/>
      </c>
      <c r="G261" s="194" t="str">
        <f>графік!I267</f>
        <v/>
      </c>
      <c r="H261" s="194" t="str">
        <f>графік!J267</f>
        <v/>
      </c>
      <c r="I261" s="194" t="str">
        <f>графік!K267</f>
        <v/>
      </c>
      <c r="J261" s="194" t="str">
        <f>графік!L267</f>
        <v/>
      </c>
      <c r="K261" s="194" t="str">
        <f>графік!M267</f>
        <v/>
      </c>
      <c r="L261" s="194" t="str">
        <f>графік!N267</f>
        <v/>
      </c>
      <c r="M261" s="194" t="str">
        <f>графік!O267</f>
        <v/>
      </c>
      <c r="N261" s="194" t="str">
        <f>графік!P267</f>
        <v/>
      </c>
      <c r="O261" s="194" t="str">
        <f>графік!Q267</f>
        <v/>
      </c>
      <c r="P261" s="194" t="str">
        <f>графік!R267</f>
        <v/>
      </c>
      <c r="Q261" s="209" t="str">
        <f>графік!S267</f>
        <v/>
      </c>
      <c r="R261" s="194" t="str">
        <f>графік!T267</f>
        <v/>
      </c>
    </row>
    <row r="262" spans="1:18" x14ac:dyDescent="0.35">
      <c r="A262" s="40" t="str">
        <f>графік!A268</f>
        <v/>
      </c>
      <c r="B262" s="42"/>
      <c r="C262" s="41"/>
      <c r="D262" s="194" t="str">
        <f>графік!F268</f>
        <v/>
      </c>
      <c r="E262" s="193" t="str">
        <f>графік!G268</f>
        <v/>
      </c>
      <c r="F262" s="194" t="str">
        <f>графік!H268</f>
        <v/>
      </c>
      <c r="G262" s="194" t="str">
        <f>графік!I268</f>
        <v/>
      </c>
      <c r="H262" s="194" t="str">
        <f>графік!J268</f>
        <v/>
      </c>
      <c r="I262" s="194" t="str">
        <f>графік!K268</f>
        <v/>
      </c>
      <c r="J262" s="194" t="str">
        <f>графік!L268</f>
        <v/>
      </c>
      <c r="K262" s="194" t="str">
        <f>графік!M268</f>
        <v/>
      </c>
      <c r="L262" s="194" t="str">
        <f>графік!N268</f>
        <v/>
      </c>
      <c r="M262" s="194" t="str">
        <f>графік!O268</f>
        <v/>
      </c>
      <c r="N262" s="194" t="str">
        <f>графік!P268</f>
        <v/>
      </c>
      <c r="O262" s="194" t="str">
        <f>графік!Q268</f>
        <v/>
      </c>
      <c r="P262" s="194" t="str">
        <f>графік!R268</f>
        <v/>
      </c>
      <c r="Q262" s="209" t="str">
        <f>графік!S268</f>
        <v/>
      </c>
      <c r="R262" s="194" t="str">
        <f>графік!T268</f>
        <v/>
      </c>
    </row>
  </sheetData>
  <mergeCells count="27">
    <mergeCell ref="A2:R2"/>
    <mergeCell ref="A3:E3"/>
    <mergeCell ref="A4:B4"/>
    <mergeCell ref="A9:A19"/>
    <mergeCell ref="B9:B19"/>
    <mergeCell ref="C9:C19"/>
    <mergeCell ref="D9:D19"/>
    <mergeCell ref="A5:B5"/>
    <mergeCell ref="E10:E19"/>
    <mergeCell ref="E9:P9"/>
    <mergeCell ref="G10:P10"/>
    <mergeCell ref="G12:G19"/>
    <mergeCell ref="H12:H19"/>
    <mergeCell ref="I12:I19"/>
    <mergeCell ref="R9:R19"/>
    <mergeCell ref="Q9:Q19"/>
    <mergeCell ref="F10:F19"/>
    <mergeCell ref="J12:J19"/>
    <mergeCell ref="K12:K19"/>
    <mergeCell ref="L12:L19"/>
    <mergeCell ref="M12:M19"/>
    <mergeCell ref="G11:J11"/>
    <mergeCell ref="N12:N19"/>
    <mergeCell ref="O12:O19"/>
    <mergeCell ref="P12:P19"/>
    <mergeCell ref="M11:P11"/>
    <mergeCell ref="K11:L11"/>
  </mergeCells>
  <pageMargins left="0.25" right="0.25" top="0.75" bottom="0.75" header="0.3" footer="0.3"/>
  <pageSetup paperSize="9" scale="9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F503A-6B56-49A0-B8AD-8233BE2621CC}">
  <dimension ref="A1:E91"/>
  <sheetViews>
    <sheetView tabSelected="1" zoomScale="55" zoomScaleNormal="55" workbookViewId="0">
      <selection activeCell="O26" sqref="O26"/>
    </sheetView>
  </sheetViews>
  <sheetFormatPr defaultRowHeight="14" x14ac:dyDescent="0.3"/>
  <cols>
    <col min="1" max="1" width="40" style="238" customWidth="1"/>
    <col min="2" max="2" width="40.1796875" style="238" bestFit="1" customWidth="1"/>
    <col min="3" max="3" width="37.90625" style="238" customWidth="1"/>
    <col min="4" max="4" width="35.453125" style="238" bestFit="1" customWidth="1"/>
    <col min="5" max="16384" width="8.7265625" style="238"/>
  </cols>
  <sheetData>
    <row r="1" spans="1:5" x14ac:dyDescent="0.3">
      <c r="A1" s="426" t="s">
        <v>563</v>
      </c>
      <c r="B1" s="426"/>
      <c r="C1" s="426"/>
      <c r="D1" s="426"/>
    </row>
    <row r="2" spans="1:5" ht="14.5" x14ac:dyDescent="0.35">
      <c r="A2" s="427" t="s">
        <v>564</v>
      </c>
      <c r="B2" s="427"/>
      <c r="C2" s="427"/>
      <c r="D2" s="427"/>
    </row>
    <row r="4" spans="1:5" x14ac:dyDescent="0.3">
      <c r="A4" s="428" t="s">
        <v>565</v>
      </c>
      <c r="B4" s="428"/>
      <c r="C4" s="428"/>
      <c r="D4" s="428"/>
    </row>
    <row r="5" spans="1:5" x14ac:dyDescent="0.3">
      <c r="A5" s="239" t="s">
        <v>528</v>
      </c>
      <c r="B5" s="239" t="s">
        <v>566</v>
      </c>
      <c r="C5" s="239" t="s">
        <v>69</v>
      </c>
      <c r="D5" s="239" t="s">
        <v>581</v>
      </c>
    </row>
    <row r="6" spans="1:5" x14ac:dyDescent="0.3">
      <c r="A6" s="240">
        <v>1</v>
      </c>
      <c r="B6" s="240" t="s">
        <v>567</v>
      </c>
      <c r="C6" s="241">
        <f ca="1">графік!F3</f>
        <v>45195</v>
      </c>
      <c r="D6" s="433">
        <f>'Таблиця обчислення'!G21</f>
        <v>0</v>
      </c>
      <c r="E6" s="243" t="s">
        <v>580</v>
      </c>
    </row>
    <row r="7" spans="1:5" x14ac:dyDescent="0.3">
      <c r="A7" s="240">
        <v>2</v>
      </c>
      <c r="B7" s="240" t="s">
        <v>568</v>
      </c>
      <c r="C7" s="241">
        <f ca="1">C6</f>
        <v>45195</v>
      </c>
      <c r="D7" s="433">
        <f>'Таблиця обчислення'!H21</f>
        <v>0</v>
      </c>
      <c r="E7" s="243" t="s">
        <v>580</v>
      </c>
    </row>
    <row r="8" spans="1:5" x14ac:dyDescent="0.3">
      <c r="A8" s="240">
        <v>3</v>
      </c>
      <c r="B8" s="240" t="s">
        <v>569</v>
      </c>
      <c r="C8" s="241">
        <f ca="1">C6</f>
        <v>45195</v>
      </c>
      <c r="D8" s="433">
        <f>'Таблиця обчислення'!I21</f>
        <v>14925</v>
      </c>
      <c r="E8" s="243" t="s">
        <v>580</v>
      </c>
    </row>
    <row r="9" spans="1:5" x14ac:dyDescent="0.3">
      <c r="A9" s="240">
        <v>4</v>
      </c>
      <c r="B9" s="240" t="s">
        <v>585</v>
      </c>
      <c r="C9" s="241">
        <f ca="1">графік!F3</f>
        <v>45195</v>
      </c>
      <c r="D9" s="433">
        <f>графік!R14</f>
        <v>2500</v>
      </c>
      <c r="E9" s="243" t="s">
        <v>580</v>
      </c>
    </row>
    <row r="10" spans="1:5" x14ac:dyDescent="0.3">
      <c r="A10" s="240">
        <v>5</v>
      </c>
      <c r="B10" s="240" t="s">
        <v>585</v>
      </c>
      <c r="C10" s="241">
        <f ca="1">EDATE(C9,13)</f>
        <v>45591</v>
      </c>
      <c r="D10" s="433">
        <f>D9</f>
        <v>2500</v>
      </c>
      <c r="E10" s="243" t="s">
        <v>580</v>
      </c>
    </row>
    <row r="11" spans="1:5" x14ac:dyDescent="0.3">
      <c r="A11" s="240">
        <v>6</v>
      </c>
      <c r="B11" s="240" t="s">
        <v>585</v>
      </c>
      <c r="C11" s="241">
        <f ca="1">EDATE(C10,12)</f>
        <v>45956</v>
      </c>
      <c r="D11" s="433">
        <f>D9</f>
        <v>2500</v>
      </c>
      <c r="E11" s="243" t="s">
        <v>580</v>
      </c>
    </row>
    <row r="12" spans="1:5" x14ac:dyDescent="0.3">
      <c r="A12" s="240">
        <v>7</v>
      </c>
      <c r="B12" s="240" t="s">
        <v>585</v>
      </c>
      <c r="C12" s="241">
        <f t="shared" ref="C12:C13" ca="1" si="0">EDATE(C11,12)</f>
        <v>46321</v>
      </c>
      <c r="D12" s="433">
        <f>D9</f>
        <v>2500</v>
      </c>
      <c r="E12" s="243" t="s">
        <v>580</v>
      </c>
    </row>
    <row r="13" spans="1:5" x14ac:dyDescent="0.3">
      <c r="A13" s="240">
        <v>8</v>
      </c>
      <c r="B13" s="240" t="s">
        <v>585</v>
      </c>
      <c r="C13" s="241">
        <f t="shared" ca="1" si="0"/>
        <v>46686</v>
      </c>
      <c r="D13" s="433">
        <f>D9</f>
        <v>2500</v>
      </c>
      <c r="E13" s="243" t="s">
        <v>580</v>
      </c>
    </row>
    <row r="15" spans="1:5" x14ac:dyDescent="0.3">
      <c r="A15" s="428" t="s">
        <v>570</v>
      </c>
      <c r="B15" s="428"/>
      <c r="C15" s="428"/>
      <c r="D15" s="428"/>
    </row>
    <row r="16" spans="1:5" x14ac:dyDescent="0.3">
      <c r="A16" s="239" t="s">
        <v>528</v>
      </c>
      <c r="B16" s="240" t="s">
        <v>571</v>
      </c>
      <c r="C16" s="240"/>
      <c r="D16" s="240"/>
    </row>
    <row r="17" spans="1:4" x14ac:dyDescent="0.3">
      <c r="A17" s="240">
        <v>1</v>
      </c>
      <c r="B17" s="430" t="s">
        <v>137</v>
      </c>
      <c r="C17" s="431"/>
      <c r="D17" s="432"/>
    </row>
    <row r="18" spans="1:4" x14ac:dyDescent="0.3">
      <c r="A18" s="240">
        <v>2</v>
      </c>
      <c r="B18" s="430" t="s">
        <v>138</v>
      </c>
      <c r="C18" s="431"/>
      <c r="D18" s="432"/>
    </row>
    <row r="19" spans="1:4" x14ac:dyDescent="0.3">
      <c r="A19" s="240">
        <v>3</v>
      </c>
      <c r="B19" s="430" t="s">
        <v>139</v>
      </c>
      <c r="C19" s="431"/>
      <c r="D19" s="432"/>
    </row>
    <row r="22" spans="1:4" x14ac:dyDescent="0.3">
      <c r="A22" s="424" t="s">
        <v>572</v>
      </c>
      <c r="B22" s="424"/>
      <c r="C22" s="424"/>
      <c r="D22" s="424"/>
    </row>
    <row r="23" spans="1:4" x14ac:dyDescent="0.3">
      <c r="A23" s="240" t="s">
        <v>573</v>
      </c>
      <c r="B23" s="240"/>
      <c r="C23" s="240"/>
      <c r="D23" s="434">
        <f ca="1">паспорт!B43</f>
        <v>0.24802380204200744</v>
      </c>
    </row>
    <row r="24" spans="1:4" x14ac:dyDescent="0.3">
      <c r="A24" s="240" t="s">
        <v>574</v>
      </c>
      <c r="B24" s="240"/>
      <c r="C24" s="240"/>
      <c r="D24" s="433">
        <f ca="1">паспорт!B42</f>
        <v>1161707.6299999999</v>
      </c>
    </row>
    <row r="26" spans="1:4" ht="28" customHeight="1" x14ac:dyDescent="0.3">
      <c r="A26" s="429" t="s">
        <v>579</v>
      </c>
      <c r="B26" s="429"/>
      <c r="C26" s="429"/>
      <c r="D26" s="429"/>
    </row>
    <row r="28" spans="1:4" x14ac:dyDescent="0.3">
      <c r="A28" s="424" t="s">
        <v>575</v>
      </c>
      <c r="B28" s="424"/>
      <c r="C28" s="424"/>
      <c r="D28" s="424"/>
    </row>
    <row r="29" spans="1:4" x14ac:dyDescent="0.3">
      <c r="A29" s="425" t="s">
        <v>576</v>
      </c>
      <c r="B29" s="425"/>
      <c r="C29" s="425"/>
      <c r="D29" s="425"/>
    </row>
    <row r="30" spans="1:4" x14ac:dyDescent="0.3">
      <c r="A30" s="239" t="s">
        <v>528</v>
      </c>
      <c r="B30" s="239" t="s">
        <v>69</v>
      </c>
      <c r="C30" s="240" t="s">
        <v>577</v>
      </c>
      <c r="D30" s="240" t="s">
        <v>578</v>
      </c>
    </row>
    <row r="31" spans="1:4" x14ac:dyDescent="0.3">
      <c r="A31" s="240">
        <f>'Таблиця обчислення'!A22</f>
        <v>1</v>
      </c>
      <c r="B31" s="241">
        <f ca="1">'Таблиця обчислення'!B22</f>
        <v>45225</v>
      </c>
      <c r="C31" s="242">
        <f>'Таблиця обчислення'!E22</f>
        <v>12500</v>
      </c>
      <c r="D31" s="242">
        <f ca="1">'Таблиця обчислення'!F22</f>
        <v>11706.16</v>
      </c>
    </row>
    <row r="32" spans="1:4" x14ac:dyDescent="0.3">
      <c r="A32" s="240">
        <f>'Таблиця обчислення'!A23</f>
        <v>2</v>
      </c>
      <c r="B32" s="241">
        <f ca="1">'Таблиця обчислення'!B23</f>
        <v>45256</v>
      </c>
      <c r="C32" s="242">
        <f>'Таблиця обчислення'!E23</f>
        <v>12500</v>
      </c>
      <c r="D32" s="242">
        <f ca="1">'Таблиця обчислення'!F23</f>
        <v>11894.76</v>
      </c>
    </row>
    <row r="33" spans="1:4" x14ac:dyDescent="0.3">
      <c r="A33" s="240">
        <f>'Таблиця обчислення'!A24</f>
        <v>3</v>
      </c>
      <c r="B33" s="241">
        <f ca="1">'Таблиця обчислення'!B24</f>
        <v>45286</v>
      </c>
      <c r="C33" s="242">
        <f>'Таблиця обчислення'!E24</f>
        <v>12500</v>
      </c>
      <c r="D33" s="242">
        <f ca="1">'Таблиця обчислення'!F24</f>
        <v>11315.96</v>
      </c>
    </row>
    <row r="34" spans="1:4" x14ac:dyDescent="0.3">
      <c r="A34" s="240">
        <f>'Таблиця обчислення'!A25</f>
        <v>4</v>
      </c>
      <c r="B34" s="241">
        <f ca="1">'Таблиця обчислення'!B25</f>
        <v>45317</v>
      </c>
      <c r="C34" s="242">
        <f>'Таблиця обчислення'!E25</f>
        <v>12500</v>
      </c>
      <c r="D34" s="242">
        <f ca="1">'Таблиця обчислення'!F25</f>
        <v>11466.23</v>
      </c>
    </row>
    <row r="35" spans="1:4" x14ac:dyDescent="0.3">
      <c r="A35" s="240">
        <f>'Таблиця обчислення'!A26</f>
        <v>5</v>
      </c>
      <c r="B35" s="241">
        <f ca="1">'Таблиця обчислення'!B26</f>
        <v>45348</v>
      </c>
      <c r="C35" s="242">
        <f>'Таблиця обчислення'!E26</f>
        <v>12500</v>
      </c>
      <c r="D35" s="242">
        <f ca="1">'Таблиця обчислення'!F26</f>
        <v>11259.1</v>
      </c>
    </row>
    <row r="36" spans="1:4" x14ac:dyDescent="0.3">
      <c r="A36" s="240">
        <f>'Таблиця обчислення'!A27</f>
        <v>6</v>
      </c>
      <c r="B36" s="241">
        <f ca="1">'Таблиця обчислення'!B27</f>
        <v>45377</v>
      </c>
      <c r="C36" s="242">
        <f>'Таблиця обчислення'!E27</f>
        <v>12500</v>
      </c>
      <c r="D36" s="242">
        <f ca="1">'Таблиця обчислення'!F27</f>
        <v>10344.620000000001</v>
      </c>
    </row>
    <row r="37" spans="1:4" x14ac:dyDescent="0.3">
      <c r="A37" s="240">
        <f>'Таблиця обчислення'!A28</f>
        <v>7</v>
      </c>
      <c r="B37" s="241">
        <f ca="1">'Таблиця обчислення'!B28</f>
        <v>45408</v>
      </c>
      <c r="C37" s="242">
        <f>'Таблиця обчислення'!E28</f>
        <v>12500</v>
      </c>
      <c r="D37" s="242">
        <f ca="1">'Таблиця обчислення'!F28</f>
        <v>10856.99</v>
      </c>
    </row>
    <row r="38" spans="1:4" x14ac:dyDescent="0.3">
      <c r="A38" s="240">
        <f>'Таблиця обчислення'!A29</f>
        <v>8</v>
      </c>
      <c r="B38" s="241">
        <f ca="1">'Таблиця обчислення'!B29</f>
        <v>45438</v>
      </c>
      <c r="C38" s="242">
        <f>'Таблиця обчислення'!E29</f>
        <v>12500</v>
      </c>
      <c r="D38" s="242">
        <f ca="1">'Таблиця обчислення'!F29</f>
        <v>10312.19</v>
      </c>
    </row>
    <row r="39" spans="1:4" x14ac:dyDescent="0.3">
      <c r="A39" s="240">
        <f>'Таблиця обчислення'!A30</f>
        <v>9</v>
      </c>
      <c r="B39" s="241">
        <f ca="1">'Таблиця обчислення'!B30</f>
        <v>45469</v>
      </c>
      <c r="C39" s="242">
        <f>'Таблиця обчислення'!E30</f>
        <v>12500</v>
      </c>
      <c r="D39" s="242">
        <f ca="1">'Таблиця обчислення'!F30</f>
        <v>10454.879999999999</v>
      </c>
    </row>
    <row r="40" spans="1:4" x14ac:dyDescent="0.3">
      <c r="A40" s="240">
        <f>'Таблиця обчислення'!A31</f>
        <v>10</v>
      </c>
      <c r="B40" s="241">
        <f ca="1">'Таблиця обчислення'!B31</f>
        <v>45499</v>
      </c>
      <c r="C40" s="242">
        <f>'Таблиця обчислення'!E31</f>
        <v>12500</v>
      </c>
      <c r="D40" s="242">
        <f ca="1">'Таблиця обчислення'!F31</f>
        <v>9923.0499999999993</v>
      </c>
    </row>
    <row r="41" spans="1:4" x14ac:dyDescent="0.3">
      <c r="A41" s="240">
        <f>'Таблиця обчислення'!A32</f>
        <v>11</v>
      </c>
      <c r="B41" s="241">
        <f ca="1">'Таблиця обчислення'!B32</f>
        <v>45530</v>
      </c>
      <c r="C41" s="242">
        <f>'Таблиця обчислення'!E32</f>
        <v>12500</v>
      </c>
      <c r="D41" s="242">
        <f ca="1">'Таблиця обчислення'!F32</f>
        <v>10052.77</v>
      </c>
    </row>
    <row r="42" spans="1:4" x14ac:dyDescent="0.3">
      <c r="A42" s="240">
        <f>'Таблиця обчислення'!A33</f>
        <v>12</v>
      </c>
      <c r="B42" s="241">
        <f ca="1">'Таблиця обчислення'!B33</f>
        <v>45561</v>
      </c>
      <c r="C42" s="242">
        <f>'Таблиця обчислення'!E33</f>
        <v>12500</v>
      </c>
      <c r="D42" s="242">
        <f ca="1">'Таблиця обчислення'!F33</f>
        <v>9851.7099999999991</v>
      </c>
    </row>
    <row r="43" spans="1:4" x14ac:dyDescent="0.3">
      <c r="A43" s="240">
        <f>'Таблиця обчислення'!A34</f>
        <v>13</v>
      </c>
      <c r="B43" s="241">
        <f ca="1">'Таблиця обчислення'!B34</f>
        <v>45591</v>
      </c>
      <c r="C43" s="242">
        <f>'Таблиця обчислення'!E34</f>
        <v>12500</v>
      </c>
      <c r="D43" s="242">
        <f ca="1">'Таблиця обчислення'!F34</f>
        <v>9339.34</v>
      </c>
    </row>
    <row r="44" spans="1:4" x14ac:dyDescent="0.3">
      <c r="A44" s="240">
        <f>'Таблиця обчислення'!A35</f>
        <v>14</v>
      </c>
      <c r="B44" s="241">
        <f ca="1">'Таблиця обчислення'!B35</f>
        <v>45622</v>
      </c>
      <c r="C44" s="242">
        <f>'Таблиця обчислення'!E35</f>
        <v>12500</v>
      </c>
      <c r="D44" s="242">
        <f ca="1">'Таблиця обчислення'!F35</f>
        <v>9449.6</v>
      </c>
    </row>
    <row r="45" spans="1:4" x14ac:dyDescent="0.3">
      <c r="A45" s="240">
        <f>'Таблиця обчислення'!A36</f>
        <v>15</v>
      </c>
      <c r="B45" s="241">
        <f ca="1">'Таблиця обчислення'!B36</f>
        <v>45652</v>
      </c>
      <c r="C45" s="242">
        <f>'Таблиця обчислення'!E36</f>
        <v>12500</v>
      </c>
      <c r="D45" s="242">
        <f ca="1">'Таблиця обчислення'!F36</f>
        <v>8950.2000000000007</v>
      </c>
    </row>
    <row r="46" spans="1:4" x14ac:dyDescent="0.3">
      <c r="A46" s="240">
        <f>'Таблиця обчислення'!A37</f>
        <v>16</v>
      </c>
      <c r="B46" s="241">
        <f ca="1">'Таблиця обчислення'!B37</f>
        <v>45683</v>
      </c>
      <c r="C46" s="242">
        <f>'Таблиця обчислення'!E37</f>
        <v>12500</v>
      </c>
      <c r="D46" s="242">
        <f ca="1">'Таблиця обчислення'!F37</f>
        <v>9067.48</v>
      </c>
    </row>
    <row r="47" spans="1:4" x14ac:dyDescent="0.3">
      <c r="A47" s="240">
        <f>'Таблиця обчислення'!A38</f>
        <v>17</v>
      </c>
      <c r="B47" s="241">
        <f ca="1">'Таблиця обчислення'!B38</f>
        <v>45714</v>
      </c>
      <c r="C47" s="242">
        <f>'Таблиця обчислення'!E38</f>
        <v>12500</v>
      </c>
      <c r="D47" s="242">
        <f ca="1">'Таблиця обчислення'!F38</f>
        <v>8870.67</v>
      </c>
    </row>
    <row r="48" spans="1:4" x14ac:dyDescent="0.3">
      <c r="A48" s="240">
        <f>'Таблиця обчислення'!A39</f>
        <v>18</v>
      </c>
      <c r="B48" s="241">
        <f ca="1">'Таблиця обчислення'!B39</f>
        <v>45742</v>
      </c>
      <c r="C48" s="242">
        <f>'Таблиця обчислення'!E39</f>
        <v>12500</v>
      </c>
      <c r="D48" s="242">
        <f ca="1">'Таблиця обчислення'!F39</f>
        <v>7830.12</v>
      </c>
    </row>
    <row r="49" spans="1:4" x14ac:dyDescent="0.3">
      <c r="A49" s="240">
        <f>'Таблиця обчислення'!A40</f>
        <v>19</v>
      </c>
      <c r="B49" s="241">
        <f ca="1">'Таблиця обчислення'!B40</f>
        <v>45773</v>
      </c>
      <c r="C49" s="242">
        <f>'Таблиця обчислення'!E40</f>
        <v>12500</v>
      </c>
      <c r="D49" s="242">
        <f ca="1">'Таблиця обчислення'!F40</f>
        <v>8467.4599999999991</v>
      </c>
    </row>
    <row r="50" spans="1:4" x14ac:dyDescent="0.3">
      <c r="A50" s="240">
        <f>'Таблиця обчислення'!A41</f>
        <v>20</v>
      </c>
      <c r="B50" s="241">
        <f ca="1">'Таблиця обчислення'!B41</f>
        <v>45803</v>
      </c>
      <c r="C50" s="242">
        <f>'Таблиця обчислення'!E41</f>
        <v>12500</v>
      </c>
      <c r="D50" s="242">
        <f ca="1">'Таблиця обчислення'!F41</f>
        <v>7999.21</v>
      </c>
    </row>
    <row r="51" spans="1:4" x14ac:dyDescent="0.3">
      <c r="A51" s="240">
        <f>'Таблиця обчислення'!A42</f>
        <v>21</v>
      </c>
      <c r="B51" s="241">
        <f ca="1">'Таблиця обчислення'!B42</f>
        <v>45834</v>
      </c>
      <c r="C51" s="242">
        <f>'Таблиця обчислення'!E42</f>
        <v>12500</v>
      </c>
      <c r="D51" s="242">
        <f ca="1">'Таблиця обчислення'!F42</f>
        <v>8064.25</v>
      </c>
    </row>
    <row r="52" spans="1:4" x14ac:dyDescent="0.3">
      <c r="A52" s="240">
        <f>'Таблиця обчислення'!A43</f>
        <v>22</v>
      </c>
      <c r="B52" s="241">
        <f ca="1">'Таблиця обчислення'!B43</f>
        <v>45864</v>
      </c>
      <c r="C52" s="242">
        <f>'Таблиця обчислення'!E43</f>
        <v>12500</v>
      </c>
      <c r="D52" s="242">
        <f ca="1">'Таблиця обчислення'!F43</f>
        <v>7609.01</v>
      </c>
    </row>
    <row r="53" spans="1:4" x14ac:dyDescent="0.3">
      <c r="A53" s="240">
        <f>'Таблиця обчислення'!A44</f>
        <v>23</v>
      </c>
      <c r="B53" s="241">
        <f ca="1">'Таблиця обчислення'!B44</f>
        <v>45895</v>
      </c>
      <c r="C53" s="242">
        <f>'Таблиця обчислення'!E44</f>
        <v>12500</v>
      </c>
      <c r="D53" s="242">
        <f ca="1">'Таблиця обчислення'!F44</f>
        <v>7661.03</v>
      </c>
    </row>
    <row r="54" spans="1:4" x14ac:dyDescent="0.3">
      <c r="A54" s="240">
        <f>'Таблиця обчислення'!A45</f>
        <v>24</v>
      </c>
      <c r="B54" s="241">
        <f ca="1">'Таблиця обчислення'!B45</f>
        <v>45926</v>
      </c>
      <c r="C54" s="242">
        <f>'Таблиця обчислення'!E45</f>
        <v>12500</v>
      </c>
      <c r="D54" s="242">
        <f ca="1">'Таблиця обчислення'!F45</f>
        <v>7459.43</v>
      </c>
    </row>
    <row r="55" spans="1:4" x14ac:dyDescent="0.3">
      <c r="A55" s="240">
        <f>'Таблиця обчислення'!A46</f>
        <v>25</v>
      </c>
      <c r="B55" s="241">
        <f ca="1">'Таблиця обчислення'!B46</f>
        <v>45956</v>
      </c>
      <c r="C55" s="242">
        <f>'Таблиця обчислення'!E46</f>
        <v>12500</v>
      </c>
      <c r="D55" s="242">
        <f ca="1">'Таблиця обчислення'!F46</f>
        <v>7023.7</v>
      </c>
    </row>
    <row r="56" spans="1:4" x14ac:dyDescent="0.3">
      <c r="A56" s="240">
        <f>'Таблиця обчислення'!A47</f>
        <v>26</v>
      </c>
      <c r="B56" s="241">
        <f ca="1">'Таблиця обчислення'!B47</f>
        <v>45987</v>
      </c>
      <c r="C56" s="242">
        <f>'Таблиця обчислення'!E47</f>
        <v>12500</v>
      </c>
      <c r="D56" s="242">
        <f ca="1">'Таблиця обчислення'!F47</f>
        <v>7056.22</v>
      </c>
    </row>
    <row r="57" spans="1:4" x14ac:dyDescent="0.3">
      <c r="A57" s="240">
        <f>'Таблиця обчислення'!A48</f>
        <v>27</v>
      </c>
      <c r="B57" s="241">
        <f ca="1">'Таблиця обчислення'!B48</f>
        <v>46017</v>
      </c>
      <c r="C57" s="242">
        <f>'Таблиця обчислення'!E48</f>
        <v>12500</v>
      </c>
      <c r="D57" s="242">
        <f ca="1">'Таблиця обчислення'!F48</f>
        <v>6633.49</v>
      </c>
    </row>
    <row r="58" spans="1:4" x14ac:dyDescent="0.3">
      <c r="A58" s="240">
        <f>'Таблиця обчислення'!A49</f>
        <v>28</v>
      </c>
      <c r="B58" s="241">
        <f ca="1">'Таблиця обчислення'!B49</f>
        <v>46048</v>
      </c>
      <c r="C58" s="242">
        <f>'Таблиця обчислення'!E49</f>
        <v>12500</v>
      </c>
      <c r="D58" s="242">
        <f ca="1">'Таблиця обчислення'!F49</f>
        <v>6653</v>
      </c>
    </row>
    <row r="59" spans="1:4" x14ac:dyDescent="0.3">
      <c r="A59" s="240">
        <f>'Таблиця обчислення'!A50</f>
        <v>29</v>
      </c>
      <c r="B59" s="241">
        <f ca="1">'Таблиця обчислення'!B50</f>
        <v>46079</v>
      </c>
      <c r="C59" s="242">
        <f>'Таблиця обчислення'!E50</f>
        <v>12500</v>
      </c>
      <c r="D59" s="242">
        <f ca="1">'Таблиця обчислення'!F50</f>
        <v>6451.4</v>
      </c>
    </row>
    <row r="60" spans="1:4" x14ac:dyDescent="0.3">
      <c r="A60" s="240">
        <f>'Таблиця обчислення'!A51</f>
        <v>30</v>
      </c>
      <c r="B60" s="241">
        <f ca="1">'Таблиця обчислення'!B51</f>
        <v>46107</v>
      </c>
      <c r="C60" s="242">
        <f>'Таблиця обчислення'!E51</f>
        <v>12500</v>
      </c>
      <c r="D60" s="242">
        <f ca="1">'Таблиця обчислення'!F51</f>
        <v>5644.97</v>
      </c>
    </row>
    <row r="61" spans="1:4" x14ac:dyDescent="0.3">
      <c r="A61" s="240">
        <f>'Таблиця обчислення'!A52</f>
        <v>31</v>
      </c>
      <c r="B61" s="241">
        <f ca="1">'Таблиця обчислення'!B52</f>
        <v>46138</v>
      </c>
      <c r="C61" s="242">
        <f>'Таблиця обчислення'!E52</f>
        <v>12500</v>
      </c>
      <c r="D61" s="242">
        <f ca="1">'Таблиця обчислення'!F52</f>
        <v>6048.18</v>
      </c>
    </row>
    <row r="62" spans="1:4" x14ac:dyDescent="0.3">
      <c r="A62" s="240">
        <f>'Таблиця обчислення'!A53</f>
        <v>32</v>
      </c>
      <c r="B62" s="241">
        <f ca="1">'Таблиця обчислення'!B53</f>
        <v>46168</v>
      </c>
      <c r="C62" s="242">
        <f>'Таблиця обчислення'!E53</f>
        <v>12500</v>
      </c>
      <c r="D62" s="242">
        <f ca="1">'Таблиця обчислення'!F53</f>
        <v>5657.98</v>
      </c>
    </row>
    <row r="63" spans="1:4" x14ac:dyDescent="0.3">
      <c r="A63" s="240">
        <f>'Таблиця обчислення'!A54</f>
        <v>33</v>
      </c>
      <c r="B63" s="241">
        <f ca="1">'Таблиця обчислення'!B54</f>
        <v>46199</v>
      </c>
      <c r="C63" s="242">
        <f>'Таблиця обчислення'!E54</f>
        <v>12500</v>
      </c>
      <c r="D63" s="242">
        <f ca="1">'Таблиця обчислення'!F54</f>
        <v>5644.97</v>
      </c>
    </row>
    <row r="64" spans="1:4" x14ac:dyDescent="0.3">
      <c r="A64" s="240">
        <f>'Таблиця обчислення'!A55</f>
        <v>34</v>
      </c>
      <c r="B64" s="241">
        <f ca="1">'Таблиця обчислення'!B55</f>
        <v>46229</v>
      </c>
      <c r="C64" s="242">
        <f>'Таблиця обчислення'!E55</f>
        <v>12500</v>
      </c>
      <c r="D64" s="242">
        <f ca="1">'Таблиця обчислення'!F55</f>
        <v>5267.77</v>
      </c>
    </row>
    <row r="65" spans="1:4" x14ac:dyDescent="0.3">
      <c r="A65" s="240">
        <f>'Таблиця обчислення'!A56</f>
        <v>35</v>
      </c>
      <c r="B65" s="241">
        <f ca="1">'Таблиця обчислення'!B56</f>
        <v>46260</v>
      </c>
      <c r="C65" s="242">
        <f>'Таблиця обчислення'!E56</f>
        <v>12500</v>
      </c>
      <c r="D65" s="242">
        <f ca="1">'Таблиця обчислення'!F56</f>
        <v>5241.76</v>
      </c>
    </row>
    <row r="66" spans="1:4" x14ac:dyDescent="0.3">
      <c r="A66" s="240">
        <f>'Таблиця обчислення'!A57</f>
        <v>36</v>
      </c>
      <c r="B66" s="241">
        <f ca="1">'Таблиця обчислення'!B57</f>
        <v>46291</v>
      </c>
      <c r="C66" s="242">
        <f>'Таблиця обчислення'!E57</f>
        <v>12500</v>
      </c>
      <c r="D66" s="242">
        <f ca="1">'Таблиця обчислення'!F57</f>
        <v>5040.1499999999996</v>
      </c>
    </row>
    <row r="67" spans="1:4" x14ac:dyDescent="0.3">
      <c r="A67" s="240">
        <f>'Таблиця обчислення'!A58</f>
        <v>37</v>
      </c>
      <c r="B67" s="241">
        <f ca="1">'Таблиця обчислення'!B58</f>
        <v>46321</v>
      </c>
      <c r="C67" s="242">
        <f>'Таблиця обчислення'!E58</f>
        <v>12500</v>
      </c>
      <c r="D67" s="242">
        <f ca="1">'Таблиця обчислення'!F58</f>
        <v>4682.47</v>
      </c>
    </row>
    <row r="68" spans="1:4" x14ac:dyDescent="0.3">
      <c r="A68" s="240">
        <f>'Таблиця обчислення'!A59</f>
        <v>38</v>
      </c>
      <c r="B68" s="241">
        <f ca="1">'Таблиця обчислення'!B59</f>
        <v>46352</v>
      </c>
      <c r="C68" s="242">
        <f>'Таблиця обчислення'!E59</f>
        <v>12500</v>
      </c>
      <c r="D68" s="242">
        <f ca="1">'Таблиця обчислення'!F59</f>
        <v>4636.9399999999996</v>
      </c>
    </row>
    <row r="69" spans="1:4" x14ac:dyDescent="0.3">
      <c r="A69" s="240">
        <f>'Таблиця обчислення'!A60</f>
        <v>39</v>
      </c>
      <c r="B69" s="241">
        <f ca="1">'Таблиця обчислення'!B60</f>
        <v>46382</v>
      </c>
      <c r="C69" s="242">
        <f>'Таблиця обчислення'!E60</f>
        <v>12500</v>
      </c>
      <c r="D69" s="242">
        <f ca="1">'Таблиця обчислення'!F60</f>
        <v>4292.26</v>
      </c>
    </row>
    <row r="70" spans="1:4" x14ac:dyDescent="0.3">
      <c r="A70" s="240">
        <f>'Таблиця обчислення'!A61</f>
        <v>40</v>
      </c>
      <c r="B70" s="241">
        <f ca="1">'Таблиця обчислення'!B61</f>
        <v>46413</v>
      </c>
      <c r="C70" s="242">
        <f>'Таблиця обчислення'!E61</f>
        <v>12500</v>
      </c>
      <c r="D70" s="242">
        <f ca="1">'Таблиця обчислення'!F61</f>
        <v>4233.7299999999996</v>
      </c>
    </row>
    <row r="71" spans="1:4" x14ac:dyDescent="0.3">
      <c r="A71" s="240">
        <f>'Таблиця обчислення'!A62</f>
        <v>41</v>
      </c>
      <c r="B71" s="241">
        <f ca="1">'Таблиця обчислення'!B62</f>
        <v>46444</v>
      </c>
      <c r="C71" s="242">
        <f>'Таблиця обчислення'!E62</f>
        <v>12500</v>
      </c>
      <c r="D71" s="242">
        <f ca="1">'Таблиця обчислення'!F62</f>
        <v>4032.12</v>
      </c>
    </row>
    <row r="72" spans="1:4" x14ac:dyDescent="0.3">
      <c r="A72" s="240">
        <f>'Таблиця обчислення'!A63</f>
        <v>42</v>
      </c>
      <c r="B72" s="241">
        <f ca="1">'Таблиця обчислення'!B63</f>
        <v>46472</v>
      </c>
      <c r="C72" s="242">
        <f>'Таблиця обчислення'!E63</f>
        <v>12500</v>
      </c>
      <c r="D72" s="242">
        <f ca="1">'Таблиця обчислення'!F63</f>
        <v>3459.82</v>
      </c>
    </row>
    <row r="73" spans="1:4" x14ac:dyDescent="0.3">
      <c r="A73" s="240">
        <f>'Таблиця обчислення'!A64</f>
        <v>43</v>
      </c>
      <c r="B73" s="241">
        <f ca="1">'Таблиця обчислення'!B64</f>
        <v>46503</v>
      </c>
      <c r="C73" s="242">
        <f>'Таблиця обчислення'!E64</f>
        <v>12500</v>
      </c>
      <c r="D73" s="242">
        <f ca="1">'Таблиця обчислення'!F64</f>
        <v>3628.91</v>
      </c>
    </row>
    <row r="74" spans="1:4" x14ac:dyDescent="0.3">
      <c r="A74" s="240">
        <f>'Таблиця обчислення'!A65</f>
        <v>44</v>
      </c>
      <c r="B74" s="241">
        <f ca="1">'Таблиця обчислення'!B65</f>
        <v>46533</v>
      </c>
      <c r="C74" s="242">
        <f>'Таблиця обчислення'!E65</f>
        <v>12500</v>
      </c>
      <c r="D74" s="242">
        <f ca="1">'Таблиця обчислення'!F65</f>
        <v>3316.75</v>
      </c>
    </row>
    <row r="75" spans="1:4" x14ac:dyDescent="0.3">
      <c r="A75" s="240">
        <f>'Таблиця обчислення'!A66</f>
        <v>45</v>
      </c>
      <c r="B75" s="241">
        <f ca="1">'Таблиця обчислення'!B66</f>
        <v>46564</v>
      </c>
      <c r="C75" s="242">
        <f>'Таблиця обчислення'!E66</f>
        <v>12500</v>
      </c>
      <c r="D75" s="242">
        <f ca="1">'Таблиця обчислення'!F66</f>
        <v>3225.7</v>
      </c>
    </row>
    <row r="76" spans="1:4" x14ac:dyDescent="0.3">
      <c r="A76" s="240">
        <f>'Таблиця обчислення'!A67</f>
        <v>46</v>
      </c>
      <c r="B76" s="241">
        <f ca="1">'Таблиця обчислення'!B67</f>
        <v>46594</v>
      </c>
      <c r="C76" s="242">
        <f>'Таблиця обчислення'!E67</f>
        <v>12500</v>
      </c>
      <c r="D76" s="242">
        <f ca="1">'Таблиця обчислення'!F67</f>
        <v>2926.54</v>
      </c>
    </row>
    <row r="77" spans="1:4" x14ac:dyDescent="0.3">
      <c r="A77" s="240">
        <f>'Таблиця обчислення'!A68</f>
        <v>47</v>
      </c>
      <c r="B77" s="241">
        <f ca="1">'Таблиця обчислення'!B68</f>
        <v>46625</v>
      </c>
      <c r="C77" s="242">
        <f>'Таблиця обчислення'!E68</f>
        <v>12500</v>
      </c>
      <c r="D77" s="242">
        <f ca="1">'Таблиця обчислення'!F68</f>
        <v>2822.49</v>
      </c>
    </row>
    <row r="78" spans="1:4" x14ac:dyDescent="0.3">
      <c r="A78" s="240">
        <f>'Таблиця обчислення'!A69</f>
        <v>48</v>
      </c>
      <c r="B78" s="241">
        <f ca="1">'Таблиця обчислення'!B69</f>
        <v>46656</v>
      </c>
      <c r="C78" s="242">
        <f>'Таблиця обчислення'!E69</f>
        <v>12500</v>
      </c>
      <c r="D78" s="242">
        <f ca="1">'Таблиця обчислення'!F69</f>
        <v>2620.88</v>
      </c>
    </row>
    <row r="79" spans="1:4" x14ac:dyDescent="0.3">
      <c r="A79" s="240">
        <f>'Таблиця обчислення'!A70</f>
        <v>49</v>
      </c>
      <c r="B79" s="241">
        <f ca="1">'Таблиця обчислення'!B70</f>
        <v>46686</v>
      </c>
      <c r="C79" s="242">
        <f>'Таблиця обчислення'!E70</f>
        <v>12500</v>
      </c>
      <c r="D79" s="242">
        <f ca="1">'Таблиця обчислення'!F70</f>
        <v>2341.23</v>
      </c>
    </row>
    <row r="80" spans="1:4" x14ac:dyDescent="0.3">
      <c r="A80" s="240">
        <f>'Таблиця обчислення'!A71</f>
        <v>50</v>
      </c>
      <c r="B80" s="241">
        <f ca="1">'Таблиця обчислення'!B71</f>
        <v>46717</v>
      </c>
      <c r="C80" s="242">
        <f>'Таблиця обчислення'!E71</f>
        <v>12500</v>
      </c>
      <c r="D80" s="242">
        <f ca="1">'Таблиця обчислення'!F71</f>
        <v>2217.67</v>
      </c>
    </row>
    <row r="81" spans="1:4" x14ac:dyDescent="0.3">
      <c r="A81" s="240">
        <f>'Таблиця обчислення'!A72</f>
        <v>51</v>
      </c>
      <c r="B81" s="241">
        <f ca="1">'Таблиця обчислення'!B72</f>
        <v>46747</v>
      </c>
      <c r="C81" s="242">
        <f>'Таблиця обчислення'!E72</f>
        <v>12500</v>
      </c>
      <c r="D81" s="242">
        <f ca="1">'Таблиця обчислення'!F72</f>
        <v>1951.03</v>
      </c>
    </row>
    <row r="82" spans="1:4" x14ac:dyDescent="0.3">
      <c r="A82" s="240">
        <f>'Таблиця обчислення'!A73</f>
        <v>52</v>
      </c>
      <c r="B82" s="241">
        <f ca="1">'Таблиця обчислення'!B73</f>
        <v>46778</v>
      </c>
      <c r="C82" s="242">
        <f>'Таблиця обчислення'!E73</f>
        <v>12500</v>
      </c>
      <c r="D82" s="242">
        <f ca="1">'Таблиця обчислення'!F73</f>
        <v>1810.46</v>
      </c>
    </row>
    <row r="83" spans="1:4" x14ac:dyDescent="0.3">
      <c r="A83" s="240">
        <f>'Таблиця обчислення'!A74</f>
        <v>53</v>
      </c>
      <c r="B83" s="241">
        <f ca="1">'Таблиця обчислення'!B74</f>
        <v>46809</v>
      </c>
      <c r="C83" s="242">
        <f>'Таблиця обчислення'!E74</f>
        <v>12500</v>
      </c>
      <c r="D83" s="242">
        <f ca="1">'Таблиця обчислення'!F74</f>
        <v>1608.44</v>
      </c>
    </row>
    <row r="84" spans="1:4" x14ac:dyDescent="0.3">
      <c r="A84" s="240">
        <f>'Таблиця обчислення'!A75</f>
        <v>54</v>
      </c>
      <c r="B84" s="241">
        <f ca="1">'Таблиця обчислення'!B75</f>
        <v>46838</v>
      </c>
      <c r="C84" s="242">
        <f>'Таблиця обчислення'!E75</f>
        <v>12500</v>
      </c>
      <c r="D84" s="242">
        <f ca="1">'Таблиця обчислення'!F75</f>
        <v>1316.59</v>
      </c>
    </row>
    <row r="85" spans="1:4" x14ac:dyDescent="0.3">
      <c r="A85" s="240">
        <f>'Таблиця обчислення'!A76</f>
        <v>55</v>
      </c>
      <c r="B85" s="241">
        <f ca="1">'Таблиця обчислення'!B76</f>
        <v>46869</v>
      </c>
      <c r="C85" s="242">
        <f>'Таблиця обчислення'!E76</f>
        <v>12500</v>
      </c>
      <c r="D85" s="242">
        <f ca="1">'Таблиця обчислення'!F76</f>
        <v>1206.33</v>
      </c>
    </row>
    <row r="86" spans="1:4" x14ac:dyDescent="0.3">
      <c r="A86" s="240">
        <f>'Таблиця обчислення'!A77</f>
        <v>56</v>
      </c>
      <c r="B86" s="241">
        <f ca="1">'Таблиця обчислення'!B77</f>
        <v>46899</v>
      </c>
      <c r="C86" s="242">
        <f>'Таблиця обчислення'!E77</f>
        <v>12500</v>
      </c>
      <c r="D86" s="242">
        <f ca="1">'Таблиця обчислення'!F77</f>
        <v>972.85</v>
      </c>
    </row>
    <row r="87" spans="1:4" x14ac:dyDescent="0.3">
      <c r="A87" s="240">
        <f>'Таблиця обчислення'!A78</f>
        <v>57</v>
      </c>
      <c r="B87" s="241">
        <f ca="1">'Таблиця обчислення'!B78</f>
        <v>46930</v>
      </c>
      <c r="C87" s="242">
        <f>'Таблиця обчислення'!E78</f>
        <v>12500</v>
      </c>
      <c r="D87" s="242">
        <f ca="1">'Таблиця обчислення'!F78</f>
        <v>804.22</v>
      </c>
    </row>
    <row r="88" spans="1:4" x14ac:dyDescent="0.3">
      <c r="A88" s="240">
        <f>'Таблиця обчислення'!A79</f>
        <v>58</v>
      </c>
      <c r="B88" s="241">
        <f ca="1">'Таблиця обчислення'!B79</f>
        <v>46960</v>
      </c>
      <c r="C88" s="242">
        <f>'Таблиця обчислення'!E79</f>
        <v>12500</v>
      </c>
      <c r="D88" s="242">
        <f ca="1">'Таблиця обчислення'!F79</f>
        <v>583.71</v>
      </c>
    </row>
    <row r="89" spans="1:4" x14ac:dyDescent="0.3">
      <c r="A89" s="240">
        <f>'Таблиця обчислення'!A80</f>
        <v>59</v>
      </c>
      <c r="B89" s="241">
        <f ca="1">'Таблиця обчислення'!B80</f>
        <v>46991</v>
      </c>
      <c r="C89" s="242">
        <f>'Таблиця обчислення'!E80</f>
        <v>12500</v>
      </c>
      <c r="D89" s="242">
        <f ca="1">'Таблиця обчислення'!F80</f>
        <v>402.11</v>
      </c>
    </row>
    <row r="90" spans="1:4" x14ac:dyDescent="0.3">
      <c r="A90" s="240">
        <f>'Таблиця обчислення'!A81</f>
        <v>60</v>
      </c>
      <c r="B90" s="241">
        <f ca="1">'Таблиця обчислення'!B81</f>
        <v>47021</v>
      </c>
      <c r="C90" s="242">
        <f>'Таблиця обчислення'!E81</f>
        <v>12500</v>
      </c>
      <c r="D90" s="242">
        <f ca="1">'Таблиця обчислення'!F81</f>
        <v>194.57</v>
      </c>
    </row>
    <row r="91" spans="1:4" x14ac:dyDescent="0.3">
      <c r="A91" s="240" t="str">
        <f>'Таблиця обчислення'!A82</f>
        <v/>
      </c>
      <c r="B91" s="241" t="str">
        <f ca="1">'Таблиця обчислення'!B82</f>
        <v xml:space="preserve"> </v>
      </c>
      <c r="C91" s="242">
        <f>'Таблиця обчислення'!E82</f>
        <v>750000</v>
      </c>
      <c r="D91" s="242">
        <f ca="1">'Таблиця обчислення'!F82</f>
        <v>361857.63</v>
      </c>
    </row>
  </sheetData>
  <mergeCells count="11">
    <mergeCell ref="A28:D28"/>
    <mergeCell ref="A29:D29"/>
    <mergeCell ref="A1:D1"/>
    <mergeCell ref="A2:D2"/>
    <mergeCell ref="A4:D4"/>
    <mergeCell ref="A15:D15"/>
    <mergeCell ref="A22:D22"/>
    <mergeCell ref="A26:D26"/>
    <mergeCell ref="B17:D17"/>
    <mergeCell ref="B18:D18"/>
    <mergeCell ref="B19:D19"/>
  </mergeCells>
  <pageMargins left="0.7" right="0.7" top="0.75" bottom="0.75" header="0.3" footer="0.3"/>
  <pageSetup paperSize="9" orientation="portrait" r:id="rId1"/>
  <headerFooter>
    <oddFooter>&amp;LАТ «ПРАВЕКС БАНК»_____________&amp;RПОЗИЧАЛЬНИК_____________</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7"/>
  <sheetViews>
    <sheetView topLeftCell="A2" workbookViewId="0">
      <selection sqref="A1:XFD1048576"/>
    </sheetView>
  </sheetViews>
  <sheetFormatPr defaultColWidth="9.1796875" defaultRowHeight="14.5" x14ac:dyDescent="0.35"/>
  <cols>
    <col min="2" max="2" width="60.1796875" customWidth="1"/>
    <col min="3" max="3" width="26.7265625" bestFit="1" customWidth="1"/>
    <col min="4" max="4" width="32.81640625" customWidth="1"/>
    <col min="6" max="6" width="50.7265625" customWidth="1"/>
    <col min="7" max="7" width="46.54296875" bestFit="1" customWidth="1"/>
  </cols>
  <sheetData>
    <row r="1" spans="1:10" x14ac:dyDescent="0.35">
      <c r="A1" s="128"/>
      <c r="B1" s="129" t="s">
        <v>155</v>
      </c>
      <c r="C1" s="129"/>
      <c r="D1" s="130"/>
      <c r="E1" s="130"/>
      <c r="F1" s="128"/>
      <c r="G1" s="128"/>
      <c r="H1" s="131"/>
      <c r="I1" s="131"/>
      <c r="J1" s="132"/>
    </row>
    <row r="2" spans="1:10" ht="54" customHeight="1" x14ac:dyDescent="0.35">
      <c r="A2" s="133">
        <v>1</v>
      </c>
      <c r="B2" s="134" t="s">
        <v>531</v>
      </c>
      <c r="C2" s="133" t="s">
        <v>156</v>
      </c>
      <c r="D2" s="135" t="s">
        <v>157</v>
      </c>
      <c r="E2" s="133" t="s">
        <v>158</v>
      </c>
      <c r="F2" s="134" t="s">
        <v>532</v>
      </c>
      <c r="G2" s="133" t="s">
        <v>533</v>
      </c>
      <c r="H2" s="136" t="s">
        <v>159</v>
      </c>
      <c r="I2" s="137" t="s">
        <v>160</v>
      </c>
      <c r="J2" s="138" t="s">
        <v>161</v>
      </c>
    </row>
    <row r="3" spans="1:10" ht="49" customHeight="1" x14ac:dyDescent="0.35">
      <c r="A3" s="133">
        <v>2</v>
      </c>
      <c r="B3" s="234" t="s">
        <v>162</v>
      </c>
      <c r="C3" s="133" t="s">
        <v>163</v>
      </c>
      <c r="D3" s="135" t="s">
        <v>164</v>
      </c>
      <c r="E3" s="133" t="s">
        <v>165</v>
      </c>
      <c r="F3" s="134" t="s">
        <v>166</v>
      </c>
      <c r="G3" s="133" t="s">
        <v>167</v>
      </c>
      <c r="H3" s="136" t="s">
        <v>168</v>
      </c>
      <c r="I3" s="137" t="s">
        <v>169</v>
      </c>
      <c r="J3" s="138" t="s">
        <v>161</v>
      </c>
    </row>
    <row r="4" spans="1:10" ht="33.75" customHeight="1" x14ac:dyDescent="0.35">
      <c r="A4" s="133">
        <v>3</v>
      </c>
      <c r="B4" s="134" t="s">
        <v>534</v>
      </c>
      <c r="C4" s="133" t="s">
        <v>170</v>
      </c>
      <c r="D4" s="135" t="s">
        <v>535</v>
      </c>
      <c r="E4" s="133" t="s">
        <v>536</v>
      </c>
      <c r="F4" s="133" t="s">
        <v>537</v>
      </c>
      <c r="G4" s="133" t="s">
        <v>538</v>
      </c>
      <c r="H4" s="133" t="s">
        <v>539</v>
      </c>
      <c r="I4" s="137" t="s">
        <v>171</v>
      </c>
      <c r="J4" s="138" t="s">
        <v>161</v>
      </c>
    </row>
    <row r="5" spans="1:10" ht="45.5" customHeight="1" x14ac:dyDescent="0.35">
      <c r="A5" s="133">
        <v>4</v>
      </c>
      <c r="B5" s="234" t="s">
        <v>172</v>
      </c>
      <c r="C5" s="133" t="s">
        <v>173</v>
      </c>
      <c r="D5" s="135" t="s">
        <v>174</v>
      </c>
      <c r="E5" s="133" t="s">
        <v>175</v>
      </c>
      <c r="F5" s="134" t="s">
        <v>176</v>
      </c>
      <c r="G5" s="133" t="s">
        <v>177</v>
      </c>
      <c r="H5" s="136" t="s">
        <v>178</v>
      </c>
      <c r="I5" s="137" t="s">
        <v>179</v>
      </c>
      <c r="J5" s="138" t="s">
        <v>161</v>
      </c>
    </row>
    <row r="6" spans="1:10" ht="44" customHeight="1" x14ac:dyDescent="0.35">
      <c r="A6" s="133">
        <v>5</v>
      </c>
      <c r="B6" s="234" t="s">
        <v>180</v>
      </c>
      <c r="C6" s="133" t="s">
        <v>181</v>
      </c>
      <c r="D6" s="135" t="s">
        <v>182</v>
      </c>
      <c r="E6" s="133" t="s">
        <v>183</v>
      </c>
      <c r="F6" s="134" t="s">
        <v>184</v>
      </c>
      <c r="G6" s="133" t="s">
        <v>185</v>
      </c>
      <c r="H6" s="136" t="s">
        <v>186</v>
      </c>
      <c r="I6" s="137" t="s">
        <v>187</v>
      </c>
      <c r="J6" s="138" t="s">
        <v>161</v>
      </c>
    </row>
    <row r="7" spans="1:10" ht="41.25" customHeight="1" x14ac:dyDescent="0.35">
      <c r="A7" s="133">
        <v>6</v>
      </c>
      <c r="B7" s="234" t="s">
        <v>188</v>
      </c>
      <c r="C7" s="133" t="s">
        <v>189</v>
      </c>
      <c r="D7" s="135" t="s">
        <v>190</v>
      </c>
      <c r="E7" s="133" t="s">
        <v>191</v>
      </c>
      <c r="F7" s="134" t="s">
        <v>192</v>
      </c>
      <c r="G7" s="133" t="s">
        <v>193</v>
      </c>
      <c r="H7" s="136" t="s">
        <v>194</v>
      </c>
      <c r="I7" s="137" t="s">
        <v>195</v>
      </c>
      <c r="J7" s="138" t="s">
        <v>161</v>
      </c>
    </row>
    <row r="8" spans="1:10" ht="52" customHeight="1" x14ac:dyDescent="0.35">
      <c r="A8" s="133">
        <v>7</v>
      </c>
      <c r="B8" s="134" t="s">
        <v>196</v>
      </c>
      <c r="C8" s="133" t="s">
        <v>197</v>
      </c>
      <c r="D8" s="135" t="s">
        <v>198</v>
      </c>
      <c r="E8" s="133" t="s">
        <v>199</v>
      </c>
      <c r="F8" s="134" t="s">
        <v>200</v>
      </c>
      <c r="G8" s="133" t="s">
        <v>201</v>
      </c>
      <c r="H8" s="136" t="s">
        <v>202</v>
      </c>
      <c r="I8" s="137" t="s">
        <v>203</v>
      </c>
      <c r="J8" s="138" t="s">
        <v>161</v>
      </c>
    </row>
    <row r="9" spans="1:10" ht="44" customHeight="1" x14ac:dyDescent="0.35">
      <c r="A9" s="133">
        <v>8</v>
      </c>
      <c r="B9" s="134" t="s">
        <v>204</v>
      </c>
      <c r="C9" s="133" t="s">
        <v>205</v>
      </c>
      <c r="D9" s="135" t="s">
        <v>206</v>
      </c>
      <c r="E9" s="133" t="s">
        <v>207</v>
      </c>
      <c r="F9" s="133" t="s">
        <v>540</v>
      </c>
      <c r="G9" s="133" t="s">
        <v>541</v>
      </c>
      <c r="H9" s="136" t="s">
        <v>208</v>
      </c>
      <c r="I9" s="137" t="s">
        <v>209</v>
      </c>
      <c r="J9" s="138" t="s">
        <v>161</v>
      </c>
    </row>
    <row r="10" spans="1:10" ht="26" customHeight="1" x14ac:dyDescent="0.35">
      <c r="A10" s="133">
        <v>9</v>
      </c>
      <c r="B10" s="134" t="s">
        <v>210</v>
      </c>
      <c r="C10" s="133" t="s">
        <v>211</v>
      </c>
      <c r="D10" s="135" t="s">
        <v>212</v>
      </c>
      <c r="E10" s="133" t="s">
        <v>213</v>
      </c>
      <c r="F10" s="134" t="s">
        <v>214</v>
      </c>
      <c r="G10" s="133" t="s">
        <v>215</v>
      </c>
      <c r="H10" s="136" t="s">
        <v>216</v>
      </c>
      <c r="I10" s="137" t="s">
        <v>217</v>
      </c>
      <c r="J10" s="138" t="s">
        <v>161</v>
      </c>
    </row>
    <row r="11" spans="1:10" ht="48.5" customHeight="1" x14ac:dyDescent="0.35">
      <c r="A11" s="133">
        <v>10</v>
      </c>
      <c r="B11" s="134" t="s">
        <v>218</v>
      </c>
      <c r="C11" s="133" t="s">
        <v>219</v>
      </c>
      <c r="D11" s="135" t="s">
        <v>220</v>
      </c>
      <c r="E11" s="133" t="s">
        <v>221</v>
      </c>
      <c r="F11" s="134" t="s">
        <v>222</v>
      </c>
      <c r="G11" s="133" t="s">
        <v>223</v>
      </c>
      <c r="H11" s="136" t="s">
        <v>224</v>
      </c>
      <c r="I11" s="137" t="s">
        <v>225</v>
      </c>
      <c r="J11" s="138" t="s">
        <v>161</v>
      </c>
    </row>
    <row r="12" spans="1:10" ht="36" customHeight="1" x14ac:dyDescent="0.35">
      <c r="A12" s="133">
        <v>11</v>
      </c>
      <c r="B12" s="134" t="s">
        <v>226</v>
      </c>
      <c r="C12" s="133" t="s">
        <v>227</v>
      </c>
      <c r="D12" s="135" t="s">
        <v>228</v>
      </c>
      <c r="E12" s="133" t="s">
        <v>229</v>
      </c>
      <c r="F12" s="134" t="s">
        <v>230</v>
      </c>
      <c r="G12" s="133" t="s">
        <v>231</v>
      </c>
      <c r="H12" s="136" t="s">
        <v>232</v>
      </c>
      <c r="I12" s="137" t="s">
        <v>233</v>
      </c>
      <c r="J12" s="138" t="s">
        <v>161</v>
      </c>
    </row>
    <row r="13" spans="1:10" ht="16.5" customHeight="1" x14ac:dyDescent="0.35">
      <c r="A13" s="133">
        <v>12</v>
      </c>
      <c r="B13" s="134" t="s">
        <v>234</v>
      </c>
      <c r="C13" s="133" t="s">
        <v>235</v>
      </c>
      <c r="D13" s="135" t="s">
        <v>236</v>
      </c>
      <c r="E13" s="133" t="s">
        <v>237</v>
      </c>
      <c r="F13" s="134" t="s">
        <v>238</v>
      </c>
      <c r="G13" s="133" t="s">
        <v>239</v>
      </c>
      <c r="H13" s="136" t="s">
        <v>240</v>
      </c>
      <c r="I13" s="137" t="s">
        <v>241</v>
      </c>
      <c r="J13" s="138" t="s">
        <v>161</v>
      </c>
    </row>
    <row r="14" spans="1:10" ht="25.5" customHeight="1" x14ac:dyDescent="0.35">
      <c r="A14" s="133">
        <v>13</v>
      </c>
      <c r="B14" s="134" t="s">
        <v>242</v>
      </c>
      <c r="C14" s="133" t="s">
        <v>243</v>
      </c>
      <c r="D14" s="135" t="s">
        <v>244</v>
      </c>
      <c r="E14" s="133" t="s">
        <v>245</v>
      </c>
      <c r="F14" s="134" t="s">
        <v>246</v>
      </c>
      <c r="G14" s="133" t="s">
        <v>247</v>
      </c>
      <c r="H14" s="136" t="s">
        <v>248</v>
      </c>
      <c r="I14" s="137" t="s">
        <v>249</v>
      </c>
      <c r="J14" s="138" t="s">
        <v>161</v>
      </c>
    </row>
    <row r="15" spans="1:10" ht="40.5" customHeight="1" x14ac:dyDescent="0.35">
      <c r="A15" s="133">
        <v>14</v>
      </c>
      <c r="B15" s="134" t="s">
        <v>250</v>
      </c>
      <c r="C15" s="133" t="s">
        <v>251</v>
      </c>
      <c r="D15" s="135" t="s">
        <v>542</v>
      </c>
      <c r="E15" s="133" t="s">
        <v>543</v>
      </c>
      <c r="F15" s="133" t="s">
        <v>544</v>
      </c>
      <c r="G15" s="133" t="s">
        <v>545</v>
      </c>
      <c r="H15" s="133" t="s">
        <v>253</v>
      </c>
      <c r="I15" s="133" t="s">
        <v>254</v>
      </c>
      <c r="J15" s="138" t="s">
        <v>161</v>
      </c>
    </row>
    <row r="16" spans="1:10" ht="36.5" customHeight="1" x14ac:dyDescent="0.35">
      <c r="A16" s="133">
        <v>15</v>
      </c>
      <c r="B16" s="134" t="s">
        <v>255</v>
      </c>
      <c r="C16" s="133" t="s">
        <v>256</v>
      </c>
      <c r="D16" s="135" t="s">
        <v>257</v>
      </c>
      <c r="E16" s="133" t="s">
        <v>258</v>
      </c>
      <c r="F16" s="134" t="s">
        <v>259</v>
      </c>
      <c r="G16" s="133" t="s">
        <v>260</v>
      </c>
      <c r="H16" s="136" t="s">
        <v>261</v>
      </c>
      <c r="I16" s="137" t="s">
        <v>262</v>
      </c>
      <c r="J16" s="138" t="s">
        <v>161</v>
      </c>
    </row>
    <row r="17" spans="1:10" ht="70" customHeight="1" x14ac:dyDescent="0.35">
      <c r="A17" s="133">
        <v>16</v>
      </c>
      <c r="B17" s="134" t="s">
        <v>546</v>
      </c>
      <c r="C17" s="133" t="s">
        <v>263</v>
      </c>
      <c r="D17" s="135" t="s">
        <v>264</v>
      </c>
      <c r="E17" s="133" t="s">
        <v>265</v>
      </c>
      <c r="F17" s="133" t="s">
        <v>547</v>
      </c>
      <c r="G17" s="133" t="s">
        <v>548</v>
      </c>
      <c r="H17" s="136" t="s">
        <v>266</v>
      </c>
      <c r="I17" s="137" t="s">
        <v>267</v>
      </c>
      <c r="J17" s="138" t="s">
        <v>161</v>
      </c>
    </row>
    <row r="18" spans="1:10" ht="44" customHeight="1" x14ac:dyDescent="0.35">
      <c r="A18" s="133">
        <v>17</v>
      </c>
      <c r="B18" s="134" t="s">
        <v>268</v>
      </c>
      <c r="C18" s="133" t="s">
        <v>269</v>
      </c>
      <c r="D18" s="135" t="s">
        <v>549</v>
      </c>
      <c r="E18" s="133" t="s">
        <v>270</v>
      </c>
      <c r="F18" s="134" t="s">
        <v>271</v>
      </c>
      <c r="G18" s="133" t="s">
        <v>252</v>
      </c>
      <c r="H18" s="136" t="s">
        <v>272</v>
      </c>
      <c r="I18" s="137" t="s">
        <v>273</v>
      </c>
      <c r="J18" s="138" t="s">
        <v>161</v>
      </c>
    </row>
    <row r="19" spans="1:10" ht="28.5" customHeight="1" x14ac:dyDescent="0.35">
      <c r="A19" s="133">
        <v>18</v>
      </c>
      <c r="B19" s="134" t="s">
        <v>274</v>
      </c>
      <c r="C19" s="133" t="s">
        <v>275</v>
      </c>
      <c r="D19" s="135" t="s">
        <v>276</v>
      </c>
      <c r="E19" s="133" t="s">
        <v>277</v>
      </c>
      <c r="F19" s="134" t="s">
        <v>278</v>
      </c>
      <c r="G19" s="133" t="s">
        <v>279</v>
      </c>
      <c r="H19" s="136" t="s">
        <v>280</v>
      </c>
      <c r="I19" s="137" t="s">
        <v>281</v>
      </c>
      <c r="J19" s="138" t="s">
        <v>161</v>
      </c>
    </row>
    <row r="20" spans="1:10" ht="16.5" customHeight="1" x14ac:dyDescent="0.35">
      <c r="A20" s="133">
        <v>19</v>
      </c>
      <c r="B20" s="134" t="s">
        <v>282</v>
      </c>
      <c r="C20" s="133" t="s">
        <v>283</v>
      </c>
      <c r="D20" s="135" t="s">
        <v>284</v>
      </c>
      <c r="E20" s="133" t="s">
        <v>285</v>
      </c>
      <c r="F20" s="134" t="s">
        <v>286</v>
      </c>
      <c r="G20" s="133" t="s">
        <v>287</v>
      </c>
      <c r="H20" s="136" t="s">
        <v>288</v>
      </c>
      <c r="I20" s="137" t="s">
        <v>289</v>
      </c>
      <c r="J20" s="138" t="s">
        <v>290</v>
      </c>
    </row>
    <row r="21" spans="1:10" ht="36.5" customHeight="1" x14ac:dyDescent="0.35">
      <c r="A21" s="133">
        <v>20</v>
      </c>
      <c r="B21" s="134" t="s">
        <v>291</v>
      </c>
      <c r="C21" s="133" t="s">
        <v>292</v>
      </c>
      <c r="D21" s="135" t="s">
        <v>293</v>
      </c>
      <c r="E21" s="133" t="s">
        <v>294</v>
      </c>
      <c r="F21" s="133" t="s">
        <v>550</v>
      </c>
      <c r="G21" s="133" t="s">
        <v>551</v>
      </c>
      <c r="H21" s="136" t="s">
        <v>295</v>
      </c>
      <c r="I21" s="137" t="s">
        <v>296</v>
      </c>
      <c r="J21" s="138" t="s">
        <v>161</v>
      </c>
    </row>
    <row r="22" spans="1:10" ht="29.25" customHeight="1" x14ac:dyDescent="0.35">
      <c r="A22" s="133">
        <v>21</v>
      </c>
      <c r="B22" s="134" t="s">
        <v>297</v>
      </c>
      <c r="C22" s="133" t="s">
        <v>298</v>
      </c>
      <c r="D22" s="135" t="s">
        <v>299</v>
      </c>
      <c r="E22" s="133" t="s">
        <v>300</v>
      </c>
      <c r="F22" s="134" t="s">
        <v>301</v>
      </c>
      <c r="G22" s="133" t="s">
        <v>302</v>
      </c>
      <c r="H22" s="136" t="s">
        <v>303</v>
      </c>
      <c r="I22" s="137" t="s">
        <v>304</v>
      </c>
      <c r="J22" s="138" t="s">
        <v>161</v>
      </c>
    </row>
    <row r="23" spans="1:10" ht="27" customHeight="1" x14ac:dyDescent="0.35">
      <c r="A23" s="133">
        <v>22</v>
      </c>
      <c r="B23" s="134" t="s">
        <v>305</v>
      </c>
      <c r="C23" s="133" t="s">
        <v>306</v>
      </c>
      <c r="D23" s="135" t="s">
        <v>307</v>
      </c>
      <c r="E23" s="133" t="s">
        <v>308</v>
      </c>
      <c r="F23" s="134" t="s">
        <v>309</v>
      </c>
      <c r="G23" s="133" t="s">
        <v>310</v>
      </c>
      <c r="H23" s="136" t="s">
        <v>311</v>
      </c>
      <c r="I23" s="137" t="s">
        <v>312</v>
      </c>
      <c r="J23" s="138" t="s">
        <v>161</v>
      </c>
    </row>
    <row r="24" spans="1:10" ht="17.25" customHeight="1" x14ac:dyDescent="0.35">
      <c r="A24" s="133">
        <v>23</v>
      </c>
      <c r="B24" s="134" t="s">
        <v>313</v>
      </c>
      <c r="C24" s="133" t="s">
        <v>314</v>
      </c>
      <c r="D24" s="135" t="s">
        <v>315</v>
      </c>
      <c r="E24" s="133" t="s">
        <v>316</v>
      </c>
      <c r="F24" s="134" t="s">
        <v>317</v>
      </c>
      <c r="G24" s="133" t="s">
        <v>318</v>
      </c>
      <c r="H24" s="136" t="s">
        <v>319</v>
      </c>
      <c r="I24" s="137" t="s">
        <v>320</v>
      </c>
      <c r="J24" s="138" t="s">
        <v>161</v>
      </c>
    </row>
    <row r="25" spans="1:10" ht="31.5" customHeight="1" x14ac:dyDescent="0.35">
      <c r="A25" s="133">
        <v>24</v>
      </c>
      <c r="B25" s="134" t="s">
        <v>321</v>
      </c>
      <c r="C25" s="133" t="s">
        <v>322</v>
      </c>
      <c r="D25" s="135" t="s">
        <v>323</v>
      </c>
      <c r="E25" s="133" t="s">
        <v>324</v>
      </c>
      <c r="F25" s="134" t="s">
        <v>325</v>
      </c>
      <c r="G25" s="133" t="s">
        <v>326</v>
      </c>
      <c r="H25" s="136" t="s">
        <v>327</v>
      </c>
      <c r="I25" s="137" t="s">
        <v>328</v>
      </c>
      <c r="J25" s="138" t="s">
        <v>161</v>
      </c>
    </row>
    <row r="26" spans="1:10" ht="26.25" customHeight="1" x14ac:dyDescent="0.35">
      <c r="A26" s="133">
        <v>25</v>
      </c>
      <c r="B26" s="134" t="s">
        <v>329</v>
      </c>
      <c r="C26" s="133" t="s">
        <v>330</v>
      </c>
      <c r="D26" s="135" t="s">
        <v>331</v>
      </c>
      <c r="E26" s="133" t="s">
        <v>332</v>
      </c>
      <c r="F26" s="134" t="s">
        <v>333</v>
      </c>
      <c r="G26" s="133" t="s">
        <v>334</v>
      </c>
      <c r="H26" s="136" t="s">
        <v>335</v>
      </c>
      <c r="I26" s="137" t="s">
        <v>336</v>
      </c>
      <c r="J26" s="138" t="s">
        <v>161</v>
      </c>
    </row>
    <row r="27" spans="1:10" ht="17.25" customHeight="1" x14ac:dyDescent="0.35">
      <c r="A27" s="133">
        <v>26</v>
      </c>
      <c r="B27" s="134" t="s">
        <v>337</v>
      </c>
      <c r="C27" s="133" t="s">
        <v>338</v>
      </c>
      <c r="D27" s="135" t="s">
        <v>339</v>
      </c>
      <c r="E27" s="133" t="s">
        <v>340</v>
      </c>
      <c r="F27" s="134" t="s">
        <v>341</v>
      </c>
      <c r="G27" s="133" t="s">
        <v>342</v>
      </c>
      <c r="H27" s="136" t="s">
        <v>343</v>
      </c>
      <c r="I27" s="137" t="s">
        <v>344</v>
      </c>
      <c r="J27" s="138" t="s">
        <v>161</v>
      </c>
    </row>
    <row r="28" spans="1:10" ht="17.25" customHeight="1" x14ac:dyDescent="0.35">
      <c r="A28" s="133">
        <v>27</v>
      </c>
      <c r="B28" s="134" t="s">
        <v>345</v>
      </c>
      <c r="C28" s="133" t="s">
        <v>346</v>
      </c>
      <c r="D28" s="135" t="s">
        <v>347</v>
      </c>
      <c r="E28" s="133" t="s">
        <v>348</v>
      </c>
      <c r="F28" s="134" t="s">
        <v>349</v>
      </c>
      <c r="G28" s="133" t="s">
        <v>350</v>
      </c>
      <c r="H28" s="136" t="s">
        <v>351</v>
      </c>
      <c r="I28" s="137" t="s">
        <v>352</v>
      </c>
      <c r="J28" s="138" t="s">
        <v>161</v>
      </c>
    </row>
    <row r="29" spans="1:10" ht="17.25" customHeight="1" x14ac:dyDescent="0.35">
      <c r="A29" s="133">
        <v>28</v>
      </c>
      <c r="B29" s="134" t="s">
        <v>353</v>
      </c>
      <c r="C29" s="133" t="s">
        <v>354</v>
      </c>
      <c r="D29" s="135" t="s">
        <v>355</v>
      </c>
      <c r="E29" s="133" t="s">
        <v>356</v>
      </c>
      <c r="F29" s="134" t="s">
        <v>357</v>
      </c>
      <c r="G29" s="133" t="s">
        <v>358</v>
      </c>
      <c r="H29" s="136" t="s">
        <v>359</v>
      </c>
      <c r="I29" s="137" t="s">
        <v>360</v>
      </c>
      <c r="J29" s="138" t="s">
        <v>161</v>
      </c>
    </row>
    <row r="30" spans="1:10" ht="29.25" customHeight="1" x14ac:dyDescent="0.35">
      <c r="A30" s="133">
        <v>29</v>
      </c>
      <c r="B30" s="134" t="s">
        <v>552</v>
      </c>
      <c r="C30" s="133" t="s">
        <v>361</v>
      </c>
      <c r="D30" s="135" t="s">
        <v>362</v>
      </c>
      <c r="E30" s="133" t="s">
        <v>363</v>
      </c>
      <c r="F30" s="134" t="s">
        <v>364</v>
      </c>
      <c r="G30" s="133" t="s">
        <v>365</v>
      </c>
      <c r="H30" s="136" t="s">
        <v>366</v>
      </c>
      <c r="I30" s="137" t="s">
        <v>367</v>
      </c>
      <c r="J30" s="138" t="s">
        <v>161</v>
      </c>
    </row>
    <row r="31" spans="1:10" ht="28.5" customHeight="1" x14ac:dyDescent="0.35">
      <c r="A31" s="133">
        <v>30</v>
      </c>
      <c r="B31" s="134" t="s">
        <v>368</v>
      </c>
      <c r="C31" s="133" t="s">
        <v>369</v>
      </c>
      <c r="D31" s="135" t="s">
        <v>370</v>
      </c>
      <c r="E31" s="133" t="s">
        <v>371</v>
      </c>
      <c r="F31" s="134" t="s">
        <v>372</v>
      </c>
      <c r="G31" s="133" t="s">
        <v>373</v>
      </c>
      <c r="H31" s="136" t="s">
        <v>374</v>
      </c>
      <c r="I31" s="137" t="s">
        <v>375</v>
      </c>
      <c r="J31" s="138" t="s">
        <v>161</v>
      </c>
    </row>
    <row r="32" spans="1:10" ht="35.25" customHeight="1" x14ac:dyDescent="0.35">
      <c r="A32" s="133">
        <v>31</v>
      </c>
      <c r="B32" s="134" t="s">
        <v>376</v>
      </c>
      <c r="C32" s="133" t="s">
        <v>377</v>
      </c>
      <c r="D32" s="135" t="s">
        <v>378</v>
      </c>
      <c r="E32" s="133" t="s">
        <v>379</v>
      </c>
      <c r="F32" s="134" t="s">
        <v>380</v>
      </c>
      <c r="G32" s="133" t="s">
        <v>381</v>
      </c>
      <c r="H32" s="136" t="s">
        <v>382</v>
      </c>
      <c r="I32" s="137" t="s">
        <v>383</v>
      </c>
      <c r="J32" s="138" t="s">
        <v>161</v>
      </c>
    </row>
    <row r="33" spans="1:10" ht="17.25" customHeight="1" x14ac:dyDescent="0.35">
      <c r="A33" s="133">
        <v>32</v>
      </c>
      <c r="B33" s="134" t="s">
        <v>384</v>
      </c>
      <c r="C33" s="133" t="s">
        <v>385</v>
      </c>
      <c r="D33" s="135" t="s">
        <v>386</v>
      </c>
      <c r="E33" s="133" t="s">
        <v>387</v>
      </c>
      <c r="F33" s="134" t="s">
        <v>388</v>
      </c>
      <c r="G33" s="133" t="s">
        <v>389</v>
      </c>
      <c r="H33" s="136" t="s">
        <v>390</v>
      </c>
      <c r="I33" s="137" t="s">
        <v>391</v>
      </c>
      <c r="J33" s="138" t="s">
        <v>161</v>
      </c>
    </row>
    <row r="34" spans="1:10" ht="17.25" customHeight="1" x14ac:dyDescent="0.35">
      <c r="A34" s="133">
        <v>33</v>
      </c>
      <c r="B34" s="134" t="s">
        <v>392</v>
      </c>
      <c r="C34" s="133" t="s">
        <v>393</v>
      </c>
      <c r="D34" s="135" t="s">
        <v>394</v>
      </c>
      <c r="E34" s="133" t="s">
        <v>395</v>
      </c>
      <c r="F34" s="134" t="s">
        <v>396</v>
      </c>
      <c r="G34" s="133" t="s">
        <v>397</v>
      </c>
      <c r="H34" s="136" t="s">
        <v>398</v>
      </c>
      <c r="I34" s="137" t="s">
        <v>399</v>
      </c>
      <c r="J34" s="138" t="s">
        <v>161</v>
      </c>
    </row>
    <row r="35" spans="1:10" ht="47" customHeight="1" x14ac:dyDescent="0.35">
      <c r="A35" s="133">
        <v>34</v>
      </c>
      <c r="B35" s="134" t="s">
        <v>553</v>
      </c>
      <c r="C35" s="133" t="s">
        <v>400</v>
      </c>
      <c r="D35" s="135" t="s">
        <v>401</v>
      </c>
      <c r="E35" s="133" t="s">
        <v>402</v>
      </c>
      <c r="F35" s="134" t="s">
        <v>403</v>
      </c>
      <c r="G35" s="133" t="s">
        <v>404</v>
      </c>
      <c r="H35" s="136" t="s">
        <v>405</v>
      </c>
      <c r="I35" s="137" t="s">
        <v>406</v>
      </c>
      <c r="J35" s="138" t="s">
        <v>161</v>
      </c>
    </row>
    <row r="36" spans="1:10" ht="39.75" customHeight="1" x14ac:dyDescent="0.35">
      <c r="A36" s="133">
        <v>35</v>
      </c>
      <c r="B36" s="134" t="s">
        <v>407</v>
      </c>
      <c r="C36" s="133" t="s">
        <v>408</v>
      </c>
      <c r="D36" s="135" t="s">
        <v>409</v>
      </c>
      <c r="E36" s="133" t="s">
        <v>410</v>
      </c>
      <c r="F36" s="134" t="s">
        <v>411</v>
      </c>
      <c r="G36" s="133" t="s">
        <v>412</v>
      </c>
      <c r="H36" s="136" t="s">
        <v>413</v>
      </c>
      <c r="I36" s="137" t="s">
        <v>414</v>
      </c>
      <c r="J36" s="138" t="s">
        <v>161</v>
      </c>
    </row>
    <row r="37" spans="1:10" ht="36.75" customHeight="1" x14ac:dyDescent="0.35">
      <c r="A37" s="133">
        <v>36</v>
      </c>
      <c r="B37" s="134" t="s">
        <v>415</v>
      </c>
      <c r="C37" s="133" t="s">
        <v>416</v>
      </c>
      <c r="D37" s="135" t="s">
        <v>417</v>
      </c>
      <c r="E37" s="133" t="s">
        <v>418</v>
      </c>
      <c r="F37" s="133" t="s">
        <v>554</v>
      </c>
      <c r="G37" s="133" t="s">
        <v>555</v>
      </c>
      <c r="H37" s="136" t="s">
        <v>419</v>
      </c>
      <c r="I37" s="137" t="s">
        <v>420</v>
      </c>
      <c r="J37" s="138" t="s">
        <v>161</v>
      </c>
    </row>
    <row r="38" spans="1:10" ht="36" customHeight="1" x14ac:dyDescent="0.35">
      <c r="A38" s="133">
        <v>37</v>
      </c>
      <c r="B38" s="134" t="s">
        <v>421</v>
      </c>
      <c r="C38" s="133" t="s">
        <v>422</v>
      </c>
      <c r="D38" s="135" t="s">
        <v>423</v>
      </c>
      <c r="E38" s="133" t="s">
        <v>424</v>
      </c>
      <c r="F38" s="134" t="s">
        <v>425</v>
      </c>
      <c r="G38" s="133" t="s">
        <v>426</v>
      </c>
      <c r="H38" s="136" t="s">
        <v>427</v>
      </c>
      <c r="I38" s="137" t="s">
        <v>428</v>
      </c>
      <c r="J38" s="138" t="s">
        <v>161</v>
      </c>
    </row>
    <row r="39" spans="1:10" ht="36.75" customHeight="1" x14ac:dyDescent="0.35">
      <c r="A39" s="133">
        <v>38</v>
      </c>
      <c r="B39" s="134" t="s">
        <v>429</v>
      </c>
      <c r="C39" s="133" t="s">
        <v>430</v>
      </c>
      <c r="D39" s="135" t="s">
        <v>431</v>
      </c>
      <c r="E39" s="133" t="s">
        <v>432</v>
      </c>
      <c r="F39" s="134" t="s">
        <v>433</v>
      </c>
      <c r="G39" s="133" t="s">
        <v>434</v>
      </c>
      <c r="H39" s="136" t="s">
        <v>435</v>
      </c>
      <c r="I39" s="137" t="s">
        <v>436</v>
      </c>
      <c r="J39" s="138" t="s">
        <v>161</v>
      </c>
    </row>
    <row r="40" spans="1:10" ht="39" customHeight="1" x14ac:dyDescent="0.35">
      <c r="A40" s="133">
        <v>39</v>
      </c>
      <c r="B40" s="134" t="s">
        <v>437</v>
      </c>
      <c r="C40" s="133" t="s">
        <v>438</v>
      </c>
      <c r="D40" s="135" t="s">
        <v>439</v>
      </c>
      <c r="E40" s="133" t="s">
        <v>440</v>
      </c>
      <c r="F40" s="134" t="s">
        <v>441</v>
      </c>
      <c r="G40" s="133" t="s">
        <v>442</v>
      </c>
      <c r="H40" s="136" t="s">
        <v>443</v>
      </c>
      <c r="I40" s="137" t="s">
        <v>444</v>
      </c>
      <c r="J40" s="138" t="s">
        <v>161</v>
      </c>
    </row>
    <row r="41" spans="1:10" ht="41.25" customHeight="1" x14ac:dyDescent="0.35">
      <c r="A41" s="133">
        <v>40</v>
      </c>
      <c r="B41" s="134" t="s">
        <v>445</v>
      </c>
      <c r="C41" s="133" t="s">
        <v>446</v>
      </c>
      <c r="D41" s="135" t="s">
        <v>447</v>
      </c>
      <c r="E41" s="133" t="s">
        <v>448</v>
      </c>
      <c r="F41" s="134" t="s">
        <v>449</v>
      </c>
      <c r="G41" s="133" t="s">
        <v>450</v>
      </c>
      <c r="H41" s="136" t="s">
        <v>451</v>
      </c>
      <c r="I41" s="137" t="s">
        <v>452</v>
      </c>
      <c r="J41" s="138" t="s">
        <v>161</v>
      </c>
    </row>
    <row r="42" spans="1:10" ht="17.25" customHeight="1" x14ac:dyDescent="0.35">
      <c r="A42" s="133">
        <v>41</v>
      </c>
      <c r="B42" s="134" t="s">
        <v>453</v>
      </c>
      <c r="C42" s="133" t="s">
        <v>454</v>
      </c>
      <c r="D42" s="135" t="s">
        <v>455</v>
      </c>
      <c r="E42" s="133" t="s">
        <v>456</v>
      </c>
      <c r="F42" s="134" t="s">
        <v>457</v>
      </c>
      <c r="G42" s="133" t="s">
        <v>458</v>
      </c>
      <c r="H42" s="136" t="s">
        <v>459</v>
      </c>
      <c r="I42" s="137" t="s">
        <v>460</v>
      </c>
      <c r="J42" s="138" t="s">
        <v>161</v>
      </c>
    </row>
    <row r="43" spans="1:10" ht="17.25" customHeight="1" x14ac:dyDescent="0.35">
      <c r="A43" s="133">
        <v>42</v>
      </c>
      <c r="B43" s="134" t="s">
        <v>461</v>
      </c>
      <c r="C43" s="133" t="s">
        <v>462</v>
      </c>
      <c r="D43" s="135" t="s">
        <v>463</v>
      </c>
      <c r="E43" s="133" t="s">
        <v>464</v>
      </c>
      <c r="F43" s="134" t="s">
        <v>465</v>
      </c>
      <c r="G43" s="133" t="s">
        <v>466</v>
      </c>
      <c r="H43" s="136" t="s">
        <v>467</v>
      </c>
      <c r="I43" s="137" t="s">
        <v>468</v>
      </c>
      <c r="J43" s="138" t="s">
        <v>161</v>
      </c>
    </row>
    <row r="44" spans="1:10" ht="17.25" customHeight="1" x14ac:dyDescent="0.35">
      <c r="A44" s="133">
        <v>43</v>
      </c>
      <c r="B44" s="134" t="s">
        <v>469</v>
      </c>
      <c r="C44" s="133" t="s">
        <v>470</v>
      </c>
      <c r="D44" s="135" t="s">
        <v>471</v>
      </c>
      <c r="E44" s="133" t="s">
        <v>472</v>
      </c>
      <c r="F44" s="134" t="s">
        <v>473</v>
      </c>
      <c r="G44" s="133" t="s">
        <v>474</v>
      </c>
      <c r="H44" s="136" t="s">
        <v>475</v>
      </c>
      <c r="I44" s="137" t="s">
        <v>476</v>
      </c>
      <c r="J44" s="138" t="s">
        <v>161</v>
      </c>
    </row>
    <row r="45" spans="1:10" ht="17.25" customHeight="1" x14ac:dyDescent="0.35">
      <c r="A45" s="133">
        <v>44</v>
      </c>
      <c r="B45" s="134" t="s">
        <v>477</v>
      </c>
      <c r="C45" s="133" t="s">
        <v>478</v>
      </c>
      <c r="D45" s="135" t="s">
        <v>479</v>
      </c>
      <c r="E45" s="133" t="s">
        <v>480</v>
      </c>
      <c r="F45" s="134" t="s">
        <v>481</v>
      </c>
      <c r="G45" s="133" t="s">
        <v>482</v>
      </c>
      <c r="H45" s="136" t="s">
        <v>483</v>
      </c>
      <c r="I45" s="137" t="s">
        <v>484</v>
      </c>
      <c r="J45" s="138" t="s">
        <v>161</v>
      </c>
    </row>
    <row r="46" spans="1:10" ht="29" customHeight="1" x14ac:dyDescent="0.35">
      <c r="A46" s="133">
        <v>45</v>
      </c>
      <c r="B46" s="134" t="s">
        <v>556</v>
      </c>
      <c r="C46" s="133" t="s">
        <v>485</v>
      </c>
      <c r="D46" s="135" t="s">
        <v>486</v>
      </c>
      <c r="E46" s="133" t="s">
        <v>487</v>
      </c>
      <c r="F46" s="134" t="s">
        <v>488</v>
      </c>
      <c r="G46" s="133" t="s">
        <v>489</v>
      </c>
      <c r="H46" s="136" t="s">
        <v>490</v>
      </c>
      <c r="I46" s="137" t="s">
        <v>491</v>
      </c>
      <c r="J46" s="138" t="s">
        <v>161</v>
      </c>
    </row>
    <row r="47" spans="1:10" ht="23.5" customHeight="1" x14ac:dyDescent="0.35">
      <c r="A47" s="235">
        <v>46</v>
      </c>
      <c r="B47" s="236" t="s">
        <v>557</v>
      </c>
      <c r="C47" s="133" t="s">
        <v>256</v>
      </c>
      <c r="D47" s="135" t="s">
        <v>558</v>
      </c>
      <c r="E47" s="133" t="s">
        <v>559</v>
      </c>
      <c r="F47" s="133" t="s">
        <v>560</v>
      </c>
      <c r="G47" s="133" t="s">
        <v>561</v>
      </c>
      <c r="H47" s="133" t="s">
        <v>261</v>
      </c>
      <c r="I47" s="133" t="s">
        <v>262</v>
      </c>
      <c r="J47" s="237" t="s">
        <v>562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2</vt:i4>
      </vt:variant>
    </vt:vector>
  </HeadingPairs>
  <TitlesOfParts>
    <vt:vector size="9" baseType="lpstr">
      <vt:lpstr>паспорт</vt:lpstr>
      <vt:lpstr>графік</vt:lpstr>
      <vt:lpstr>паспорт із підвищеною %</vt:lpstr>
      <vt:lpstr>графік із підвищеною %</vt:lpstr>
      <vt:lpstr>Таблиця обчислення</vt:lpstr>
      <vt:lpstr>Додаток 1</vt:lpstr>
      <vt:lpstr>Лист1</vt:lpstr>
      <vt:lpstr>графік!Область_друку</vt:lpstr>
      <vt:lpstr>паспорт!Область_друку</vt:lpstr>
    </vt:vector>
  </TitlesOfParts>
  <Company>PJSC CB "PRAVEX-BANK"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Shpakivskyi Oleksandr Mykhailovych</dc:creator>
  <cp:lastModifiedBy>Yalynchuk Nataliia Vasylivna</cp:lastModifiedBy>
  <cp:lastPrinted>2019-05-28T11:12:11Z</cp:lastPrinted>
  <dcterms:created xsi:type="dcterms:W3CDTF">2017-10-13T07:54:03Z</dcterms:created>
  <dcterms:modified xsi:type="dcterms:W3CDTF">2023-09-26T19:07:51Z</dcterms:modified>
</cp:coreProperties>
</file>