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33,99_стандарт\"/>
    </mc:Choice>
  </mc:AlternateContent>
  <xr:revisionPtr revIDLastSave="0" documentId="13_ncr:1_{733A6496-3E3F-43F6-9ABF-43FE52A6A0FF}" xr6:coauthVersionLast="47" xr6:coauthVersionMax="47" xr10:uidLastSave="{00000000-0000-0000-0000-000000000000}"/>
  <bookViews>
    <workbookView xWindow="-110" yWindow="-110" windowWidth="19420" windowHeight="10420"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D8" i="10"/>
  <c r="D7" i="10"/>
  <c r="D6" i="10"/>
  <c r="B8" i="1"/>
  <c r="G27" i="3"/>
  <c r="E21" i="4" s="1"/>
  <c r="B36" i="1" l="1"/>
  <c r="F14" i="3"/>
  <c r="A9" i="4"/>
  <c r="K11" i="4"/>
  <c r="M11" i="4"/>
  <c r="AI21" i="3"/>
  <c r="AI20" i="3"/>
  <c r="AI19" i="3"/>
  <c r="AI18" i="3"/>
  <c r="AI17" i="3"/>
  <c r="AI16" i="3"/>
  <c r="AI15" i="3"/>
  <c r="AI14" i="3"/>
  <c r="AI13" i="3"/>
  <c r="AI12" i="3"/>
  <c r="AI11" i="3"/>
  <c r="AI10" i="3"/>
  <c r="AI9" i="3"/>
  <c r="AI8" i="3"/>
  <c r="AI7" i="3"/>
  <c r="AI2" i="3"/>
  <c r="L76" i="3"/>
  <c r="AI6" i="3" s="1"/>
  <c r="L64" i="3"/>
  <c r="AI5" i="3" s="1"/>
  <c r="L52" i="3"/>
  <c r="AI4" i="3" s="1"/>
  <c r="L40" i="3"/>
  <c r="AI3" i="3" s="1"/>
  <c r="R27" i="3"/>
  <c r="P27" i="3"/>
  <c r="O27" i="3"/>
  <c r="L27" i="3"/>
  <c r="J27" i="3"/>
  <c r="F16" i="3" l="1"/>
  <c r="AE4" i="3" l="1"/>
  <c r="S16" i="3"/>
  <c r="L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7" i="1"/>
  <c r="C7" i="10" l="1"/>
  <c r="C8" i="10"/>
  <c r="D48" i="1"/>
  <c r="D66" i="1" l="1"/>
  <c r="A65" i="1" l="1"/>
  <c r="D67" i="1"/>
  <c r="B65" i="1" s="1"/>
  <c r="H8" i="3"/>
  <c r="T7" i="3" l="1"/>
  <c r="T3" i="3" l="1"/>
  <c r="E12" i="3" l="1"/>
  <c r="S8" i="3"/>
  <c r="E47" i="1" l="1"/>
  <c r="B47" i="1" l="1"/>
  <c r="E48" i="1"/>
  <c r="B48" i="1" s="1"/>
  <c r="E23" i="1"/>
  <c r="B23" i="1" s="1"/>
  <c r="T4" i="3" l="1"/>
  <c r="R4" i="3"/>
  <c r="S10" i="3"/>
  <c r="Q27" i="3" s="1"/>
  <c r="V268" i="3"/>
  <c r="H21" i="4" l="1"/>
  <c r="K27" i="3"/>
  <c r="AC2" i="3"/>
  <c r="AD2" i="3"/>
  <c r="O21" i="4"/>
  <c r="B45" i="8"/>
  <c r="F27" i="3" l="1"/>
  <c r="I21" i="4"/>
  <c r="F9" i="7"/>
  <c r="K7" i="7"/>
  <c r="F8" i="7"/>
  <c r="F7" i="7"/>
  <c r="J17" i="7" l="1"/>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B27" i="3" s="1"/>
  <c r="C27" i="3" s="1"/>
  <c r="A29" i="3"/>
  <c r="T30" i="3" s="1"/>
  <c r="R24" i="4" s="1"/>
  <c r="D11" i="3" l="1"/>
  <c r="D11" i="7"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27" i="10" s="1"/>
  <c r="X29" i="3"/>
  <c r="Y29" i="3" s="1"/>
  <c r="Z29" i="3" s="1"/>
  <c r="B24" i="4"/>
  <c r="B28" i="10" s="1"/>
  <c r="X30" i="3"/>
  <c r="Y30" i="3" s="1"/>
  <c r="Z30" i="3" s="1"/>
  <c r="D31" i="3"/>
  <c r="C32" i="3"/>
  <c r="W28" i="3"/>
  <c r="X28" i="3"/>
  <c r="Y28" i="3" s="1"/>
  <c r="Z28"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29" i="10" s="1"/>
  <c r="A33" i="3"/>
  <c r="K33" i="3" s="1"/>
  <c r="I27" i="4" s="1"/>
  <c r="A26" i="4"/>
  <c r="W27" i="3" l="1"/>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30" i="10" s="1"/>
  <c r="D32" i="3"/>
  <c r="E24" i="7"/>
  <c r="G25" i="7" s="1"/>
  <c r="H20" i="7"/>
  <c r="H21" i="7"/>
  <c r="H19" i="7"/>
  <c r="G22" i="7"/>
  <c r="G23" i="7" s="1"/>
  <c r="A34" i="3"/>
  <c r="K34" i="3" s="1"/>
  <c r="I28" i="4" s="1"/>
  <c r="A27" i="4"/>
  <c r="G28" i="3" l="1"/>
  <c r="F28" i="3" s="1"/>
  <c r="D22" i="4" s="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31" i="10" s="1"/>
  <c r="D33" i="3"/>
  <c r="C34" i="3"/>
  <c r="H25" i="7"/>
  <c r="H22" i="7"/>
  <c r="F27" i="7"/>
  <c r="I29" i="7"/>
  <c r="A35" i="3"/>
  <c r="K35" i="3" s="1"/>
  <c r="I29" i="4" s="1"/>
  <c r="A28" i="4"/>
  <c r="E22" i="4" l="1"/>
  <c r="C26" i="10" s="1"/>
  <c r="E28" i="3"/>
  <c r="H29" i="3" s="1"/>
  <c r="U28" i="3"/>
  <c r="A29" i="7"/>
  <c r="L30" i="7" s="1"/>
  <c r="F22" i="4"/>
  <c r="D26" i="10" s="1"/>
  <c r="E26" i="7"/>
  <c r="G27" i="7" s="1"/>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I30" i="7"/>
  <c r="A30" i="7"/>
  <c r="K30" i="7"/>
  <c r="F28" i="7"/>
  <c r="E27" i="7"/>
  <c r="A36" i="3"/>
  <c r="K36" i="3" s="1"/>
  <c r="I30" i="4" s="1"/>
  <c r="A29" i="4"/>
  <c r="G29" i="3" l="1"/>
  <c r="F29" i="3" s="1"/>
  <c r="O36" i="3"/>
  <c r="M30" i="4" s="1"/>
  <c r="R37" i="3"/>
  <c r="P31" i="4" s="1"/>
  <c r="N36" i="3"/>
  <c r="L30" i="4" s="1"/>
  <c r="M36" i="3"/>
  <c r="K30" i="4" s="1"/>
  <c r="I31" i="4"/>
  <c r="T37" i="3"/>
  <c r="R31" i="4" s="1"/>
  <c r="C28" i="4"/>
  <c r="S37" i="3"/>
  <c r="Q31" i="4" s="1"/>
  <c r="P37" i="3"/>
  <c r="N31" i="4" s="1"/>
  <c r="J30" i="4"/>
  <c r="I36" i="3"/>
  <c r="G30" i="4" s="1"/>
  <c r="Q37" i="3"/>
  <c r="O31" i="4" s="1"/>
  <c r="J36" i="3"/>
  <c r="H30" i="4" s="1"/>
  <c r="X34" i="3"/>
  <c r="Y34" i="3" s="1"/>
  <c r="Z34" i="3" s="1"/>
  <c r="X35" i="3"/>
  <c r="Y35" i="3" s="1"/>
  <c r="D35" i="3"/>
  <c r="B28" i="4"/>
  <c r="B32" i="10" s="1"/>
  <c r="C36" i="3"/>
  <c r="H27" i="7"/>
  <c r="A31" i="7"/>
  <c r="L32" i="7" s="1"/>
  <c r="F29" i="7"/>
  <c r="I31" i="7"/>
  <c r="G28" i="7"/>
  <c r="E28" i="7"/>
  <c r="A37" i="3"/>
  <c r="K37" i="3" s="1"/>
  <c r="A30" i="4"/>
  <c r="E29" i="3" l="1"/>
  <c r="H30" i="3" s="1"/>
  <c r="E23" i="4"/>
  <c r="C27" i="10"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33" i="10" s="1"/>
  <c r="V35" i="3"/>
  <c r="W35" i="3" s="1"/>
  <c r="B30" i="4"/>
  <c r="B34" i="10" s="1"/>
  <c r="D36" i="3"/>
  <c r="H28" i="7"/>
  <c r="E29" i="7"/>
  <c r="G29" i="7"/>
  <c r="K32" i="7"/>
  <c r="F30" i="7"/>
  <c r="I32" i="7"/>
  <c r="A32" i="7"/>
  <c r="L33" i="7" s="1"/>
  <c r="D31" i="7"/>
  <c r="A38" i="3"/>
  <c r="K38" i="3" s="1"/>
  <c r="I32" i="4" s="1"/>
  <c r="A31" i="4"/>
  <c r="G30" i="3" l="1"/>
  <c r="U29" i="3"/>
  <c r="D23" i="4"/>
  <c r="F23" i="4"/>
  <c r="D27"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A32" i="4"/>
  <c r="Q40" i="3" l="1"/>
  <c r="K39" i="3"/>
  <c r="I33" i="4" s="1"/>
  <c r="F30" i="3"/>
  <c r="E30" i="3"/>
  <c r="O34" i="4"/>
  <c r="AC3" i="3"/>
  <c r="M39" i="3"/>
  <c r="K33" i="4" s="1"/>
  <c r="R40" i="3"/>
  <c r="P34" i="4" s="1"/>
  <c r="O39" i="3"/>
  <c r="M33" i="4" s="1"/>
  <c r="N39" i="3"/>
  <c r="L33" i="4" s="1"/>
  <c r="C31" i="4"/>
  <c r="J39" i="3"/>
  <c r="H33" i="4" s="1"/>
  <c r="P40" i="3"/>
  <c r="N34" i="4" s="1"/>
  <c r="J33" i="4"/>
  <c r="I39" i="3"/>
  <c r="G33" i="4" s="1"/>
  <c r="Z37" i="3"/>
  <c r="B31" i="4"/>
  <c r="B35" i="10" s="1"/>
  <c r="V37" i="3"/>
  <c r="W37" i="3" s="1"/>
  <c r="X38" i="3"/>
  <c r="Y38" i="3" s="1"/>
  <c r="D38" i="3"/>
  <c r="H30" i="7"/>
  <c r="Q32" i="7"/>
  <c r="E31" i="7"/>
  <c r="G31" i="7"/>
  <c r="D33" i="7"/>
  <c r="K34" i="7"/>
  <c r="I34" i="7"/>
  <c r="A34" i="7"/>
  <c r="L35" i="7" s="1"/>
  <c r="F32" i="7"/>
  <c r="A40" i="3"/>
  <c r="A33" i="4"/>
  <c r="K40" i="3" l="1"/>
  <c r="I34" i="4" s="1"/>
  <c r="K41" i="3"/>
  <c r="H31" i="3"/>
  <c r="U30" i="3"/>
  <c r="E24" i="4"/>
  <c r="C28" i="10" s="1"/>
  <c r="O41" i="3"/>
  <c r="M35" i="4" s="1"/>
  <c r="M41" i="3"/>
  <c r="K35" i="4" s="1"/>
  <c r="N41" i="3"/>
  <c r="L35" i="4" s="1"/>
  <c r="O40" i="3"/>
  <c r="M34" i="4" s="1"/>
  <c r="R41" i="3"/>
  <c r="P35" i="4" s="1"/>
  <c r="C39" i="3"/>
  <c r="M40" i="3"/>
  <c r="K34" i="4" s="1"/>
  <c r="N40" i="3"/>
  <c r="L34" i="4" s="1"/>
  <c r="T41" i="3"/>
  <c r="R35" i="4" s="1"/>
  <c r="I35" i="4"/>
  <c r="C32" i="4"/>
  <c r="AD3" i="3"/>
  <c r="S41" i="3"/>
  <c r="Q35" i="4" s="1"/>
  <c r="P41" i="3"/>
  <c r="N35" i="4" s="1"/>
  <c r="J41" i="3"/>
  <c r="H35" i="4" s="1"/>
  <c r="J34" i="4"/>
  <c r="I40" i="3"/>
  <c r="G34" i="4" s="1"/>
  <c r="Q41" i="3"/>
  <c r="O35" i="4" s="1"/>
  <c r="J35" i="4"/>
  <c r="I41" i="3"/>
  <c r="G35" i="4" s="1"/>
  <c r="J40" i="3"/>
  <c r="H34" i="4" s="1"/>
  <c r="B32" i="4"/>
  <c r="B36" i="10" s="1"/>
  <c r="Z38" i="3"/>
  <c r="V38" i="3"/>
  <c r="W38" i="3" s="1"/>
  <c r="D39" i="3"/>
  <c r="Q33" i="7"/>
  <c r="D34" i="7"/>
  <c r="K35" i="7"/>
  <c r="F33" i="7"/>
  <c r="I35" i="7"/>
  <c r="A35" i="7"/>
  <c r="L36" i="7" s="1"/>
  <c r="G32" i="7"/>
  <c r="E32" i="7"/>
  <c r="A41" i="3"/>
  <c r="K42" i="3" s="1"/>
  <c r="A34" i="4"/>
  <c r="G31" i="3" l="1"/>
  <c r="F24" i="4"/>
  <c r="D28"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37" i="10" s="1"/>
  <c r="V39" i="3"/>
  <c r="W39" i="3" s="1"/>
  <c r="C41" i="3"/>
  <c r="H32" i="7"/>
  <c r="Q34" i="7"/>
  <c r="D35" i="7"/>
  <c r="K36" i="7"/>
  <c r="F34" i="7"/>
  <c r="I36" i="7"/>
  <c r="A36" i="7"/>
  <c r="L37" i="7" s="1"/>
  <c r="G33" i="7"/>
  <c r="E33" i="7"/>
  <c r="A42" i="3"/>
  <c r="K43" i="3" s="1"/>
  <c r="A35" i="4"/>
  <c r="F31" i="3" l="1"/>
  <c r="E31" i="3"/>
  <c r="D24" i="4"/>
  <c r="O43" i="3"/>
  <c r="M37" i="4" s="1"/>
  <c r="N43" i="3"/>
  <c r="L37" i="4" s="1"/>
  <c r="M43" i="3"/>
  <c r="K37" i="4" s="1"/>
  <c r="D40" i="3"/>
  <c r="C34" i="4" s="1"/>
  <c r="V40" i="3"/>
  <c r="W40" i="3" s="1"/>
  <c r="R43" i="3"/>
  <c r="P37" i="4" s="1"/>
  <c r="B34" i="4"/>
  <c r="B38"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H32" i="3" l="1"/>
  <c r="E25" i="4"/>
  <c r="C29"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39" i="10" s="1"/>
  <c r="V41" i="3"/>
  <c r="W41" i="3" s="1"/>
  <c r="X41" i="3"/>
  <c r="Y41" i="3" s="1"/>
  <c r="Z41" i="3" s="1"/>
  <c r="X42" i="3"/>
  <c r="Y42" i="3" s="1"/>
  <c r="C43" i="3"/>
  <c r="H34" i="7"/>
  <c r="Q36" i="7"/>
  <c r="I38" i="7"/>
  <c r="D37" i="7"/>
  <c r="A38" i="7"/>
  <c r="L39" i="7" s="1"/>
  <c r="K38" i="7"/>
  <c r="F36" i="7"/>
  <c r="E35" i="7"/>
  <c r="G35" i="7"/>
  <c r="A44" i="3"/>
  <c r="K45" i="3" s="1"/>
  <c r="A37" i="4"/>
  <c r="G32" i="3" l="1"/>
  <c r="U31" i="3"/>
  <c r="D25" i="4"/>
  <c r="F25" i="4"/>
  <c r="D29"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0" i="10" s="1"/>
  <c r="D42" i="3"/>
  <c r="B37" i="4"/>
  <c r="B41" i="10" s="1"/>
  <c r="C44" i="3"/>
  <c r="H35" i="7"/>
  <c r="Q37" i="7"/>
  <c r="K39" i="7"/>
  <c r="F37" i="7"/>
  <c r="I39" i="7"/>
  <c r="D38" i="7"/>
  <c r="A39" i="7"/>
  <c r="L40" i="7" s="1"/>
  <c r="G36" i="7"/>
  <c r="E36" i="7"/>
  <c r="A45" i="3"/>
  <c r="K46" i="3" s="1"/>
  <c r="A38" i="4"/>
  <c r="F32" i="3" l="1"/>
  <c r="E32" i="3"/>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H33" i="3" l="1"/>
  <c r="G33" i="3" s="1"/>
  <c r="F33" i="3" s="1"/>
  <c r="E26" i="4"/>
  <c r="C30"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42" i="10" s="1"/>
  <c r="V44" i="3"/>
  <c r="W44" i="3" s="1"/>
  <c r="Z43" i="3"/>
  <c r="B39" i="4"/>
  <c r="B43" i="10" s="1"/>
  <c r="C46" i="3"/>
  <c r="H37" i="7"/>
  <c r="Q39" i="7"/>
  <c r="G38" i="7"/>
  <c r="E38" i="7"/>
  <c r="D40" i="7"/>
  <c r="A41" i="7"/>
  <c r="L42" i="7" s="1"/>
  <c r="K41" i="7"/>
  <c r="F39" i="7"/>
  <c r="I41" i="7"/>
  <c r="A47" i="3"/>
  <c r="K48" i="3" s="1"/>
  <c r="A40" i="4"/>
  <c r="E33" i="3" l="1"/>
  <c r="F26" i="4"/>
  <c r="D30" i="10" s="1"/>
  <c r="D26" i="4"/>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H34" i="3" l="1"/>
  <c r="G34" i="3" s="1"/>
  <c r="F34"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44" i="10" s="1"/>
  <c r="Z45" i="3"/>
  <c r="D47" i="3"/>
  <c r="C48" i="3"/>
  <c r="H39" i="7"/>
  <c r="Q41" i="7"/>
  <c r="E40" i="7"/>
  <c r="G40" i="7"/>
  <c r="A43" i="7"/>
  <c r="L44" i="7" s="1"/>
  <c r="D42" i="7"/>
  <c r="F41" i="7"/>
  <c r="I43" i="7"/>
  <c r="A49" i="3"/>
  <c r="K50" i="3" s="1"/>
  <c r="A42" i="4"/>
  <c r="E34" i="3" l="1"/>
  <c r="D27" i="4"/>
  <c r="E27" i="4"/>
  <c r="C31"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45" i="10" s="1"/>
  <c r="X47" i="3"/>
  <c r="Y47" i="3" s="1"/>
  <c r="Z47" i="3" s="1"/>
  <c r="D48" i="3"/>
  <c r="C49" i="3"/>
  <c r="H40" i="7"/>
  <c r="Q42" i="7"/>
  <c r="K44" i="7"/>
  <c r="F42" i="7"/>
  <c r="I44" i="7"/>
  <c r="A44" i="7"/>
  <c r="L45" i="7" s="1"/>
  <c r="D43" i="7"/>
  <c r="E41" i="7"/>
  <c r="G41" i="7"/>
  <c r="A50" i="3"/>
  <c r="K51" i="3" s="1"/>
  <c r="A43" i="4"/>
  <c r="H35" i="3" l="1"/>
  <c r="G35" i="3" s="1"/>
  <c r="F35" i="3" s="1"/>
  <c r="U33" i="3"/>
  <c r="F27" i="4"/>
  <c r="D31" i="10"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46" i="10" s="1"/>
  <c r="D49" i="3"/>
  <c r="X48" i="3"/>
  <c r="Y48" i="3" s="1"/>
  <c r="Z48" i="3" s="1"/>
  <c r="C50" i="3"/>
  <c r="H41" i="7"/>
  <c r="Q43" i="7"/>
  <c r="A45" i="7"/>
  <c r="L46" i="7" s="1"/>
  <c r="D44" i="7"/>
  <c r="K45" i="7"/>
  <c r="F43" i="7"/>
  <c r="I45" i="7"/>
  <c r="G42" i="7"/>
  <c r="E42" i="7"/>
  <c r="A51" i="3"/>
  <c r="A44" i="4"/>
  <c r="Q52" i="3" l="1"/>
  <c r="K52" i="3"/>
  <c r="E35" i="3"/>
  <c r="AC4" i="3"/>
  <c r="O46" i="4"/>
  <c r="O52" i="3"/>
  <c r="M46" i="4" s="1"/>
  <c r="M52" i="3"/>
  <c r="K46" i="4" s="1"/>
  <c r="N52" i="3"/>
  <c r="L46" i="4" s="1"/>
  <c r="R52" i="3"/>
  <c r="P46" i="4" s="1"/>
  <c r="C43" i="4"/>
  <c r="V49" i="3"/>
  <c r="W49" i="3" s="1"/>
  <c r="J46" i="4"/>
  <c r="I52" i="3"/>
  <c r="G46" i="4" s="1"/>
  <c r="P52" i="3"/>
  <c r="N46" i="4" s="1"/>
  <c r="J52" i="3"/>
  <c r="H46" i="4" s="1"/>
  <c r="X49" i="3"/>
  <c r="Y49" i="3" s="1"/>
  <c r="Z49" i="3" s="1"/>
  <c r="B43" i="4"/>
  <c r="B47" i="10" s="1"/>
  <c r="D50" i="3"/>
  <c r="C51" i="3"/>
  <c r="H42" i="7"/>
  <c r="Q44" i="7"/>
  <c r="E43" i="7"/>
  <c r="G43" i="7"/>
  <c r="D45" i="7"/>
  <c r="A46" i="7"/>
  <c r="L47" i="7" s="1"/>
  <c r="K46" i="7"/>
  <c r="F44" i="7"/>
  <c r="I46" i="7"/>
  <c r="A52" i="3"/>
  <c r="K53" i="3" s="1"/>
  <c r="A45" i="4"/>
  <c r="H36" i="3" l="1"/>
  <c r="G36" i="3" s="1"/>
  <c r="F36" i="3" s="1"/>
  <c r="E28" i="4"/>
  <c r="C32" i="10" s="1"/>
  <c r="I46" i="4"/>
  <c r="O53" i="3"/>
  <c r="M47" i="4" s="1"/>
  <c r="M53" i="3"/>
  <c r="K47" i="4" s="1"/>
  <c r="N53" i="3"/>
  <c r="L47" i="4" s="1"/>
  <c r="R53" i="3"/>
  <c r="P47" i="4" s="1"/>
  <c r="I47" i="4"/>
  <c r="T53" i="3"/>
  <c r="R47" i="4" s="1"/>
  <c r="C44" i="4"/>
  <c r="AD4" i="3"/>
  <c r="S53" i="3"/>
  <c r="Q47" i="4" s="1"/>
  <c r="P53" i="3"/>
  <c r="N47" i="4" s="1"/>
  <c r="J53" i="3"/>
  <c r="H47" i="4" s="1"/>
  <c r="Q53" i="3"/>
  <c r="O47" i="4" s="1"/>
  <c r="J47" i="4"/>
  <c r="I53" i="3"/>
  <c r="G47" i="4" s="1"/>
  <c r="X50" i="3"/>
  <c r="Y50" i="3" s="1"/>
  <c r="Z50" i="3" s="1"/>
  <c r="B44" i="4"/>
  <c r="B48" i="10" s="1"/>
  <c r="X51" i="3"/>
  <c r="Y51" i="3" s="1"/>
  <c r="V50" i="3"/>
  <c r="W50" i="3" s="1"/>
  <c r="C52" i="3"/>
  <c r="Q45" i="7"/>
  <c r="I47" i="7"/>
  <c r="D46" i="7"/>
  <c r="A47" i="7"/>
  <c r="L48" i="7" s="1"/>
  <c r="K47" i="7"/>
  <c r="F45" i="7"/>
  <c r="G44" i="7"/>
  <c r="E44" i="7"/>
  <c r="A53" i="3"/>
  <c r="K54" i="3" s="1"/>
  <c r="A46" i="4"/>
  <c r="E36" i="3" l="1"/>
  <c r="D28" i="4"/>
  <c r="U34" i="3"/>
  <c r="F28" i="4"/>
  <c r="D32"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49" i="10" s="1"/>
  <c r="D51" i="3"/>
  <c r="X52" i="3"/>
  <c r="Y52" i="3" s="1"/>
  <c r="C53" i="3"/>
  <c r="H44" i="7"/>
  <c r="Q46" i="7"/>
  <c r="E45" i="7"/>
  <c r="G45" i="7"/>
  <c r="I48" i="7"/>
  <c r="D47" i="7"/>
  <c r="K48" i="7"/>
  <c r="F46" i="7"/>
  <c r="A48" i="7"/>
  <c r="L49" i="7" s="1"/>
  <c r="A54" i="3"/>
  <c r="K55" i="3" s="1"/>
  <c r="A47" i="4"/>
  <c r="H37" i="3" l="1"/>
  <c r="G37" i="3" s="1"/>
  <c r="F37" i="3" s="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50" i="10" s="1"/>
  <c r="D53" i="3"/>
  <c r="Z51" i="3"/>
  <c r="C54" i="3"/>
  <c r="H45" i="7"/>
  <c r="Q47" i="7"/>
  <c r="I49" i="7"/>
  <c r="A49" i="7"/>
  <c r="L50" i="7" s="1"/>
  <c r="D48" i="7"/>
  <c r="K49" i="7"/>
  <c r="F47" i="7"/>
  <c r="G46" i="7"/>
  <c r="E46" i="7"/>
  <c r="A55" i="3"/>
  <c r="K56" i="3" s="1"/>
  <c r="A48" i="4"/>
  <c r="E37" i="3" l="1"/>
  <c r="E29" i="4"/>
  <c r="C33"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51" i="10" s="1"/>
  <c r="V53" i="3"/>
  <c r="W53" i="3" s="1"/>
  <c r="X53" i="3"/>
  <c r="Y53" i="3" s="1"/>
  <c r="Z53" i="3" s="1"/>
  <c r="X54" i="3"/>
  <c r="Y54" i="3" s="1"/>
  <c r="C55" i="3"/>
  <c r="H46" i="7"/>
  <c r="Q48" i="7"/>
  <c r="G47" i="7"/>
  <c r="E47" i="7"/>
  <c r="D49" i="7"/>
  <c r="A50" i="7"/>
  <c r="L51" i="7" s="1"/>
  <c r="K50" i="7"/>
  <c r="F48" i="7"/>
  <c r="I50" i="7"/>
  <c r="A56" i="3"/>
  <c r="K57" i="3" s="1"/>
  <c r="A49" i="4"/>
  <c r="H38" i="3" l="1"/>
  <c r="G38" i="3" s="1"/>
  <c r="F38" i="3" s="1"/>
  <c r="U35" i="3"/>
  <c r="F29" i="4"/>
  <c r="D33" i="10" s="1"/>
  <c r="D29" i="4"/>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52" i="10" s="1"/>
  <c r="D55" i="3"/>
  <c r="C56" i="3"/>
  <c r="H47" i="7"/>
  <c r="Q49" i="7"/>
  <c r="D50" i="7"/>
  <c r="A51" i="7"/>
  <c r="L52" i="7" s="1"/>
  <c r="K51" i="7"/>
  <c r="F49" i="7"/>
  <c r="I51" i="7"/>
  <c r="G48" i="7"/>
  <c r="E48" i="7"/>
  <c r="A57" i="3"/>
  <c r="K58" i="3" s="1"/>
  <c r="A50" i="4"/>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53" i="10" s="1"/>
  <c r="V55" i="3"/>
  <c r="W55" i="3" s="1"/>
  <c r="V56" i="3"/>
  <c r="W56" i="3" s="1"/>
  <c r="X55" i="3"/>
  <c r="Y55" i="3" s="1"/>
  <c r="Z55" i="3" s="1"/>
  <c r="C57" i="3"/>
  <c r="H48" i="7"/>
  <c r="Q50" i="7"/>
  <c r="E49" i="7"/>
  <c r="G49" i="7"/>
  <c r="I52" i="7"/>
  <c r="D51" i="7"/>
  <c r="A52" i="7"/>
  <c r="L53" i="7" s="1"/>
  <c r="K52" i="7"/>
  <c r="F50" i="7"/>
  <c r="A58" i="3"/>
  <c r="K59" i="3" s="1"/>
  <c r="A51" i="4"/>
  <c r="H39" i="3" l="1"/>
  <c r="G39" i="3" s="1"/>
  <c r="F39" i="3" s="1"/>
  <c r="U36" i="3"/>
  <c r="E30" i="4"/>
  <c r="C34"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54" i="10" s="1"/>
  <c r="D56" i="3"/>
  <c r="D57" i="3"/>
  <c r="C58" i="3"/>
  <c r="H49" i="7"/>
  <c r="Q51" i="7"/>
  <c r="D52" i="7"/>
  <c r="A53" i="7"/>
  <c r="L54" i="7" s="1"/>
  <c r="I53" i="7"/>
  <c r="K53" i="7"/>
  <c r="F51" i="7"/>
  <c r="E50" i="7"/>
  <c r="G50" i="7"/>
  <c r="A59" i="3"/>
  <c r="K60" i="3" s="1"/>
  <c r="A52" i="4"/>
  <c r="E39" i="3" l="1"/>
  <c r="D30" i="4"/>
  <c r="F30" i="4"/>
  <c r="D34"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55" i="10" s="1"/>
  <c r="Z56" i="3"/>
  <c r="D58" i="3"/>
  <c r="X57" i="3"/>
  <c r="Y57" i="3" s="1"/>
  <c r="Z57" i="3" s="1"/>
  <c r="C59" i="3"/>
  <c r="H50" i="7"/>
  <c r="Q52" i="7"/>
  <c r="I54" i="7"/>
  <c r="D53" i="7"/>
  <c r="A54" i="7"/>
  <c r="K54" i="7"/>
  <c r="F52" i="7"/>
  <c r="G51" i="7"/>
  <c r="E51" i="7"/>
  <c r="A60" i="3"/>
  <c r="K61" i="3" s="1"/>
  <c r="A53" i="4"/>
  <c r="H40" i="3" l="1"/>
  <c r="G40" i="3" s="1"/>
  <c r="F40" i="3" s="1"/>
  <c r="O61" i="3"/>
  <c r="M55" i="4" s="1"/>
  <c r="M61" i="3"/>
  <c r="K55" i="4" s="1"/>
  <c r="N61" i="3"/>
  <c r="L55" i="4" s="1"/>
  <c r="R61" i="3"/>
  <c r="P55" i="4" s="1"/>
  <c r="I55" i="4"/>
  <c r="T61" i="3"/>
  <c r="R55" i="4" s="1"/>
  <c r="C52" i="4"/>
  <c r="S61" i="3"/>
  <c r="Q55" i="4" s="1"/>
  <c r="P61" i="3"/>
  <c r="N55" i="4" s="1"/>
  <c r="J61" i="3"/>
  <c r="H55" i="4" s="1"/>
  <c r="Q61" i="3"/>
  <c r="O55" i="4" s="1"/>
  <c r="J55" i="4"/>
  <c r="I61" i="3"/>
  <c r="G55" i="4" s="1"/>
  <c r="B52" i="4"/>
  <c r="B56" i="10" s="1"/>
  <c r="X58" i="3"/>
  <c r="Y58" i="3" s="1"/>
  <c r="Z58" i="3" s="1"/>
  <c r="V58" i="3"/>
  <c r="W58" i="3" s="1"/>
  <c r="B53" i="4"/>
  <c r="B57" i="10" s="1"/>
  <c r="C60" i="3"/>
  <c r="H51" i="7"/>
  <c r="Q53" i="7"/>
  <c r="I55" i="7"/>
  <c r="D54" i="7"/>
  <c r="A55" i="7"/>
  <c r="L56" i="7" s="1"/>
  <c r="F53" i="7"/>
  <c r="E52" i="7"/>
  <c r="G52" i="7"/>
  <c r="A61" i="3"/>
  <c r="K62" i="3" s="1"/>
  <c r="A54" i="4"/>
  <c r="E40" i="3" l="1"/>
  <c r="H41" i="3" s="1"/>
  <c r="G41" i="3" s="1"/>
  <c r="F41" i="3" s="1"/>
  <c r="D31" i="4"/>
  <c r="E31" i="4"/>
  <c r="C35"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E41" i="3" l="1"/>
  <c r="U37" i="3"/>
  <c r="F31" i="4"/>
  <c r="D35"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58" i="10" s="1"/>
  <c r="C62" i="3"/>
  <c r="H53" i="7"/>
  <c r="Q55" i="7"/>
  <c r="D56" i="7"/>
  <c r="I57" i="7"/>
  <c r="A57" i="7"/>
  <c r="L58" i="7" s="1"/>
  <c r="K57" i="7"/>
  <c r="F55" i="7"/>
  <c r="G54" i="7"/>
  <c r="E54" i="7"/>
  <c r="A63" i="3"/>
  <c r="A56" i="4"/>
  <c r="Q64" i="3" l="1"/>
  <c r="AC5" i="3" s="1"/>
  <c r="K64" i="3"/>
  <c r="H42" i="3"/>
  <c r="G42" i="3" s="1"/>
  <c r="F42" i="3" s="1"/>
  <c r="O58" i="4"/>
  <c r="O64" i="3"/>
  <c r="M58" i="4" s="1"/>
  <c r="N64" i="3"/>
  <c r="L58" i="4" s="1"/>
  <c r="M64" i="3"/>
  <c r="K58" i="4" s="1"/>
  <c r="R64" i="3"/>
  <c r="P58" i="4" s="1"/>
  <c r="J58" i="4"/>
  <c r="I64" i="3"/>
  <c r="G58" i="4" s="1"/>
  <c r="P64" i="3"/>
  <c r="N58" i="4" s="1"/>
  <c r="J64" i="3"/>
  <c r="H58" i="4" s="1"/>
  <c r="D61" i="3"/>
  <c r="V61" i="3"/>
  <c r="W61" i="3" s="1"/>
  <c r="B55" i="4"/>
  <c r="B59" i="10" s="1"/>
  <c r="V62" i="3"/>
  <c r="W62" i="3" s="1"/>
  <c r="C63" i="3"/>
  <c r="H54" i="7"/>
  <c r="Q56" i="7"/>
  <c r="G55" i="7"/>
  <c r="E55" i="7"/>
  <c r="A58" i="7"/>
  <c r="I58" i="7"/>
  <c r="D57" i="7"/>
  <c r="K58" i="7"/>
  <c r="F56" i="7"/>
  <c r="A64" i="3"/>
  <c r="K65" i="3" s="1"/>
  <c r="A57" i="4"/>
  <c r="E42" i="3" l="1"/>
  <c r="E32" i="4"/>
  <c r="C36" i="10" s="1"/>
  <c r="I58" i="4"/>
  <c r="M65" i="3"/>
  <c r="K59" i="4" s="1"/>
  <c r="O65" i="3"/>
  <c r="M59" i="4" s="1"/>
  <c r="N65" i="3"/>
  <c r="L59" i="4" s="1"/>
  <c r="R65" i="3"/>
  <c r="P59" i="4" s="1"/>
  <c r="T65" i="3"/>
  <c r="R59" i="4" s="1"/>
  <c r="I59" i="4"/>
  <c r="C55" i="4"/>
  <c r="AD5" i="3"/>
  <c r="S65" i="3"/>
  <c r="Q59" i="4" s="1"/>
  <c r="P65" i="3"/>
  <c r="N59" i="4" s="1"/>
  <c r="J65" i="3"/>
  <c r="H59" i="4" s="1"/>
  <c r="Q65" i="3"/>
  <c r="O59" i="4" s="1"/>
  <c r="J59" i="4"/>
  <c r="I65" i="3"/>
  <c r="G59" i="4" s="1"/>
  <c r="X62" i="3"/>
  <c r="Y62" i="3" s="1"/>
  <c r="Z61" i="3"/>
  <c r="D62" i="3"/>
  <c r="B56" i="4"/>
  <c r="B60" i="10" s="1"/>
  <c r="D63" i="3"/>
  <c r="C64" i="3"/>
  <c r="Q57" i="7"/>
  <c r="I59" i="7"/>
  <c r="A59" i="7"/>
  <c r="L60" i="7" s="1"/>
  <c r="D58" i="7"/>
  <c r="F57" i="7"/>
  <c r="G56" i="7"/>
  <c r="E56" i="7"/>
  <c r="A65" i="3"/>
  <c r="K66" i="3" s="1"/>
  <c r="A58" i="4"/>
  <c r="H43" i="3" l="1"/>
  <c r="G43" i="3" s="1"/>
  <c r="F43" i="3" s="1"/>
  <c r="D32" i="4"/>
  <c r="U38" i="3"/>
  <c r="F32" i="4"/>
  <c r="D36" i="10" s="1"/>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61" i="10" s="1"/>
  <c r="X64" i="3"/>
  <c r="Y64" i="3" s="1"/>
  <c r="C65" i="3"/>
  <c r="H56" i="7"/>
  <c r="Q58" i="7"/>
  <c r="G57" i="7"/>
  <c r="E57" i="7"/>
  <c r="I60" i="7"/>
  <c r="F58" i="7"/>
  <c r="A60" i="7"/>
  <c r="L61" i="7" s="1"/>
  <c r="D59" i="7"/>
  <c r="K60" i="7"/>
  <c r="A66" i="3"/>
  <c r="K67" i="3" s="1"/>
  <c r="A59" i="4"/>
  <c r="E43" i="3" l="1"/>
  <c r="H44" i="3" s="1"/>
  <c r="G44" i="3" s="1"/>
  <c r="F44" i="3" s="1"/>
  <c r="M67" i="3"/>
  <c r="K61" i="4" s="1"/>
  <c r="O67" i="3"/>
  <c r="M61" i="4" s="1"/>
  <c r="N67" i="3"/>
  <c r="L61" i="4" s="1"/>
  <c r="R67" i="3"/>
  <c r="P61" i="4" s="1"/>
  <c r="T67" i="3"/>
  <c r="R61" i="4" s="1"/>
  <c r="I61" i="4"/>
  <c r="S67" i="3"/>
  <c r="Q61" i="4" s="1"/>
  <c r="P67" i="3"/>
  <c r="N61" i="4" s="1"/>
  <c r="J67" i="3"/>
  <c r="H61" i="4" s="1"/>
  <c r="Q67" i="3"/>
  <c r="O61" i="4" s="1"/>
  <c r="J61" i="4"/>
  <c r="I67" i="3"/>
  <c r="G61" i="4" s="1"/>
  <c r="B58" i="4"/>
  <c r="B62" i="10" s="1"/>
  <c r="V64" i="3"/>
  <c r="W64" i="3" s="1"/>
  <c r="D65" i="3"/>
  <c r="D64" i="3"/>
  <c r="C66" i="3"/>
  <c r="H57" i="7"/>
  <c r="Q59" i="7"/>
  <c r="I61" i="7"/>
  <c r="D60" i="7"/>
  <c r="A61" i="7"/>
  <c r="L62" i="7" s="1"/>
  <c r="K61" i="7"/>
  <c r="F59" i="7"/>
  <c r="G58" i="7"/>
  <c r="E58" i="7"/>
  <c r="A67" i="3"/>
  <c r="K68" i="3" s="1"/>
  <c r="A60" i="4"/>
  <c r="E44" i="3" l="1"/>
  <c r="H45" i="3" s="1"/>
  <c r="G45" i="3" s="1"/>
  <c r="F45" i="3" s="1"/>
  <c r="D33" i="4"/>
  <c r="E33" i="4"/>
  <c r="C37"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63" i="10" s="1"/>
  <c r="V65" i="3"/>
  <c r="W65" i="3" s="1"/>
  <c r="D66" i="3"/>
  <c r="Z64" i="3"/>
  <c r="C67" i="3"/>
  <c r="H58" i="7"/>
  <c r="Q60" i="7"/>
  <c r="G59" i="7"/>
  <c r="E59" i="7"/>
  <c r="K62" i="7"/>
  <c r="F60" i="7"/>
  <c r="A62" i="7"/>
  <c r="L63" i="7" s="1"/>
  <c r="D61" i="7"/>
  <c r="I62" i="7"/>
  <c r="A68" i="3"/>
  <c r="K69" i="3" s="1"/>
  <c r="A61" i="4"/>
  <c r="E45" i="3" l="1"/>
  <c r="U39" i="3"/>
  <c r="F33" i="4"/>
  <c r="D37" i="10" s="1"/>
  <c r="T64" i="3"/>
  <c r="R58" i="4"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64" i="10" s="1"/>
  <c r="D67" i="3"/>
  <c r="C68" i="3"/>
  <c r="Q61" i="7"/>
  <c r="G60" i="7"/>
  <c r="E60" i="7"/>
  <c r="I63" i="7"/>
  <c r="D62" i="7"/>
  <c r="A63" i="7"/>
  <c r="L64" i="7" s="1"/>
  <c r="K63" i="7"/>
  <c r="F61" i="7"/>
  <c r="A69" i="3"/>
  <c r="K70" i="3" s="1"/>
  <c r="A62" i="4"/>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65" i="10" s="1"/>
  <c r="V67" i="3"/>
  <c r="W67" i="3" s="1"/>
  <c r="D68" i="3"/>
  <c r="C69" i="3"/>
  <c r="H60" i="7"/>
  <c r="Q62" i="7"/>
  <c r="I64" i="7"/>
  <c r="K64" i="7"/>
  <c r="D63" i="7"/>
  <c r="A64" i="7"/>
  <c r="L65" i="7" s="1"/>
  <c r="F62" i="7"/>
  <c r="G61" i="7"/>
  <c r="E61" i="7"/>
  <c r="A70" i="3"/>
  <c r="K71" i="3" s="1"/>
  <c r="A63" i="4"/>
  <c r="E46" i="3" l="1"/>
  <c r="T40" i="3"/>
  <c r="R34" i="4" s="1"/>
  <c r="E34" i="4"/>
  <c r="C38" i="10" s="1"/>
  <c r="O71" i="3"/>
  <c r="M65" i="4" s="1"/>
  <c r="N71" i="3"/>
  <c r="L65" i="4" s="1"/>
  <c r="M71" i="3"/>
  <c r="K65" i="4" s="1"/>
  <c r="R71" i="3"/>
  <c r="P65" i="4" s="1"/>
  <c r="I65" i="4"/>
  <c r="T71" i="3"/>
  <c r="R65" i="4" s="1"/>
  <c r="C62" i="4"/>
  <c r="S71" i="3"/>
  <c r="Q65" i="4" s="1"/>
  <c r="P71" i="3"/>
  <c r="N65" i="4" s="1"/>
  <c r="J71" i="3"/>
  <c r="H65" i="4" s="1"/>
  <c r="Q71" i="3"/>
  <c r="O65" i="4" s="1"/>
  <c r="J65" i="4"/>
  <c r="I71" i="3"/>
  <c r="G65" i="4" s="1"/>
  <c r="B62" i="4"/>
  <c r="B66" i="10" s="1"/>
  <c r="V68" i="3"/>
  <c r="W68" i="3" s="1"/>
  <c r="D69" i="3"/>
  <c r="X68" i="3"/>
  <c r="Y68" i="3" s="1"/>
  <c r="Z68" i="3" s="1"/>
  <c r="C70" i="3"/>
  <c r="H61" i="7"/>
  <c r="Q63" i="7"/>
  <c r="G62" i="7"/>
  <c r="E62" i="7"/>
  <c r="D64" i="7"/>
  <c r="A65" i="7"/>
  <c r="L66" i="7" s="1"/>
  <c r="K65" i="7"/>
  <c r="F63" i="7"/>
  <c r="I65" i="7"/>
  <c r="A71" i="3"/>
  <c r="K72" i="3" s="1"/>
  <c r="A64" i="4"/>
  <c r="H47" i="3" l="1"/>
  <c r="G47" i="3" s="1"/>
  <c r="F47" i="3" s="1"/>
  <c r="D34" i="4"/>
  <c r="F34" i="4"/>
  <c r="D38" i="10" s="1"/>
  <c r="O72" i="3"/>
  <c r="M66" i="4" s="1"/>
  <c r="N72" i="3"/>
  <c r="L66" i="4" s="1"/>
  <c r="M72" i="3"/>
  <c r="K66" i="4" s="1"/>
  <c r="R72" i="3"/>
  <c r="P66" i="4" s="1"/>
  <c r="I66" i="4"/>
  <c r="T72" i="3"/>
  <c r="R66" i="4" s="1"/>
  <c r="C63" i="4"/>
  <c r="B63" i="4"/>
  <c r="B67"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E47" i="3" l="1"/>
  <c r="H48" i="3" s="1"/>
  <c r="G48" i="3" s="1"/>
  <c r="F48" i="3" s="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68" i="10" s="1"/>
  <c r="C72" i="3"/>
  <c r="H63" i="7"/>
  <c r="Q65" i="7"/>
  <c r="G64" i="7"/>
  <c r="E64" i="7"/>
  <c r="D66" i="7"/>
  <c r="A67" i="7"/>
  <c r="L68" i="7" s="1"/>
  <c r="F65" i="7"/>
  <c r="I67" i="7"/>
  <c r="A73" i="3"/>
  <c r="K74" i="3" s="1"/>
  <c r="A66" i="4"/>
  <c r="E48" i="3" l="1"/>
  <c r="E35" i="4"/>
  <c r="C39"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69" i="10" s="1"/>
  <c r="B66" i="4"/>
  <c r="B70" i="10" s="1"/>
  <c r="X71" i="3"/>
  <c r="Y71" i="3" s="1"/>
  <c r="Z71" i="3" s="1"/>
  <c r="C73" i="3"/>
  <c r="H64" i="7"/>
  <c r="Q66" i="7"/>
  <c r="I68" i="7"/>
  <c r="K68" i="7"/>
  <c r="F66" i="7"/>
  <c r="D67" i="7"/>
  <c r="A68" i="7"/>
  <c r="L69" i="7" s="1"/>
  <c r="G65" i="7"/>
  <c r="E65" i="7"/>
  <c r="A74" i="3"/>
  <c r="K75" i="3" s="1"/>
  <c r="A67" i="4"/>
  <c r="H49" i="3" l="1"/>
  <c r="G49" i="3" s="1"/>
  <c r="F49" i="3" s="1"/>
  <c r="U41" i="3"/>
  <c r="F35" i="4"/>
  <c r="D39" i="10" s="1"/>
  <c r="D35" i="4"/>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E49" i="3"/>
  <c r="AC6" i="3"/>
  <c r="O70" i="4"/>
  <c r="O76" i="3"/>
  <c r="M70" i="4" s="1"/>
  <c r="M76" i="3"/>
  <c r="K70" i="4" s="1"/>
  <c r="N76" i="3"/>
  <c r="L70" i="4" s="1"/>
  <c r="R76" i="3"/>
  <c r="P70" i="4" s="1"/>
  <c r="C66" i="4"/>
  <c r="C67" i="4"/>
  <c r="B67" i="4"/>
  <c r="B7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H50" i="3" l="1"/>
  <c r="G50" i="3" s="1"/>
  <c r="F50" i="3" s="1"/>
  <c r="U42" i="3"/>
  <c r="E36" i="4"/>
  <c r="C40" i="10" s="1"/>
  <c r="I70" i="4"/>
  <c r="O77" i="3"/>
  <c r="M71" i="4" s="1"/>
  <c r="M77" i="3"/>
  <c r="K71" i="4" s="1"/>
  <c r="N77" i="3"/>
  <c r="L71" i="4" s="1"/>
  <c r="R77" i="3"/>
  <c r="P71" i="4" s="1"/>
  <c r="I71" i="4"/>
  <c r="T77" i="3"/>
  <c r="R71" i="4" s="1"/>
  <c r="AD6" i="3"/>
  <c r="S77" i="3"/>
  <c r="Q71" i="4" s="1"/>
  <c r="P77" i="3"/>
  <c r="N71" i="4" s="1"/>
  <c r="J77" i="3"/>
  <c r="H71" i="4" s="1"/>
  <c r="Q77" i="3"/>
  <c r="O71" i="4" s="1"/>
  <c r="J71" i="4"/>
  <c r="I77" i="3"/>
  <c r="G71" i="4" s="1"/>
  <c r="V74" i="3"/>
  <c r="W74" i="3" s="1"/>
  <c r="D74" i="3"/>
  <c r="B68" i="4"/>
  <c r="B72" i="10" s="1"/>
  <c r="V75" i="3"/>
  <c r="W75" i="3" s="1"/>
  <c r="C76" i="3"/>
  <c r="Q69" i="7"/>
  <c r="G68" i="7"/>
  <c r="E68" i="7"/>
  <c r="D70" i="7"/>
  <c r="I71" i="7"/>
  <c r="A71" i="7"/>
  <c r="L72" i="7" s="1"/>
  <c r="K71" i="7"/>
  <c r="F69" i="7"/>
  <c r="A77" i="3"/>
  <c r="K78" i="3" s="1"/>
  <c r="A70" i="4"/>
  <c r="E50" i="3" l="1"/>
  <c r="D36" i="4"/>
  <c r="F36" i="4"/>
  <c r="D40"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73" i="10" s="1"/>
  <c r="V76" i="3"/>
  <c r="W76" i="3" s="1"/>
  <c r="C77" i="3"/>
  <c r="H68" i="7"/>
  <c r="Q70" i="7"/>
  <c r="D71" i="7"/>
  <c r="A72" i="7"/>
  <c r="L73" i="7" s="1"/>
  <c r="K72" i="7"/>
  <c r="F70" i="7"/>
  <c r="I72" i="7"/>
  <c r="G69" i="7"/>
  <c r="E69" i="7"/>
  <c r="A78" i="3"/>
  <c r="K79" i="3" s="1"/>
  <c r="A71" i="4"/>
  <c r="H51" i="3" l="1"/>
  <c r="G51" i="3" s="1"/>
  <c r="F51" i="3" s="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74" i="10" s="1"/>
  <c r="X76" i="3"/>
  <c r="Y76" i="3" s="1"/>
  <c r="X77" i="3"/>
  <c r="Y77" i="3" s="1"/>
  <c r="D76" i="3"/>
  <c r="C78" i="3"/>
  <c r="H69" i="7"/>
  <c r="Q71" i="7"/>
  <c r="E70" i="7"/>
  <c r="G70" i="7"/>
  <c r="A73" i="7"/>
  <c r="L74" i="7" s="1"/>
  <c r="D72" i="7"/>
  <c r="I73" i="7"/>
  <c r="K73" i="7"/>
  <c r="F71" i="7"/>
  <c r="A79" i="3"/>
  <c r="K80" i="3" s="1"/>
  <c r="A72" i="4"/>
  <c r="E51" i="3" l="1"/>
  <c r="U43" i="3"/>
  <c r="E37" i="4"/>
  <c r="C41"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75" i="10" s="1"/>
  <c r="V78" i="3"/>
  <c r="W78" i="3" s="1"/>
  <c r="D77" i="3"/>
  <c r="Z76" i="3"/>
  <c r="C79" i="3"/>
  <c r="H70" i="7"/>
  <c r="Q72" i="7"/>
  <c r="G71" i="7"/>
  <c r="E71" i="7"/>
  <c r="A74" i="7"/>
  <c r="L75" i="7" s="1"/>
  <c r="D73" i="7"/>
  <c r="K74" i="7"/>
  <c r="F72" i="7"/>
  <c r="I74" i="7"/>
  <c r="A80" i="3"/>
  <c r="K81" i="3" s="1"/>
  <c r="A73" i="4"/>
  <c r="H52" i="3" l="1"/>
  <c r="G52" i="3" s="1"/>
  <c r="F52" i="3" s="1"/>
  <c r="D37" i="4"/>
  <c r="F37" i="4"/>
  <c r="D41" i="10"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76" i="10" s="1"/>
  <c r="D78" i="3"/>
  <c r="X78" i="3"/>
  <c r="Y78" i="3" s="1"/>
  <c r="D79" i="3"/>
  <c r="Z77" i="3"/>
  <c r="C80" i="3"/>
  <c r="H71" i="7"/>
  <c r="Q73" i="7"/>
  <c r="K75" i="7"/>
  <c r="F73" i="7"/>
  <c r="A75" i="7"/>
  <c r="L76" i="7" s="1"/>
  <c r="D74" i="7"/>
  <c r="I75" i="7"/>
  <c r="G72" i="7"/>
  <c r="E72" i="7"/>
  <c r="A74" i="4"/>
  <c r="A81" i="3"/>
  <c r="K82" i="3" s="1"/>
  <c r="E52" i="3" l="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77" i="10" s="1"/>
  <c r="X79" i="3"/>
  <c r="Y79" i="3" s="1"/>
  <c r="Z79" i="3" s="1"/>
  <c r="V79" i="3"/>
  <c r="W79" i="3" s="1"/>
  <c r="D80" i="3"/>
  <c r="C81" i="3"/>
  <c r="H72" i="7"/>
  <c r="Q74" i="7"/>
  <c r="E73" i="7"/>
  <c r="G73" i="7"/>
  <c r="K76" i="7"/>
  <c r="F74" i="7"/>
  <c r="I76" i="7"/>
  <c r="D75" i="7"/>
  <c r="A76" i="7"/>
  <c r="L77" i="7" s="1"/>
  <c r="A75" i="4"/>
  <c r="A82" i="3"/>
  <c r="K83" i="3" s="1"/>
  <c r="H53" i="3" l="1"/>
  <c r="G53" i="3" s="1"/>
  <c r="F53" i="3" s="1"/>
  <c r="E38" i="4"/>
  <c r="C42"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78" i="10" s="1"/>
  <c r="V80" i="3"/>
  <c r="W80" i="3" s="1"/>
  <c r="B75" i="4"/>
  <c r="B79" i="10" s="1"/>
  <c r="C82" i="3"/>
  <c r="H73" i="7"/>
  <c r="Q75" i="7"/>
  <c r="G74" i="7"/>
  <c r="E74" i="7"/>
  <c r="A77" i="7"/>
  <c r="L78" i="7" s="1"/>
  <c r="D76" i="7"/>
  <c r="I77" i="7"/>
  <c r="K77" i="7"/>
  <c r="F75" i="7"/>
  <c r="A83" i="3"/>
  <c r="K84" i="3" s="1"/>
  <c r="A76" i="4"/>
  <c r="V81" i="3"/>
  <c r="W81" i="3" s="1"/>
  <c r="E53" i="3" l="1"/>
  <c r="D38" i="4"/>
  <c r="U44" i="3"/>
  <c r="F38" i="4"/>
  <c r="D42"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H54" i="3" l="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80" i="10" s="1"/>
  <c r="C84" i="3"/>
  <c r="H75" i="7"/>
  <c r="Q77" i="7"/>
  <c r="G76" i="7"/>
  <c r="E76" i="7"/>
  <c r="A79" i="7"/>
  <c r="I79" i="7"/>
  <c r="F77" i="7"/>
  <c r="D78" i="7"/>
  <c r="A85" i="3"/>
  <c r="K86" i="3" s="1"/>
  <c r="A78" i="4"/>
  <c r="E54" i="3" l="1"/>
  <c r="H55" i="3" s="1"/>
  <c r="G55" i="3" s="1"/>
  <c r="F55" i="3" s="1"/>
  <c r="E39" i="4"/>
  <c r="C43" i="10" s="1"/>
  <c r="O86" i="3"/>
  <c r="M80" i="4" s="1"/>
  <c r="N86" i="3"/>
  <c r="L80" i="4" s="1"/>
  <c r="M86" i="3"/>
  <c r="K80" i="4" s="1"/>
  <c r="R86" i="3"/>
  <c r="P80" i="4" s="1"/>
  <c r="T86" i="3"/>
  <c r="R80" i="4" s="1"/>
  <c r="I80" i="4"/>
  <c r="C77" i="4"/>
  <c r="B77" i="4"/>
  <c r="B81"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E55" i="3" l="1"/>
  <c r="H56" i="3" s="1"/>
  <c r="G56" i="3" s="1"/>
  <c r="F56" i="3" s="1"/>
  <c r="D39" i="4"/>
  <c r="U45" i="3"/>
  <c r="F39" i="4"/>
  <c r="D43" i="10" s="1"/>
  <c r="O87" i="3"/>
  <c r="M81" i="4" s="1"/>
  <c r="N87" i="3"/>
  <c r="L81" i="4" s="1"/>
  <c r="M87" i="3"/>
  <c r="K81" i="4" s="1"/>
  <c r="R87" i="3"/>
  <c r="P81" i="4" s="1"/>
  <c r="I81" i="4"/>
  <c r="T87" i="3"/>
  <c r="R81" i="4" s="1"/>
  <c r="C78" i="4"/>
  <c r="B78" i="4"/>
  <c r="B82" i="10" s="1"/>
  <c r="S87" i="3"/>
  <c r="Q81" i="4" s="1"/>
  <c r="P87" i="3"/>
  <c r="N81" i="4" s="1"/>
  <c r="J87" i="3"/>
  <c r="H81" i="4" s="1"/>
  <c r="Q87" i="3"/>
  <c r="O81" i="4" s="1"/>
  <c r="J81" i="4"/>
  <c r="I87" i="3"/>
  <c r="G81" i="4" s="1"/>
  <c r="X84" i="3"/>
  <c r="Y84" i="3" s="1"/>
  <c r="Z84" i="3" s="1"/>
  <c r="V84" i="3"/>
  <c r="W84" i="3" s="1"/>
  <c r="B79" i="4"/>
  <c r="B83" i="10" s="1"/>
  <c r="C86" i="3"/>
  <c r="H77" i="7"/>
  <c r="Q79" i="7"/>
  <c r="K81" i="7"/>
  <c r="I81" i="7"/>
  <c r="D80" i="7"/>
  <c r="A81" i="7"/>
  <c r="F79" i="7"/>
  <c r="L81" i="7"/>
  <c r="E78" i="7"/>
  <c r="G78" i="7"/>
  <c r="A87" i="3"/>
  <c r="A80" i="4"/>
  <c r="Q88" i="3" l="1"/>
  <c r="K88" i="3"/>
  <c r="L88" i="3"/>
  <c r="E56" i="3"/>
  <c r="H57" i="3" s="1"/>
  <c r="G57" i="3" s="1"/>
  <c r="F57" i="3" s="1"/>
  <c r="AC7" i="3"/>
  <c r="O82" i="4"/>
  <c r="O88" i="3"/>
  <c r="M82" i="4" s="1"/>
  <c r="N88" i="3"/>
  <c r="L82" i="4" s="1"/>
  <c r="M88" i="3"/>
  <c r="K82" i="4" s="1"/>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88" i="3"/>
  <c r="E57" i="3" l="1"/>
  <c r="E40" i="4"/>
  <c r="C44" i="10" s="1"/>
  <c r="I82" i="4"/>
  <c r="M89" i="3"/>
  <c r="K83" i="4" s="1"/>
  <c r="O89" i="3"/>
  <c r="M83" i="4" s="1"/>
  <c r="N89" i="3"/>
  <c r="L83" i="4" s="1"/>
  <c r="R89" i="3"/>
  <c r="P83" i="4" s="1"/>
  <c r="T89" i="3"/>
  <c r="R83" i="4" s="1"/>
  <c r="K89" i="3"/>
  <c r="I83" i="4" s="1"/>
  <c r="C79" i="4"/>
  <c r="AD7" i="3"/>
  <c r="X86" i="3"/>
  <c r="Y86" i="3" s="1"/>
  <c r="S89" i="3"/>
  <c r="Q83" i="4" s="1"/>
  <c r="P89" i="3"/>
  <c r="N83" i="4" s="1"/>
  <c r="J89" i="3"/>
  <c r="H83" i="4" s="1"/>
  <c r="Q89" i="3"/>
  <c r="O83" i="4" s="1"/>
  <c r="L89" i="3"/>
  <c r="J83" i="4" s="1"/>
  <c r="I89" i="3"/>
  <c r="G83" i="4" s="1"/>
  <c r="B80" i="4"/>
  <c r="B84" i="10" s="1"/>
  <c r="D86" i="3"/>
  <c r="B81" i="4"/>
  <c r="B85" i="10" s="1"/>
  <c r="Z85" i="3"/>
  <c r="A82" i="4"/>
  <c r="C88" i="3"/>
  <c r="G80" i="7"/>
  <c r="Q81" i="7"/>
  <c r="E80" i="7"/>
  <c r="I83" i="7"/>
  <c r="D82" i="7"/>
  <c r="F81" i="7"/>
  <c r="A83" i="7"/>
  <c r="L83" i="7"/>
  <c r="K83" i="7"/>
  <c r="A89" i="3"/>
  <c r="H58" i="3" l="1"/>
  <c r="G58" i="3" s="1"/>
  <c r="F58" i="3" s="1"/>
  <c r="U46" i="3"/>
  <c r="F40" i="4"/>
  <c r="D44" i="10" s="1"/>
  <c r="D40" i="4"/>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E58" i="3" l="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86" i="10" s="1"/>
  <c r="V88" i="3"/>
  <c r="W88" i="3" s="1"/>
  <c r="B83" i="4"/>
  <c r="Z87" i="3"/>
  <c r="D88" i="3"/>
  <c r="C90" i="3"/>
  <c r="H81" i="7"/>
  <c r="Q83" i="7"/>
  <c r="G82" i="7"/>
  <c r="E82" i="7"/>
  <c r="A85" i="7"/>
  <c r="K85" i="7"/>
  <c r="I85" i="7"/>
  <c r="D84" i="7"/>
  <c r="F83" i="7"/>
  <c r="L85" i="7"/>
  <c r="A91" i="3"/>
  <c r="A84" i="4"/>
  <c r="H59" i="3" l="1"/>
  <c r="G59" i="3" s="1"/>
  <c r="F59" i="3" s="1"/>
  <c r="U47" i="3"/>
  <c r="E41" i="4"/>
  <c r="C45"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E59" i="3" l="1"/>
  <c r="D41" i="4"/>
  <c r="F41" i="4"/>
  <c r="D45" i="10"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H60" i="3" l="1"/>
  <c r="G60" i="3" s="1"/>
  <c r="F60" i="3"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60" i="3" l="1"/>
  <c r="U48" i="3"/>
  <c r="E42" i="4"/>
  <c r="C46"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H61" i="3" l="1"/>
  <c r="G61" i="3" s="1"/>
  <c r="F61" i="3" s="1"/>
  <c r="D42" i="4"/>
  <c r="F42" i="4"/>
  <c r="D46" i="10" s="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61" i="3" l="1"/>
  <c r="H62" i="3" s="1"/>
  <c r="G62" i="3" s="1"/>
  <c r="F62" i="3" s="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62" i="3" l="1"/>
  <c r="U49" i="3"/>
  <c r="E43" i="4"/>
  <c r="C47"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H63" i="3" l="1"/>
  <c r="G63" i="3" s="1"/>
  <c r="F63" i="3" s="1"/>
  <c r="D43" i="4"/>
  <c r="F43" i="4"/>
  <c r="D47" i="10"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63" i="3" l="1"/>
  <c r="F91" i="4"/>
  <c r="AC8" i="3"/>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H64" i="3" l="1"/>
  <c r="G64" i="3" s="1"/>
  <c r="F64" i="3" s="1"/>
  <c r="E44" i="4"/>
  <c r="C48"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64" i="3" l="1"/>
  <c r="D44" i="4"/>
  <c r="U50" i="3"/>
  <c r="F44" i="4"/>
  <c r="D48" i="10" s="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H65" i="3" l="1"/>
  <c r="G65" i="3" s="1"/>
  <c r="F65" i="3" s="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65" i="3" l="1"/>
  <c r="U51" i="3"/>
  <c r="E45" i="4"/>
  <c r="C49"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H66" i="3" l="1"/>
  <c r="G66" i="3" s="1"/>
  <c r="F66" i="3" s="1"/>
  <c r="D45" i="4"/>
  <c r="F45" i="4"/>
  <c r="D49" i="10" s="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66"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H67" i="3" l="1"/>
  <c r="G67" i="3" s="1"/>
  <c r="F67" i="3" s="1"/>
  <c r="E46" i="4"/>
  <c r="C50" i="10" s="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67" i="3" l="1"/>
  <c r="D46" i="4"/>
  <c r="F46" i="4"/>
  <c r="D50" i="10" s="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H68" i="3" l="1"/>
  <c r="G68" i="3" s="1"/>
  <c r="F68" i="3"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8" i="3" l="1"/>
  <c r="U53" i="3"/>
  <c r="E47" i="4"/>
  <c r="C51"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9" i="3" l="1"/>
  <c r="G69" i="3" s="1"/>
  <c r="F69" i="3" s="1"/>
  <c r="D47" i="4"/>
  <c r="F47" i="4"/>
  <c r="D51" i="10"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70" i="3" l="1"/>
  <c r="G70" i="3" s="1"/>
  <c r="F70" i="3" s="1"/>
  <c r="U54" i="3"/>
  <c r="E48" i="4"/>
  <c r="C52"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70" i="3" l="1"/>
  <c r="D48" i="4"/>
  <c r="F48" i="4"/>
  <c r="D52" i="10" s="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71" i="3" l="1"/>
  <c r="G71" i="3" s="1"/>
  <c r="F71" i="3"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71" i="3" l="1"/>
  <c r="E49" i="4"/>
  <c r="C53"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72" i="3" l="1"/>
  <c r="G72" i="3" s="1"/>
  <c r="F72" i="3" s="1"/>
  <c r="U55" i="3"/>
  <c r="D49" i="4"/>
  <c r="F49" i="4"/>
  <c r="D53" i="10"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72"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3" i="3" l="1"/>
  <c r="G73" i="3" s="1"/>
  <c r="F73" i="3" s="1"/>
  <c r="U56" i="3"/>
  <c r="E50" i="4"/>
  <c r="C54"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3" i="3" l="1"/>
  <c r="D50" i="4"/>
  <c r="F50" i="4"/>
  <c r="D54"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4" i="3" l="1"/>
  <c r="G74" i="3" s="1"/>
  <c r="F74" i="3"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4" i="3" l="1"/>
  <c r="E51" i="4"/>
  <c r="C55"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75" i="3" l="1"/>
  <c r="G75" i="3" s="1"/>
  <c r="F75" i="3" s="1"/>
  <c r="D51" i="4"/>
  <c r="U57" i="3"/>
  <c r="F51" i="4"/>
  <c r="D55"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5"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6" i="3" l="1"/>
  <c r="G76" i="3" s="1"/>
  <c r="F76" i="3" s="1"/>
  <c r="U58" i="3"/>
  <c r="E52" i="4"/>
  <c r="C56"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6" i="3" l="1"/>
  <c r="D52" i="4"/>
  <c r="F52" i="4"/>
  <c r="D56"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7" i="3" l="1"/>
  <c r="G77" i="3" s="1"/>
  <c r="F77" i="3"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U59" i="3"/>
  <c r="E53" i="4"/>
  <c r="C57"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D53" i="4"/>
  <c r="F53" i="4"/>
  <c r="D57" i="10" s="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E54" i="4"/>
  <c r="C58"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H80" i="3" s="1"/>
  <c r="G80" i="3" s="1"/>
  <c r="F80" i="3" s="1"/>
  <c r="D54" i="4"/>
  <c r="U60" i="3"/>
  <c r="F54" i="4"/>
  <c r="D58"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80" i="3" l="1"/>
  <c r="H81" i="3" s="1"/>
  <c r="G81" i="3" s="1"/>
  <c r="F81"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81" i="3" l="1"/>
  <c r="U61" i="3"/>
  <c r="E55" i="4"/>
  <c r="C59" i="10" s="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2" i="3" l="1"/>
  <c r="G82" i="3" s="1"/>
  <c r="F82" i="3" s="1"/>
  <c r="D55" i="4"/>
  <c r="F55" i="4"/>
  <c r="D59"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82"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H83" i="3" l="1"/>
  <c r="G83" i="3" s="1"/>
  <c r="F83" i="3" s="1"/>
  <c r="E56" i="4"/>
  <c r="C60"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3" i="3" l="1"/>
  <c r="U62" i="3"/>
  <c r="F56" i="4"/>
  <c r="D60" i="10" s="1"/>
  <c r="D56" i="4"/>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H84" i="3" l="1"/>
  <c r="G84" i="3" s="1"/>
  <c r="F84" i="3" s="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84" i="3" l="1"/>
  <c r="E57" i="4"/>
  <c r="C61"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H85" i="3" l="1"/>
  <c r="G85" i="3" s="1"/>
  <c r="F85" i="3" s="1"/>
  <c r="D57" i="4"/>
  <c r="U63" i="3"/>
  <c r="F57" i="4"/>
  <c r="D61"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85"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H86" i="3" l="1"/>
  <c r="G86" i="3" s="1"/>
  <c r="E58" i="4"/>
  <c r="C62" i="10" s="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F86" i="3" l="1"/>
  <c r="G87" i="3"/>
  <c r="G88" i="3" s="1"/>
  <c r="E86" i="3"/>
  <c r="F58" i="4"/>
  <c r="D62"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H87" i="3" l="1"/>
  <c r="H88" i="3" s="1"/>
  <c r="E87" i="3"/>
  <c r="E88" i="3"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F87" i="3" l="1"/>
  <c r="F88" i="3" s="1"/>
  <c r="D59" i="4"/>
  <c r="E59" i="4"/>
  <c r="C63"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U65" i="3" l="1"/>
  <c r="F59" i="4"/>
  <c r="D63"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F139" i="4" l="1"/>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U66" i="3" l="1"/>
  <c r="E60" i="4"/>
  <c r="C64"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D60" i="4" l="1"/>
  <c r="F60" i="4"/>
  <c r="D64"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61" i="4" l="1"/>
  <c r="C65"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U67" i="3" l="1"/>
  <c r="F61" i="4"/>
  <c r="D65" i="10" s="1"/>
  <c r="D61" i="4"/>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66"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66"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63" i="4" l="1"/>
  <c r="C67"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F63" i="4" l="1"/>
  <c r="D67" i="10" s="1"/>
  <c r="U69" i="3"/>
  <c r="D63" i="4"/>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68"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68"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D65" i="4" l="1"/>
  <c r="E65" i="4"/>
  <c r="C69"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U71" i="3" l="1"/>
  <c r="F65" i="4"/>
  <c r="D69"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66" i="4" l="1"/>
  <c r="C70"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U72" i="3"/>
  <c r="F66" i="4"/>
  <c r="D70"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67" i="4" l="1"/>
  <c r="C71"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U73" i="3"/>
  <c r="F67" i="4"/>
  <c r="D71"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U74" i="3" l="1"/>
  <c r="E68" i="4"/>
  <c r="C72"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D68" i="4" l="1"/>
  <c r="F68" i="4"/>
  <c r="D72" i="10" s="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U75" i="3" l="1"/>
  <c r="E69" i="4"/>
  <c r="C73"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D69" i="4" l="1"/>
  <c r="F69" i="4"/>
  <c r="D73" i="10" s="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70" i="4" l="1"/>
  <c r="C74" i="10" s="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D70" i="4" l="1"/>
  <c r="F70" i="4"/>
  <c r="D74"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75"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75"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76"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D72" i="4" l="1"/>
  <c r="F72" i="4"/>
  <c r="D76" i="10" s="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77"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77"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78"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78"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79"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79"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76" i="4" l="1"/>
  <c r="C80"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U82" i="3"/>
  <c r="F76" i="4"/>
  <c r="D80"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81"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81"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78" i="4" l="1"/>
  <c r="C82"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D78" i="4" l="1"/>
  <c r="U84" i="3"/>
  <c r="F78" i="4"/>
  <c r="D82"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83"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83"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84"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84"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86" i="10" s="1"/>
  <c r="F81" i="4"/>
  <c r="D85"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E89" i="3"/>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81" i="4"/>
  <c r="C85"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82" i="4" l="1"/>
  <c r="C86" i="10" s="1"/>
  <c r="D82" i="4"/>
  <c r="D81" i="4"/>
  <c r="E210" i="3"/>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R9" i="3" s="1"/>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49" i="1"/>
  <c r="E49" i="1" s="1"/>
  <c r="B49" i="1" s="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P21" i="4" l="1"/>
  <c r="R88" i="3"/>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P82" i="4" l="1"/>
  <c r="T88" i="3"/>
  <c r="R82" i="4" s="1"/>
  <c r="U27" i="3"/>
  <c r="D21" i="4"/>
  <c r="E260" i="3"/>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1" i="1" s="1"/>
  <c r="U32" i="3"/>
  <c r="S40" i="3" s="1"/>
  <c r="Q34" i="4" s="1"/>
  <c r="S52" i="3"/>
  <c r="Q46" i="4" s="1"/>
  <c r="B40" i="1" l="1"/>
  <c r="D19" i="10"/>
  <c r="U40" i="3"/>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<sst xmlns="http://schemas.openxmlformats.org/spreadsheetml/2006/main" count="751" uniqueCount="593">
  <si>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</si>
  <si>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</si>
  <si>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</si>
  <si>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</si>
  <si>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</si>
  <si>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</si>
  <si>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</si>
  <si>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</si>
  <si>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</si>
  <si>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</si>
  <si>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</si>
  <si>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</si>
  <si>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</si>
  <si>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</si>
  <si>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</si>
  <si>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</si>
  <si>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</si>
  <si>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</si>
  <si>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</si>
  <si>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</si>
  <si>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</si>
  <si>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</si>
  <si>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</si>
  <si>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</si>
  <si>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</si>
  <si>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</si>
  <si>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</si>
  <si>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</si>
  <si>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</si>
  <si>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</si>
  <si>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</si>
  <si>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</si>
  <si>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</si>
  <si>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</si>
  <si>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</si>
  <si>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</si>
  <si>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</si>
  <si>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</si>
  <si>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</si>
  <si>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</si>
  <si>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</si>
  <si>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</si>
  <si>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</si>
  <si>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</si>
  <si>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</si>
  <si>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</si>
  <si>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</si>
  <si>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</si>
  <si>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</si>
  <si>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</si>
  <si>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</si>
  <si>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</si>
  <si>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</si>
  <si>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</si>
  <si>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</si>
  <si>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</si>
  <si>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</si>
  <si>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</si>
  <si>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</si>
  <si>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</si>
  <si>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</si>
  <si>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</si>
  <si>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</si>
  <si>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</si>
  <si>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</si>
  <si>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</si>
  <si>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</si>
  <si>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</si>
  <si>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</si>
  <si>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</si>
  <si>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</si>
  <si>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</si>
  <si>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</si>
  <si>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</si>
  <si>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</si>
  <si>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</si>
  <si>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</si>
  <si>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</si>
  <si>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</si>
  <si>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</si>
  <si>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</si>
  <si>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</si>
  <si>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</si>
  <si>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</si>
  <si>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</si>
  <si>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</si>
  <si>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</si>
  <si>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</si>
  <si>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</si>
  <si>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</si>
  <si>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</si>
  <si>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</si>
  <si>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</si>
  <si>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</si>
  <si>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</si>
  <si>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</si>
  <si>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</si>
  <si>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</si>
  <si>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</si>
  <si>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</si>
  <si>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</si>
  <si>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</si>
  <si>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</si>
  <si>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</si>
  <si>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</si>
  <si>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</si>
  <si>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</si>
  <si>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</si>
  <si>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</si>
  <si>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</si>
  <si>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</si>
  <si>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</si>
  <si>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</si>
  <si>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</si>
  <si>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</si>
  <si>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</si>
  <si>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</si>
  <si>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</si>
  <si>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</si>
  <si>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</si>
  <si>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</si>
  <si>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</si>
  <si>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</si>
  <si>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</si>
  <si>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</si>
  <si>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</si>
  <si>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</si>
  <si>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</si>
  <si>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</si>
  <si>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</si>
  <si>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</si>
  <si>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</si>
  <si>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</si>
  <si>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</si>
  <si>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</si>
  <si>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</si>
  <si>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3. Послуга страховика</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</si>
  <si>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</si>
  <si>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</si>
  <si>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</si>
  <si>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</si>
  <si>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</si>
  <si>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</si>
  <si>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</si>
  <si>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</si>
  <si>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</si>
  <si>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</si>
  <si>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</si>
  <si>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</si>
  <si>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</si>
  <si>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</si>
  <si>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</si>
  <si>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</si>
  <si>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</si>
  <si>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</si>
  <si>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</si>
  <si>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</si>
  <si>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</si>
  <si>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</si>
  <si>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</si>
  <si>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</si>
  <si>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</si>
  <si>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</si>
  <si>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</si>
  <si>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</si>
  <si>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</si>
  <si>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</si>
  <si>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</si>
  <si>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</si>
  <si>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</si>
  <si>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</si>
  <si>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</si>
  <si>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</si>
  <si>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</si>
  <si>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</si>
  <si>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</si>
  <si>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</si>
  <si>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</si>
  <si>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</si>
  <si>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</si>
  <si>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</si>
  <si>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</si>
  <si>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</si>
  <si>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</si>
  <si>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</si>
  <si>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</si>
  <si>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</si>
  <si>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</si>
  <si>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</si>
  <si>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</si>
  <si>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</si>
  <si>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</si>
  <si>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</si>
  <si>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</si>
  <si>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</si>
  <si>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</si>
  <si>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</si>
  <si>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</si>
  <si>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</si>
  <si>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</si>
  <si>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</si>
  <si>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</si>
  <si>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</si>
  <si>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</si>
  <si>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</si>
  <si>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</si>
  <si>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</si>
  <si>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</si>
  <si>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</si>
  <si>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</si>
  <si>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</si>
  <si>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</si>
  <si>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</si>
  <si>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</si>
  <si>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</si>
  <si>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</si>
  <si>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</si>
  <si>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</si>
  <si>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</si>
  <si>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</si>
  <si>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</si>
  <si>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</si>
  <si>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</si>
  <si>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</si>
  <si>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</si>
  <si>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</si>
  <si>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</si>
  <si>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</si>
  <si>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</si>
  <si>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</si>
  <si>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</si>
  <si>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</si>
  <si>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</si>
  <si>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</si>
  <si>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</si>
  <si>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</si>
  <si>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</si>
  <si>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</si>
  <si>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</si>
  <si>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</si>
  <si>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</si>
  <si>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</si>
  <si>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</si>
  <si>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</si>
  <si>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</si>
  <si>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</si>
  <si>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</si>
  <si>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</si>
  <si>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</si>
  <si>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</si>
  <si>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</si>
  <si>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</si>
  <si>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</si>
  <si>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</si>
  <si>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</si>
  <si>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</si>
  <si>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</si>
  <si>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</si>
  <si>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</si>
  <si>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</si>
  <si>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</si>
  <si>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</si>
  <si>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</si>
  <si>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</si>
  <si>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</si>
  <si>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</si>
  <si>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</si>
  <si>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</si>
  <si>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</si>
  <si>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</si>
  <si>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</si>
  <si>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</si>
  <si>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</si>
  <si>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</si>
  <si>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</si>
  <si>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</si>
  <si>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</si>
  <si>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</si>
  <si>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</si>
  <si>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</si>
  <si>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</si>
  <si>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</si>
  <si>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</si>
  <si>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</si>
  <si>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</si>
  <si>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</si>
  <si>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</si>
  <si>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</si>
  <si>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</si>
  <si>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</si>
  <si>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</si>
  <si>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</si>
  <si>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</si>
  <si>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</si>
  <si>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</si>
  <si>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</si>
  <si>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</si>
  <si>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</si>
  <si>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</si>
  <si>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</si>
  <si>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</si>
  <si>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</si>
  <si>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</si>
  <si>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</si>
  <si>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</si>
  <si>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</si>
  <si>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</si>
  <si>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</si>
  <si>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</si>
  <si>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</si>
  <si>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</si>
  <si>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</si>
  <si>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</si>
  <si>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</si>
  <si>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</si>
  <si>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</si>
  <si>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</si>
  <si>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</si>
  <si>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</si>
  <si>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</si>
  <si>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</si>
  <si>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</si>
  <si>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</si>
  <si>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</si>
  <si>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</si>
  <si>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</si>
  <si>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</si>
  <si>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</si>
  <si>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</si>
  <si>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</si>
  <si>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</si>
  <si>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</si>
  <si>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</si>
  <si>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</si>
  <si>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</si>
  <si>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</si>
  <si>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</si>
  <si>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</si>
  <si>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</si>
  <si>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</si>
  <si>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</si>
  <si>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</si>
  <si>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</si>
  <si>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</si>
  <si>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</si>
  <si>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</si>
  <si>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</si>
  <si>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</si>
  <si>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</si>
  <si>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</si>
  <si>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</si>
  <si>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</si>
  <si>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</si>
  <si>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</si>
  <si>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</si>
  <si>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</si>
  <si>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</si>
  <si>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</si>
  <si>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</si>
  <si>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</si>
  <si>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</si>
  <si>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</si>
  <si>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</si>
  <si>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</si>
  <si>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</si>
  <si>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</si>
  <si>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</si>
  <si>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</si>
  <si>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</si>
  <si>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</si>
  <si>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</si>
  <si>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</si>
  <si>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</si>
  <si>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</si>
  <si>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</si>
  <si>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</si>
  <si>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</si>
  <si>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</si>
  <si>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</si>
  <si>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</si>
  <si>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</si>
  <si>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</si>
  <si>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</si>
  <si>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</si>
  <si>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</si>
  <si>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</si>
  <si>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</si>
  <si>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</si>
  <si>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</si>
  <si>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</si>
  <si>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</si>
  <si>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</si>
  <si>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</si>
  <si>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</si>
  <si>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</si>
  <si>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</si>
  <si>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</si>
  <si>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</si>
  <si>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</si>
  <si>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</si>
  <si>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</si>
  <si>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</si>
  <si>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</si>
  <si>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</si>
  <si>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</si>
  <si>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</si>
  <si>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</si>
  <si>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</si>
  <si>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</si>
  <si>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</si>
  <si>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</si>
  <si>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</si>
  <si>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</si>
  <si>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</si>
  <si>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</si>
  <si>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</si>
  <si>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</si>
  <si>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</si>
  <si>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</si>
  <si>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</si>
  <si>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</si>
  <si>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</si>
  <si>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</si>
  <si>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</si>
  <si>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</si>
  <si>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</si>
  <si>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</si>
  <si>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</si>
  <si>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</si>
  <si>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</si>
  <si>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</si>
  <si>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</si>
  <si>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</si>
  <si>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</si>
  <si>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</si>
  <si>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</si>
  <si>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</si>
  <si>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</si>
  <si>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</si>
  <si>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</si>
  <si>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</si>
  <si>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</si>
  <si>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</si>
  <si>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</si>
  <si>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</si>
  <si>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</si>
  <si>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</si>
  <si>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</si>
  <si>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</si>
  <si>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</si>
  <si>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</si>
  <si>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</si>
  <si>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</si>
  <si>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</si>
  <si>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</si>
  <si>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</si>
  <si>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</si>
  <si>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</si>
  <si>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</si>
  <si>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</si>
  <si>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</si>
  <si>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</si>
  <si>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</si>
  <si>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</si>
  <si>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</si>
  <si>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</si>
  <si>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</si>
  <si>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</si>
  <si>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</si>
  <si>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</si>
  <si>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</si>
  <si>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</si>
  <si>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</si>
  <si>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</si>
  <si>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</si>
  <si>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</si>
  <si>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</si>
  <si>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</si>
  <si>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</si>
  <si>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</si>
  <si>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</si>
  <si>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</si>
  <si>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</si>
  <si>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</si>
  <si>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</si>
  <si>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</si>
  <si>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</si>
  <si>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</si>
  <si>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</si>
  <si>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</si>
  <si>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</si>
  <si>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</si>
  <si>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</si>
  <si>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</si>
  <si>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</si>
  <si>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</si>
  <si>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</si>
  <si>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</si>
  <si>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</si>
  <si>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</si>
  <si>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</si>
  <si>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</si>
  <si>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</si>
  <si>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</si>
  <si>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</si>
  <si>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</si>
  <si>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</si>
  <si>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</si>
  <si>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</si>
  <si>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</si>
  <si>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</si>
  <si>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</si>
  <si>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</si>
  <si>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</si>
  <si>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</si>
  <si>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</si>
  <si>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</si>
  <si>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</si>
  <si>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</si>
  <si>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</si>
  <si>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</si>
  <si>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</si>
  <si>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</si>
  <si>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</si>
  <si>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</si>
  <si>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</si>
  <si>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</si>
  <si>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</si>
  <si>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</si>
  <si>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</si>
  <si>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</si>
  <si>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</si>
  <si>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</si>
  <si>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</si>
  <si>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</si>
  <si>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</si>
  <si>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</si>
  <si>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</si>
  <si>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</si>
  <si>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</si>
  <si>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</si>
  <si>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</si>
  <si>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</si>
  <si>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</si>
  <si>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</si>
  <si>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</si>
  <si>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</si>
  <si>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</si>
  <si>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</si>
  <si>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</si>
  <si>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</si>
  <si>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</si>
  <si>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</si>
  <si>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</si>
  <si>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</si>
  <si>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</si>
  <si>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</si>
  <si>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</si>
  <si>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</si>
  <si>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</si>
  <si>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</si>
  <si>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</si>
  <si>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</si>
  <si>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</si>
  <si>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</si>
  <si>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</si>
  <si>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</si>
  <si>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</si>
  <si>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</si>
  <si>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</si>
  <si>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</si>
  <si>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</si>
  <si>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</si>
  <si>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</si>
  <si>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</si>
  <si>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</si>
  <si>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</si>
  <si>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</si>
  <si>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</si>
  <si>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</si>
  <si>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</si>
  <si>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</si>
  <si>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Іпотека, застава, порука, неустойка</t>
  </si>
  <si>
    <t xml:space="preserve">% від суми кредиту, </t>
  </si>
  <si>
    <t>Платежі за супровідні послуги третіх осіб, обов'язкові для укладення договору/отримання кредиту, грн:</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</si>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</sst>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7">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2" fillId="2" borderId="0" xfId="0" applyFont="1" applyFill="1"/>
    <xf numFmtId="0" fontId="2" fillId="2" borderId="64" xfId="0" applyFont="1" applyFill="1" applyBorder="1" applyAlignment="1">
      <alignment horizontal="left" vertical="center" wrapText="1"/>
    </xf>
    <xf numFmtId="14" fontId="0" fillId="2" borderId="0" xfId="0" applyNumberForma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7" fillId="2" borderId="0" xfId="0" applyFont="1" applyFill="1" applyAlignment="1">
      <alignment horizontal="left"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4" fontId="45" fillId="0" borderId="11" xfId="0" applyNumberFormat="1" applyFont="1" applyBorder="1"/>
    <xf numFmtId="10" fontId="45"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zoomScale="70" zoomScaleNormal="70" workbookViewId="0">
      <selection activeCell="B57" sqref="B57:C57"/>
    </sheetView>
  </sheetViews>
  <sheetFormatPr defaultRowHeight="14.5" x14ac:dyDescent="0.35"/>
  <cols>
    <col min="1" max="1" width="45.54296875" style="264" customWidth="1"/>
    <col min="2" max="2" width="6.54296875" style="9" customWidth="1"/>
    <col min="3" max="3" width="60.81640625" style="9" customWidth="1"/>
    <col min="4" max="4" width="10.1796875" style="9" bestFit="1" customWidth="1"/>
    <col min="5" max="5" width="14.08984375" style="9" customWidth="1"/>
    <col min="6" max="16384" width="8.7265625" style="9"/>
  </cols>
  <sheetData>
    <row r="1" spans="1:5" ht="78" customHeight="1" x14ac:dyDescent="0.4">
      <c r="A1" s="310" t="s">
        <v>588</v>
      </c>
      <c r="B1" s="310"/>
      <c r="C1" s="310"/>
    </row>
    <row r="2" spans="1:5" ht="15" thickBot="1" x14ac:dyDescent="0.4">
      <c r="A2" s="272" t="s">
        <v>0</v>
      </c>
      <c r="B2" s="273"/>
      <c r="C2" s="273"/>
    </row>
    <row r="3" spans="1:5" ht="15" customHeight="1" x14ac:dyDescent="0.35">
      <c r="A3" s="289" t="s">
        <v>1</v>
      </c>
      <c r="B3" s="298" t="s">
        <v>95</v>
      </c>
      <c r="C3" s="299"/>
    </row>
    <row r="4" spans="1:5" ht="15" thickBot="1" x14ac:dyDescent="0.4">
      <c r="A4" s="290"/>
      <c r="B4" s="300"/>
      <c r="C4" s="301"/>
    </row>
    <row r="5" spans="1:5" ht="15" thickBot="1" x14ac:dyDescent="0.4">
      <c r="A5" s="297"/>
      <c r="B5" s="265" t="s">
        <v>557</v>
      </c>
      <c r="C5" s="267"/>
      <c r="E5" s="253" t="s">
        <v>492</v>
      </c>
    </row>
    <row r="6" spans="1:5" ht="15" customHeight="1" x14ac:dyDescent="0.35">
      <c r="A6" s="289" t="s">
        <v>3</v>
      </c>
      <c r="B6" s="298" t="s">
        <v>4</v>
      </c>
      <c r="C6" s="299"/>
    </row>
    <row r="7" spans="1:5" x14ac:dyDescent="0.35">
      <c r="A7" s="290"/>
      <c r="B7" s="302" t="s">
        <v>5</v>
      </c>
      <c r="C7" s="303"/>
    </row>
    <row r="8" spans="1:5" ht="15" thickBot="1" x14ac:dyDescent="0.4">
      <c r="A8" s="297"/>
      <c r="B8" s="304"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305"/>
    </row>
    <row r="9" spans="1:5" x14ac:dyDescent="0.35">
      <c r="A9" s="289" t="s">
        <v>6</v>
      </c>
      <c r="B9" s="306" t="s">
        <v>7</v>
      </c>
      <c r="C9" s="307"/>
    </row>
    <row r="10" spans="1:5" ht="15" thickBot="1" x14ac:dyDescent="0.4">
      <c r="A10" s="297"/>
      <c r="B10" s="308" t="s">
        <v>96</v>
      </c>
      <c r="C10" s="309"/>
    </row>
    <row r="11" spans="1:5" ht="15" thickBot="1" x14ac:dyDescent="0.4">
      <c r="A11" s="252" t="s">
        <v>8</v>
      </c>
      <c r="B11" s="265" t="s">
        <v>9</v>
      </c>
      <c r="C11" s="267"/>
    </row>
    <row r="12" spans="1:5" ht="15" thickBot="1" x14ac:dyDescent="0.4">
      <c r="A12" s="252" t="s">
        <v>10</v>
      </c>
      <c r="B12" s="265" t="s">
        <v>11</v>
      </c>
      <c r="C12" s="267"/>
    </row>
    <row r="13" spans="1:5" ht="15" thickBot="1" x14ac:dyDescent="0.4">
      <c r="A13" s="252" t="s">
        <v>12</v>
      </c>
      <c r="B13" s="265" t="s">
        <v>13</v>
      </c>
      <c r="C13" s="267"/>
    </row>
    <row r="14" spans="1:5" ht="15.75" customHeight="1" thickBot="1" x14ac:dyDescent="0.4">
      <c r="A14" s="274" t="s">
        <v>14</v>
      </c>
      <c r="B14" s="275"/>
      <c r="C14" s="276"/>
    </row>
    <row r="15" spans="1:5" ht="15.75" customHeight="1" thickBot="1" x14ac:dyDescent="0.4">
      <c r="A15" s="254" t="s">
        <v>124</v>
      </c>
      <c r="B15" s="291" t="s">
        <v>125</v>
      </c>
      <c r="C15" s="292"/>
    </row>
    <row r="16" spans="1:5" ht="15.75" customHeight="1" thickBot="1" x14ac:dyDescent="0.4">
      <c r="A16" s="254" t="s">
        <v>126</v>
      </c>
      <c r="B16" s="293"/>
      <c r="C16" s="294"/>
    </row>
    <row r="17" spans="1:5" ht="15.75" customHeight="1" thickBot="1" x14ac:dyDescent="0.4">
      <c r="A17" s="254" t="s">
        <v>8</v>
      </c>
      <c r="B17" s="293"/>
      <c r="C17" s="294"/>
    </row>
    <row r="18" spans="1:5" ht="15.75" customHeight="1" thickBot="1" x14ac:dyDescent="0.4">
      <c r="A18" s="254" t="s">
        <v>10</v>
      </c>
      <c r="B18" s="293"/>
      <c r="C18" s="294"/>
    </row>
    <row r="19" spans="1:5" ht="15.75" customHeight="1" thickBot="1" x14ac:dyDescent="0.4">
      <c r="A19" s="254" t="s">
        <v>127</v>
      </c>
      <c r="B19" s="295"/>
      <c r="C19" s="296"/>
    </row>
    <row r="20" spans="1:5" ht="15.75" customHeight="1" thickBot="1" x14ac:dyDescent="0.4">
      <c r="A20" s="274" t="s">
        <v>15</v>
      </c>
      <c r="B20" s="275"/>
      <c r="C20" s="276"/>
    </row>
    <row r="21" spans="1:5" ht="15" thickBot="1" x14ac:dyDescent="0.4">
      <c r="A21" s="252" t="s">
        <v>16</v>
      </c>
      <c r="B21" s="265" t="s">
        <v>78</v>
      </c>
      <c r="C21" s="267"/>
    </row>
    <row r="22" spans="1:5" ht="15" thickBot="1" x14ac:dyDescent="0.4">
      <c r="A22" s="252" t="s">
        <v>17</v>
      </c>
      <c r="B22" s="286">
        <f>графік!F7</f>
        <v>750000</v>
      </c>
      <c r="C22" s="287"/>
    </row>
    <row r="23" spans="1:5" ht="15" thickBot="1" x14ac:dyDescent="0.4">
      <c r="A23" s="252" t="s">
        <v>128</v>
      </c>
      <c r="B23" s="265" t="str">
        <f>CONCATENATE(E23,D23)</f>
        <v>60 міс.</v>
      </c>
      <c r="C23" s="267"/>
      <c r="D23" s="51" t="s">
        <v>129</v>
      </c>
      <c r="E23" s="51">
        <f>графік!F8</f>
        <v>60</v>
      </c>
    </row>
    <row r="24" spans="1:5" ht="14.5" customHeight="1" x14ac:dyDescent="0.35">
      <c r="A24" s="289" t="s">
        <v>18</v>
      </c>
      <c r="B24" s="268" t="s">
        <v>98</v>
      </c>
      <c r="C24" s="269"/>
    </row>
    <row r="25" spans="1:5" ht="15" thickBot="1" x14ac:dyDescent="0.4">
      <c r="A25" s="297"/>
      <c r="B25" s="270"/>
      <c r="C25" s="271"/>
    </row>
    <row r="26" spans="1:5" ht="18.75" customHeight="1" thickBot="1" x14ac:dyDescent="0.4">
      <c r="A26" s="255" t="s">
        <v>19</v>
      </c>
      <c r="B26" s="265" t="s">
        <v>99</v>
      </c>
      <c r="C26" s="267"/>
    </row>
    <row r="27" spans="1:5" ht="15" customHeight="1" thickBot="1" x14ac:dyDescent="0.4">
      <c r="A27" s="252" t="s">
        <v>20</v>
      </c>
      <c r="B27" s="265" t="s">
        <v>582</v>
      </c>
      <c r="C27" s="267"/>
    </row>
    <row r="28" spans="1:5" ht="39.5" customHeight="1" thickBot="1" x14ac:dyDescent="0.4">
      <c r="A28" s="252" t="s">
        <v>589</v>
      </c>
      <c r="B28" s="265" t="s">
        <v>22</v>
      </c>
      <c r="C28" s="267"/>
    </row>
    <row r="29" spans="1:5" ht="20.25" customHeight="1" x14ac:dyDescent="0.35">
      <c r="A29" s="289" t="s">
        <v>23</v>
      </c>
      <c r="B29" s="288" t="s">
        <v>100</v>
      </c>
      <c r="C29" s="269"/>
    </row>
    <row r="30" spans="1:5" ht="15" thickBot="1" x14ac:dyDescent="0.4">
      <c r="A30" s="290"/>
      <c r="B30" s="270"/>
      <c r="C30" s="271"/>
    </row>
    <row r="31" spans="1:5" ht="19.5" customHeight="1" thickBot="1" x14ac:dyDescent="0.4">
      <c r="A31" s="274" t="s">
        <v>154</v>
      </c>
      <c r="B31" s="275"/>
      <c r="C31" s="276"/>
    </row>
    <row r="32" spans="1:5" ht="19.5" customHeight="1" thickBot="1" x14ac:dyDescent="0.4">
      <c r="A32" s="252" t="s">
        <v>587</v>
      </c>
      <c r="B32" s="284">
        <f>графік!F9</f>
        <v>0.33989999999999998</v>
      </c>
      <c r="C32" s="285"/>
    </row>
    <row r="33" spans="1:6" ht="15" thickBot="1" x14ac:dyDescent="0.4">
      <c r="A33" s="252" t="s">
        <v>26</v>
      </c>
      <c r="B33" s="270" t="s">
        <v>526</v>
      </c>
      <c r="C33" s="271"/>
    </row>
    <row r="34" spans="1:6" ht="26.25" customHeight="1" thickBot="1" x14ac:dyDescent="0.4">
      <c r="A34" s="252" t="s">
        <v>27</v>
      </c>
      <c r="B34" s="265" t="s">
        <v>527</v>
      </c>
      <c r="C34" s="267"/>
    </row>
    <row r="35" spans="1:6" ht="23.5" thickBot="1" x14ac:dyDescent="0.4">
      <c r="A35" s="252" t="s">
        <v>590</v>
      </c>
      <c r="B35" s="265" t="s">
        <v>29</v>
      </c>
      <c r="C35" s="267"/>
    </row>
    <row r="36" spans="1:6" ht="15" thickBot="1" x14ac:dyDescent="0.4">
      <c r="A36" s="252" t="s">
        <v>512</v>
      </c>
      <c r="B36" s="279" t="str">
        <f>CONCATENATE(F36*100,D36,E36)</f>
        <v>1,99% від суми кредиту, 14925</v>
      </c>
      <c r="C36" s="280"/>
      <c r="D36" s="51" t="s">
        <v>583</v>
      </c>
      <c r="E36" s="64">
        <f>графік!R4</f>
        <v>14925</v>
      </c>
      <c r="F36" s="17">
        <f>графік!R3</f>
        <v>1.9900000000000001E-2</v>
      </c>
    </row>
    <row r="37" spans="1:6" ht="15" hidden="1" thickBot="1" x14ac:dyDescent="0.4">
      <c r="A37" s="252"/>
      <c r="B37" s="256"/>
    </row>
    <row r="38" spans="1:6" ht="23.5" thickBot="1" x14ac:dyDescent="0.4">
      <c r="A38" s="257" t="s">
        <v>130</v>
      </c>
      <c r="B38" s="277" t="s">
        <v>131</v>
      </c>
      <c r="C38" s="278"/>
    </row>
    <row r="39" spans="1:6" ht="23.5" thickBot="1" x14ac:dyDescent="0.4">
      <c r="A39" s="257" t="s">
        <v>132</v>
      </c>
      <c r="B39" s="277" t="s">
        <v>133</v>
      </c>
      <c r="C39" s="278"/>
    </row>
    <row r="40" spans="1:6" ht="15" thickBot="1" x14ac:dyDescent="0.4">
      <c r="A40" s="252" t="s">
        <v>32</v>
      </c>
      <c r="B40" s="286">
        <f ca="1">B41-B22</f>
        <v>831934.83453749935</v>
      </c>
      <c r="C40" s="287"/>
    </row>
    <row r="41" spans="1:6" ht="35" thickBot="1" x14ac:dyDescent="0.4">
      <c r="A41" s="252" t="s">
        <v>33</v>
      </c>
      <c r="B41" s="286">
        <f ca="1">SUM('Таблиця обчислення'!R22:R262)</f>
        <v>1581934.8345374994</v>
      </c>
      <c r="C41" s="287"/>
    </row>
    <row r="42" spans="1:6" ht="15" thickBot="1" x14ac:dyDescent="0.4">
      <c r="A42" s="251" t="s">
        <v>34</v>
      </c>
      <c r="B42" s="279">
        <f ca="1">SUM('Таблиця обчислення'!Q23:Q263)</f>
        <v>0.41282240748405463</v>
      </c>
      <c r="C42" s="280"/>
    </row>
    <row r="43" spans="1:6" ht="48" customHeight="1" thickBot="1" x14ac:dyDescent="0.4">
      <c r="A43" s="281" t="s">
        <v>35</v>
      </c>
      <c r="B43" s="282"/>
      <c r="C43" s="283"/>
    </row>
    <row r="44" spans="1:6" ht="24" customHeight="1" thickBot="1" x14ac:dyDescent="0.4">
      <c r="A44" s="281" t="s">
        <v>36</v>
      </c>
      <c r="B44" s="282"/>
      <c r="C44" s="283"/>
    </row>
    <row r="45" spans="1:6" ht="24" customHeight="1" thickBot="1" x14ac:dyDescent="0.4">
      <c r="A45" s="281" t="s">
        <v>37</v>
      </c>
      <c r="B45" s="282"/>
      <c r="C45" s="283"/>
    </row>
    <row r="46" spans="1:6" ht="24" customHeight="1" thickBot="1" x14ac:dyDescent="0.4">
      <c r="A46" s="258" t="s">
        <v>584</v>
      </c>
      <c r="B46" s="265" t="s">
        <v>29</v>
      </c>
      <c r="C46" s="267"/>
      <c r="D46" s="259"/>
      <c r="E46" s="259"/>
      <c r="F46" s="259"/>
    </row>
    <row r="47" spans="1:6" ht="24" customHeight="1" thickBot="1" x14ac:dyDescent="0.4">
      <c r="A47" s="260" t="s">
        <v>152</v>
      </c>
      <c r="B47" s="286" t="str">
        <f>IF(D47=0,E47,CONCATENATE(E47,D47))</f>
        <v>ні</v>
      </c>
      <c r="C47" s="287"/>
      <c r="D47" s="64">
        <f>графік!R7</f>
        <v>0</v>
      </c>
      <c r="E47" s="51" t="str">
        <f>IF(D47&gt;0,"так, ","ні")</f>
        <v>ні</v>
      </c>
      <c r="F47" s="259"/>
    </row>
    <row r="48" spans="1:6" ht="24" customHeight="1" thickBot="1" x14ac:dyDescent="0.4">
      <c r="A48" s="260" t="s">
        <v>591</v>
      </c>
      <c r="B48" s="286" t="str">
        <f>IF(D48=0,E48,CONCATENATE(E48,D48))</f>
        <v>ні</v>
      </c>
      <c r="C48" s="287"/>
      <c r="D48" s="64">
        <f>графік!R12</f>
        <v>0</v>
      </c>
      <c r="E48" s="51" t="str">
        <f>IF(D48&gt;0,"так, ","ні")</f>
        <v>ні</v>
      </c>
      <c r="F48" s="259"/>
    </row>
    <row r="49" spans="1:6" ht="24" customHeight="1" thickBot="1" x14ac:dyDescent="0.4">
      <c r="A49" s="260" t="s">
        <v>136</v>
      </c>
      <c r="B49" s="286" t="str">
        <f t="shared" ref="B49" si="0">IF(D49=0,E49,CONCATENATE(E49,D49))</f>
        <v>ні</v>
      </c>
      <c r="C49" s="287"/>
      <c r="D49" s="64">
        <f>графік!R9+графік!R11+графік!R17</f>
        <v>0</v>
      </c>
      <c r="E49" s="51" t="str">
        <f>IF(D49&gt;0,"так, ","ні")</f>
        <v>ні</v>
      </c>
      <c r="F49" s="259"/>
    </row>
    <row r="50" spans="1:6" ht="15" thickBot="1" x14ac:dyDescent="0.4">
      <c r="A50" s="274" t="s">
        <v>38</v>
      </c>
      <c r="B50" s="275"/>
      <c r="C50" s="276"/>
      <c r="D50" s="259"/>
      <c r="E50" s="259"/>
      <c r="F50" s="259"/>
    </row>
    <row r="51" spans="1:6" ht="61.5" customHeight="1" thickBot="1" x14ac:dyDescent="0.4">
      <c r="A51" s="260" t="s">
        <v>39</v>
      </c>
      <c r="B51" s="265" t="s">
        <v>585</v>
      </c>
      <c r="C51" s="267"/>
    </row>
    <row r="52" spans="1:6" ht="15" thickBot="1" x14ac:dyDescent="0.4">
      <c r="A52" s="274" t="s">
        <v>41</v>
      </c>
      <c r="B52" s="275"/>
      <c r="C52" s="276"/>
    </row>
    <row r="53" spans="1:6" ht="20" customHeight="1" thickBot="1" x14ac:dyDescent="0.4">
      <c r="A53" s="252" t="s">
        <v>44</v>
      </c>
      <c r="B53" s="265" t="s">
        <v>134</v>
      </c>
      <c r="C53" s="267"/>
    </row>
    <row r="54" spans="1:6" ht="15" customHeight="1" thickBot="1" x14ac:dyDescent="0.4">
      <c r="A54" s="252" t="s">
        <v>45</v>
      </c>
      <c r="B54" s="265" t="s">
        <v>586</v>
      </c>
      <c r="C54" s="267"/>
    </row>
    <row r="55" spans="1:6" ht="15" thickBot="1" x14ac:dyDescent="0.4">
      <c r="A55" s="257" t="s">
        <v>135</v>
      </c>
      <c r="B55" s="277" t="s">
        <v>22</v>
      </c>
      <c r="C55" s="278"/>
    </row>
    <row r="56" spans="1:6" ht="23.5" customHeight="1" thickBot="1" x14ac:dyDescent="0.4">
      <c r="A56" s="252" t="s">
        <v>123</v>
      </c>
      <c r="B56" s="265" t="s">
        <v>592</v>
      </c>
      <c r="C56" s="267"/>
    </row>
    <row r="57" spans="1:6" ht="15" thickBot="1" x14ac:dyDescent="0.4">
      <c r="A57" s="252" t="s">
        <v>47</v>
      </c>
      <c r="B57" s="265" t="s">
        <v>22</v>
      </c>
      <c r="C57" s="267"/>
    </row>
    <row r="58" spans="1:6" ht="25.5" customHeight="1" thickBot="1" x14ac:dyDescent="0.4">
      <c r="A58" s="252" t="s">
        <v>499</v>
      </c>
      <c r="B58" s="265" t="s">
        <v>111</v>
      </c>
      <c r="C58" s="267"/>
      <c r="D58" s="51"/>
      <c r="E58" s="51"/>
    </row>
    <row r="59" spans="1:6" ht="25.5" customHeight="1" thickBot="1" x14ac:dyDescent="0.4">
      <c r="A59" s="265" t="s">
        <v>500</v>
      </c>
      <c r="B59" s="266"/>
      <c r="C59" s="267"/>
      <c r="D59" s="51"/>
      <c r="E59" s="51"/>
    </row>
    <row r="60" spans="1:6" ht="15" thickBot="1" x14ac:dyDescent="0.4">
      <c r="A60" s="274" t="s">
        <v>48</v>
      </c>
      <c r="B60" s="275"/>
      <c r="C60" s="276"/>
    </row>
    <row r="61" spans="1:6" ht="36" customHeight="1" thickBot="1" x14ac:dyDescent="0.4">
      <c r="A61" s="265" t="s">
        <v>49</v>
      </c>
      <c r="B61" s="266"/>
      <c r="C61" s="267"/>
    </row>
    <row r="62" spans="1:6" ht="46.5" thickBot="1" x14ac:dyDescent="0.4">
      <c r="A62" s="260" t="s">
        <v>50</v>
      </c>
      <c r="B62" s="265" t="s">
        <v>111</v>
      </c>
      <c r="C62" s="267"/>
    </row>
    <row r="63" spans="1:6" ht="36" customHeight="1" thickBot="1" x14ac:dyDescent="0.4">
      <c r="A63" s="265" t="s">
        <v>120</v>
      </c>
      <c r="B63" s="266"/>
      <c r="C63" s="267"/>
    </row>
    <row r="64" spans="1:6" ht="36" customHeight="1" thickBot="1" x14ac:dyDescent="0.4">
      <c r="A64" s="265" t="s">
        <v>52</v>
      </c>
      <c r="B64" s="266"/>
      <c r="C64" s="267"/>
      <c r="D64" s="261"/>
    </row>
    <row r="65" spans="1:7" ht="15" customHeight="1" x14ac:dyDescent="0.35">
      <c r="A65" s="289" t="str">
        <f ca="1">CONCATENATE(E66,TEXT(D66,"dd.mm.yyyy"))</f>
        <v>Дата надання інформації: 26.09.2023</v>
      </c>
      <c r="B65" s="268" t="str">
        <f ca="1">CONCATENATE(E67,TEXT(D67,"dd.mm.yyyy"))</f>
        <v>Ця інформація зберігає чинність та є актуальною до 26.09.2023</v>
      </c>
      <c r="C65" s="269"/>
      <c r="F65" s="51"/>
      <c r="G65" s="51"/>
    </row>
    <row r="66" spans="1:7" ht="15" thickBot="1" x14ac:dyDescent="0.4">
      <c r="A66" s="297"/>
      <c r="B66" s="270"/>
      <c r="C66" s="271"/>
      <c r="D66" s="262">
        <f ca="1">TODAY()</f>
        <v>45195</v>
      </c>
      <c r="E66" s="51" t="s">
        <v>493</v>
      </c>
      <c r="F66" s="51"/>
      <c r="G66" s="51"/>
    </row>
    <row r="67" spans="1:7" x14ac:dyDescent="0.35">
      <c r="A67" s="250"/>
      <c r="B67" s="268" t="s">
        <v>56</v>
      </c>
      <c r="C67" s="269"/>
      <c r="D67" s="262">
        <f ca="1">D66</f>
        <v>45195</v>
      </c>
      <c r="E67" s="311" t="s">
        <v>494</v>
      </c>
      <c r="F67" s="51"/>
      <c r="G67" s="51"/>
    </row>
    <row r="68" spans="1:7" ht="15" thickBot="1" x14ac:dyDescent="0.4">
      <c r="A68" s="263" t="s">
        <v>55</v>
      </c>
      <c r="B68" s="270"/>
      <c r="C68" s="271"/>
      <c r="D68" s="51"/>
      <c r="E68" s="311"/>
      <c r="F68" s="51"/>
      <c r="G68" s="51"/>
    </row>
    <row r="69" spans="1:7" ht="24" customHeight="1" thickBot="1" x14ac:dyDescent="0.4">
      <c r="A69" s="265" t="s">
        <v>57</v>
      </c>
      <c r="B69" s="266"/>
      <c r="C69" s="267"/>
      <c r="D69" s="51"/>
      <c r="E69" s="51"/>
      <c r="F69" s="51"/>
      <c r="G69" s="51"/>
    </row>
    <row r="70" spans="1:7" ht="48" customHeight="1" thickBot="1" x14ac:dyDescent="0.4">
      <c r="A70" s="265" t="s">
        <v>58</v>
      </c>
      <c r="B70" s="266"/>
      <c r="C70" s="267"/>
      <c r="D70" s="51"/>
      <c r="E70" s="51"/>
      <c r="F70" s="51"/>
      <c r="G70" s="51"/>
    </row>
    <row r="71" spans="1:7" x14ac:dyDescent="0.35">
      <c r="A71" s="251"/>
      <c r="B71" s="268" t="s">
        <v>60</v>
      </c>
      <c r="C71" s="269"/>
    </row>
    <row r="72" spans="1:7" ht="15" thickBot="1" x14ac:dyDescent="0.4">
      <c r="A72" s="263" t="s">
        <v>59</v>
      </c>
      <c r="B72" s="270"/>
      <c r="C72" s="271"/>
    </row>
    <row r="73" spans="1:7" ht="62" customHeight="1" thickBot="1" x14ac:dyDescent="0.4">
      <c r="A73" s="265" t="s">
        <v>501</v>
      </c>
      <c r="B73" s="266"/>
      <c r="C73" s="267"/>
    </row>
    <row r="74" spans="1:7" ht="28" customHeight="1" thickBot="1" x14ac:dyDescent="0.4">
      <c r="A74" s="265" t="s">
        <v>502</v>
      </c>
      <c r="B74" s="266"/>
      <c r="C74" s="267"/>
    </row>
  </sheetData>
  <mergeCells count="71">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0:C50"/>
    <mergeCell ref="B36:C36"/>
    <mergeCell ref="B40:C40"/>
    <mergeCell ref="B41:C41"/>
    <mergeCell ref="B38:C38"/>
    <mergeCell ref="B39:C39"/>
    <mergeCell ref="B46:C46"/>
    <mergeCell ref="B47:C47"/>
    <mergeCell ref="B48:C48"/>
    <mergeCell ref="B49:C49"/>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AO13" sqref="AO13"/>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12" t="s">
        <v>508</v>
      </c>
      <c r="B1" s="312"/>
      <c r="C1" s="312"/>
      <c r="D1" s="312"/>
      <c r="E1" s="312"/>
      <c r="F1" s="312"/>
      <c r="G1" s="312"/>
      <c r="H1" s="312"/>
      <c r="I1" s="312"/>
      <c r="J1" s="312"/>
      <c r="K1" s="312"/>
      <c r="L1" s="312"/>
      <c r="M1" s="312"/>
      <c r="N1" s="312"/>
      <c r="O1" s="312"/>
      <c r="P1" s="312"/>
      <c r="Q1" s="312"/>
      <c r="R1" s="312"/>
      <c r="S1" s="312"/>
      <c r="T1" s="312"/>
      <c r="U1" s="312"/>
      <c r="V1" s="180"/>
      <c r="AC1" s="141" t="s">
        <v>519</v>
      </c>
      <c r="AD1" s="141" t="s">
        <v>150</v>
      </c>
      <c r="AE1" s="141" t="s">
        <v>521</v>
      </c>
      <c r="AI1" s="141" t="s">
        <v>518</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0</v>
      </c>
      <c r="AD2" s="144">
        <f>S10</f>
        <v>0</v>
      </c>
      <c r="AE2" s="144">
        <f>S16</f>
        <v>0</v>
      </c>
      <c r="AH2" s="141">
        <v>1</v>
      </c>
      <c r="AI2" s="144">
        <f>R14</f>
        <v>0</v>
      </c>
    </row>
    <row r="3" spans="1:35" x14ac:dyDescent="0.35">
      <c r="A3" s="142"/>
      <c r="B3" s="143" t="s">
        <v>61</v>
      </c>
      <c r="C3" s="145" t="s">
        <v>61</v>
      </c>
      <c r="D3" s="146">
        <f t="shared" ref="D3:D9" ca="1" si="0">F3</f>
        <v>45195</v>
      </c>
      <c r="E3" s="147"/>
      <c r="F3" s="126">
        <f ca="1">TODAY()</f>
        <v>45195</v>
      </c>
      <c r="G3" s="199"/>
      <c r="H3" s="143"/>
      <c r="I3" s="316" t="s">
        <v>122</v>
      </c>
      <c r="J3" s="316"/>
      <c r="K3" s="316"/>
      <c r="L3" s="316"/>
      <c r="M3" s="316"/>
      <c r="N3" s="316"/>
      <c r="O3" s="316"/>
      <c r="P3" s="316"/>
      <c r="Q3" s="316"/>
      <c r="R3" s="317">
        <v>1.9900000000000001E-2</v>
      </c>
      <c r="S3" s="317"/>
      <c r="T3" s="149">
        <f>R3</f>
        <v>1.9900000000000001E-2</v>
      </c>
      <c r="U3" s="142"/>
      <c r="V3" s="142"/>
      <c r="AB3" s="150">
        <v>2</v>
      </c>
      <c r="AC3" s="151">
        <f>IF($F$8&gt;12,Q40,0)</f>
        <v>0</v>
      </c>
      <c r="AD3" s="144">
        <f>IF(AC3&gt;0,$AD$2,0)</f>
        <v>0</v>
      </c>
      <c r="AE3" s="151">
        <f>IF($Q$16&gt;1,AE2,0)</f>
        <v>0</v>
      </c>
      <c r="AH3" s="150">
        <v>2</v>
      </c>
      <c r="AI3" s="151">
        <f>IF($F$8&gt;12,L40,0)</f>
        <v>0</v>
      </c>
    </row>
    <row r="4" spans="1:35" x14ac:dyDescent="0.35">
      <c r="A4" s="142"/>
      <c r="B4" s="143" t="s">
        <v>66</v>
      </c>
      <c r="C4" s="230" t="s">
        <v>121</v>
      </c>
      <c r="D4" s="152">
        <f t="shared" si="0"/>
        <v>5714286</v>
      </c>
      <c r="E4" s="231"/>
      <c r="F4" s="232">
        <v>5714286</v>
      </c>
      <c r="G4" s="204"/>
      <c r="H4" s="142"/>
      <c r="I4" s="318" t="s">
        <v>76</v>
      </c>
      <c r="J4" s="318"/>
      <c r="K4" s="318"/>
      <c r="L4" s="318"/>
      <c r="M4" s="318"/>
      <c r="N4" s="318"/>
      <c r="O4" s="318"/>
      <c r="P4" s="318"/>
      <c r="Q4" s="318"/>
      <c r="R4" s="319">
        <f>R3*F7</f>
        <v>14925</v>
      </c>
      <c r="S4" s="319"/>
      <c r="T4" s="153">
        <f>F7*T3</f>
        <v>14925</v>
      </c>
      <c r="U4" s="142"/>
      <c r="V4" s="142"/>
      <c r="AB4" s="150">
        <v>3</v>
      </c>
      <c r="AC4" s="151">
        <f>IF($F$8&gt;24,Q52,0)</f>
        <v>0</v>
      </c>
      <c r="AD4" s="144">
        <f t="shared" ref="AD4:AD21" si="1">IF(AC4&gt;0,$AD$2,0)</f>
        <v>0</v>
      </c>
      <c r="AE4" s="151">
        <f>IF($Q$16&gt;2,AE2,0)</f>
        <v>0</v>
      </c>
      <c r="AH4" s="150">
        <v>3</v>
      </c>
      <c r="AI4" s="151">
        <f>IF($F$8&gt;24,L52,0)</f>
        <v>0</v>
      </c>
    </row>
    <row r="5" spans="1:35" x14ac:dyDescent="0.35">
      <c r="A5" s="142"/>
      <c r="B5" s="143" t="s">
        <v>65</v>
      </c>
      <c r="C5" s="233" t="s">
        <v>65</v>
      </c>
      <c r="D5" s="152">
        <f t="shared" si="0"/>
        <v>1714286</v>
      </c>
      <c r="E5" s="231"/>
      <c r="F5" s="232">
        <v>1714286</v>
      </c>
      <c r="G5" s="204"/>
      <c r="H5" s="154"/>
      <c r="I5" s="155" t="s">
        <v>115</v>
      </c>
      <c r="J5" s="156"/>
      <c r="K5" s="156"/>
      <c r="L5" s="156"/>
      <c r="M5" s="156"/>
      <c r="N5" s="156"/>
      <c r="O5" s="156"/>
      <c r="P5" s="156"/>
      <c r="Q5" s="206"/>
      <c r="R5" s="319">
        <v>0</v>
      </c>
      <c r="S5" s="319"/>
      <c r="T5" s="153">
        <v>0</v>
      </c>
      <c r="U5" s="142"/>
      <c r="V5" s="142"/>
      <c r="AB5" s="150">
        <v>4</v>
      </c>
      <c r="AC5" s="151">
        <f>IF($F$8&gt;36,Q64,0)</f>
        <v>0</v>
      </c>
      <c r="AD5" s="144">
        <f t="shared" si="1"/>
        <v>0</v>
      </c>
      <c r="AE5" s="210">
        <f>SUM(AE2:AE4)</f>
        <v>0</v>
      </c>
      <c r="AH5" s="150">
        <v>4</v>
      </c>
      <c r="AI5" s="151">
        <f>IF($F$8&gt;36,L64,0)</f>
        <v>0</v>
      </c>
    </row>
    <row r="6" spans="1:35" x14ac:dyDescent="0.35">
      <c r="A6" s="142"/>
      <c r="B6" s="143" t="s">
        <v>67</v>
      </c>
      <c r="C6" s="234" t="s">
        <v>67</v>
      </c>
      <c r="D6" s="235">
        <f t="shared" si="0"/>
        <v>0.30000003499999828</v>
      </c>
      <c r="E6" s="231"/>
      <c r="F6" s="235">
        <f>F5/F4</f>
        <v>0.30000003499999828</v>
      </c>
      <c r="G6" s="200"/>
      <c r="H6" s="157"/>
      <c r="I6" s="124" t="s">
        <v>137</v>
      </c>
      <c r="J6" s="320" t="s">
        <v>142</v>
      </c>
      <c r="K6" s="320"/>
      <c r="L6" s="320"/>
      <c r="M6" s="320"/>
      <c r="N6" s="320"/>
      <c r="O6" s="320"/>
      <c r="P6" s="320"/>
      <c r="Q6" s="320"/>
      <c r="R6" s="320"/>
      <c r="S6" s="320"/>
      <c r="T6" s="153"/>
      <c r="U6" s="142"/>
      <c r="V6" s="142"/>
      <c r="AB6" s="150">
        <v>5</v>
      </c>
      <c r="AC6" s="151">
        <f>IF($F$8&gt;48,Q76,0)</f>
        <v>0</v>
      </c>
      <c r="AD6" s="144">
        <f t="shared" si="1"/>
        <v>0</v>
      </c>
      <c r="AH6" s="150">
        <v>5</v>
      </c>
      <c r="AI6" s="151">
        <f>IF($F$8&gt;48,L76,0)</f>
        <v>0</v>
      </c>
    </row>
    <row r="7" spans="1:35" x14ac:dyDescent="0.35">
      <c r="A7" s="142"/>
      <c r="B7" s="143" t="s">
        <v>64</v>
      </c>
      <c r="C7" s="158" t="s">
        <v>64</v>
      </c>
      <c r="D7" s="152">
        <f t="shared" si="0"/>
        <v>750000</v>
      </c>
      <c r="E7" s="147"/>
      <c r="F7" s="216">
        <v>750000</v>
      </c>
      <c r="G7" s="164"/>
      <c r="H7" s="157"/>
      <c r="I7" s="125"/>
      <c r="J7" s="159" t="s">
        <v>143</v>
      </c>
      <c r="K7" s="160"/>
      <c r="L7" s="160"/>
      <c r="M7" s="160"/>
      <c r="N7" s="160"/>
      <c r="O7" s="160"/>
      <c r="P7" s="160"/>
      <c r="Q7" s="208" t="s">
        <v>495</v>
      </c>
      <c r="R7" s="321">
        <v>0</v>
      </c>
      <c r="S7" s="322"/>
      <c r="T7" s="149">
        <f>R7</f>
        <v>0</v>
      </c>
      <c r="U7" s="142"/>
      <c r="V7" s="142"/>
      <c r="AB7" s="150">
        <v>6</v>
      </c>
      <c r="AC7" s="151">
        <f>IF($F$8&gt;60,Q88,0)</f>
        <v>0</v>
      </c>
      <c r="AD7" s="144">
        <f t="shared" si="1"/>
        <v>0</v>
      </c>
      <c r="AE7" s="141" t="s">
        <v>104</v>
      </c>
      <c r="AH7" s="150">
        <v>6</v>
      </c>
      <c r="AI7" s="151">
        <f>IF($F$8&gt;60,L88,0)</f>
        <v>0</v>
      </c>
    </row>
    <row r="8" spans="1:35" x14ac:dyDescent="0.35">
      <c r="A8" s="142"/>
      <c r="B8" s="143" t="s">
        <v>63</v>
      </c>
      <c r="C8" s="162" t="s">
        <v>63</v>
      </c>
      <c r="D8" s="152">
        <f t="shared" si="0"/>
        <v>60</v>
      </c>
      <c r="E8" s="147"/>
      <c r="F8" s="127">
        <v>60</v>
      </c>
      <c r="G8" s="205"/>
      <c r="H8" s="163">
        <f>F8/12</f>
        <v>5</v>
      </c>
      <c r="I8" s="125"/>
      <c r="J8" s="159" t="s">
        <v>144</v>
      </c>
      <c r="K8" s="160"/>
      <c r="L8" s="160"/>
      <c r="M8" s="160"/>
      <c r="N8" s="160"/>
      <c r="O8" s="160"/>
      <c r="P8" s="160"/>
      <c r="Q8" s="208" t="s">
        <v>496</v>
      </c>
      <c r="R8" s="214">
        <v>0</v>
      </c>
      <c r="S8" s="181">
        <f>R8*F4</f>
        <v>0</v>
      </c>
      <c r="T8" s="153">
        <f>T4</f>
        <v>14925</v>
      </c>
      <c r="U8" s="142"/>
      <c r="V8" s="142"/>
      <c r="X8" s="141" t="s">
        <v>91</v>
      </c>
      <c r="AB8" s="150">
        <v>7</v>
      </c>
      <c r="AC8" s="151">
        <f>IF($F$8&gt;72,Q100,0)</f>
        <v>0</v>
      </c>
      <c r="AD8" s="144">
        <f t="shared" si="1"/>
        <v>0</v>
      </c>
      <c r="AE8" s="142" t="s">
        <v>105</v>
      </c>
      <c r="AF8" s="141" t="s">
        <v>83</v>
      </c>
      <c r="AG8" s="141">
        <v>1700</v>
      </c>
      <c r="AH8" s="150">
        <v>7</v>
      </c>
      <c r="AI8" s="151">
        <f>IF($F$8&gt;72,L100,0)</f>
        <v>0</v>
      </c>
    </row>
    <row r="9" spans="1:35" x14ac:dyDescent="0.35">
      <c r="A9" s="142"/>
      <c r="B9" s="143" t="s">
        <v>62</v>
      </c>
      <c r="C9" s="220" t="s">
        <v>525</v>
      </c>
      <c r="D9" s="165">
        <f t="shared" si="0"/>
        <v>0.33989999999999998</v>
      </c>
      <c r="E9" s="218"/>
      <c r="F9" s="215">
        <v>0.33989999999999998</v>
      </c>
      <c r="G9" s="201"/>
      <c r="H9" s="161">
        <f>F12+F13</f>
        <v>0.1187</v>
      </c>
      <c r="I9" s="125"/>
      <c r="J9" s="323" t="s">
        <v>145</v>
      </c>
      <c r="K9" s="324"/>
      <c r="L9" s="324"/>
      <c r="M9" s="324"/>
      <c r="N9" s="324"/>
      <c r="O9" s="324"/>
      <c r="P9" s="324"/>
      <c r="Q9" s="324"/>
      <c r="R9" s="325">
        <f>AB22-AC22-AE5</f>
        <v>0</v>
      </c>
      <c r="S9" s="326"/>
      <c r="T9" s="153">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153</v>
      </c>
      <c r="D10" s="146">
        <f ca="1">EDATE(F3,F8)</f>
        <v>47022</v>
      </c>
      <c r="E10" s="147"/>
      <c r="F10" s="148">
        <f ca="1">EDATE(F3,F8)-1</f>
        <v>47021</v>
      </c>
      <c r="G10" s="202"/>
      <c r="H10" s="12"/>
      <c r="I10" s="125"/>
      <c r="J10" s="323" t="s">
        <v>146</v>
      </c>
      <c r="K10" s="324"/>
      <c r="L10" s="324"/>
      <c r="M10" s="324"/>
      <c r="N10" s="324"/>
      <c r="O10" s="324"/>
      <c r="P10" s="324"/>
      <c r="Q10" s="324"/>
      <c r="R10" s="214">
        <v>0</v>
      </c>
      <c r="S10" s="181">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27">
        <f ca="1">EDATE(D3,60)</f>
        <v>47022</v>
      </c>
      <c r="E11" s="327"/>
      <c r="F11" s="327"/>
      <c r="G11" s="203"/>
      <c r="H11" s="12"/>
      <c r="I11" s="125"/>
      <c r="J11" s="323" t="s">
        <v>147</v>
      </c>
      <c r="K11" s="324"/>
      <c r="L11" s="324"/>
      <c r="M11" s="324"/>
      <c r="N11" s="324"/>
      <c r="O11" s="324"/>
      <c r="P11" s="324"/>
      <c r="Q11" s="324"/>
      <c r="R11" s="325">
        <f>AC22</f>
        <v>0</v>
      </c>
      <c r="S11" s="326"/>
      <c r="T11" s="153">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1"/>
      <c r="E12" s="161">
        <f>F12+F13</f>
        <v>0.1187</v>
      </c>
      <c r="F12" s="219">
        <v>8.8700000000000001E-2</v>
      </c>
      <c r="G12" s="201"/>
      <c r="H12" s="12"/>
      <c r="I12" s="125"/>
      <c r="J12" s="159" t="s">
        <v>148</v>
      </c>
      <c r="K12" s="160"/>
      <c r="L12" s="160"/>
      <c r="M12" s="160"/>
      <c r="N12" s="160"/>
      <c r="O12" s="160"/>
      <c r="P12" s="160"/>
      <c r="Q12" s="208" t="s">
        <v>495</v>
      </c>
      <c r="R12" s="321">
        <v>0</v>
      </c>
      <c r="S12" s="322"/>
      <c r="T12" s="153">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6"/>
      <c r="B13" s="142"/>
      <c r="C13" s="217" t="s">
        <v>80</v>
      </c>
      <c r="D13" s="169"/>
      <c r="E13" s="169"/>
      <c r="F13" s="161">
        <v>0.03</v>
      </c>
      <c r="G13" s="200"/>
      <c r="H13" s="13"/>
      <c r="I13" s="125"/>
      <c r="J13" s="159" t="s">
        <v>141</v>
      </c>
      <c r="K13" s="160"/>
      <c r="L13" s="160"/>
      <c r="M13" s="160"/>
      <c r="N13" s="160"/>
      <c r="O13" s="160"/>
      <c r="P13" s="160"/>
      <c r="Q13" s="160"/>
      <c r="R13" s="338">
        <v>0</v>
      </c>
      <c r="S13" s="339"/>
      <c r="T13" s="238"/>
      <c r="U13" s="13"/>
      <c r="V13" s="13"/>
      <c r="W13" s="6"/>
      <c r="AB13" s="150">
        <v>12</v>
      </c>
      <c r="AC13" s="151">
        <f>IF($F$8&gt;132,Q160,0)</f>
        <v>0</v>
      </c>
      <c r="AD13" s="144">
        <f t="shared" si="1"/>
        <v>0</v>
      </c>
      <c r="AH13" s="150">
        <v>12</v>
      </c>
      <c r="AI13" s="151">
        <f>IF($F$8&gt;132,L160,0)</f>
        <v>0</v>
      </c>
    </row>
    <row r="14" spans="1:35" x14ac:dyDescent="0.35">
      <c r="A14" s="142"/>
      <c r="B14" s="142"/>
      <c r="C14" s="217"/>
      <c r="D14" s="161"/>
      <c r="E14" s="161">
        <v>9.9900000000000003E-2</v>
      </c>
      <c r="F14" s="222">
        <f>-PMT(F9/12,F8,G27)</f>
        <v>26134.70889836779</v>
      </c>
      <c r="G14" s="149"/>
      <c r="H14" s="13"/>
      <c r="I14" s="336" t="s">
        <v>149</v>
      </c>
      <c r="J14" s="167"/>
      <c r="K14" s="168"/>
      <c r="L14" s="168"/>
      <c r="M14" s="331" t="s">
        <v>497</v>
      </c>
      <c r="N14" s="332"/>
      <c r="O14" s="332"/>
      <c r="P14" s="332"/>
      <c r="Q14" s="333"/>
      <c r="R14" s="340">
        <v>0</v>
      </c>
      <c r="S14" s="340"/>
      <c r="T14" s="6"/>
      <c r="U14" s="13"/>
      <c r="V14" s="13"/>
      <c r="W14" s="6"/>
      <c r="AB14" s="150">
        <v>13</v>
      </c>
      <c r="AC14" s="151">
        <f>IF($F$8&gt;144,Q172,0)</f>
        <v>0</v>
      </c>
      <c r="AD14" s="144">
        <f t="shared" si="1"/>
        <v>0</v>
      </c>
      <c r="AH14" s="150">
        <v>13</v>
      </c>
      <c r="AI14" s="151">
        <f>IF($F$8&gt;144,L172,0)</f>
        <v>0</v>
      </c>
    </row>
    <row r="15" spans="1:35" ht="31.5" customHeight="1" x14ac:dyDescent="0.35">
      <c r="A15" s="142"/>
      <c r="B15" s="142"/>
      <c r="C15" s="217"/>
      <c r="D15" s="161"/>
      <c r="E15" s="169"/>
      <c r="F15" s="169">
        <v>0</v>
      </c>
      <c r="G15" s="161"/>
      <c r="H15" s="12"/>
      <c r="I15" s="337"/>
      <c r="J15" s="139"/>
      <c r="K15" s="140"/>
      <c r="L15" s="140"/>
      <c r="M15" s="328" t="s">
        <v>498</v>
      </c>
      <c r="N15" s="329"/>
      <c r="O15" s="329"/>
      <c r="P15" s="329"/>
      <c r="Q15" s="330"/>
      <c r="R15" s="319">
        <f>AH22</f>
        <v>0</v>
      </c>
      <c r="S15" s="319"/>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222">
        <f>F14+F15</f>
        <v>26134.70889836779</v>
      </c>
      <c r="G16" s="170"/>
      <c r="H16" s="12"/>
      <c r="I16" s="342" t="s">
        <v>520</v>
      </c>
      <c r="J16" s="211" t="s">
        <v>522</v>
      </c>
      <c r="K16" s="211"/>
      <c r="L16" s="211"/>
      <c r="M16" s="159"/>
      <c r="N16" s="160"/>
      <c r="O16" s="213"/>
      <c r="P16" s="212" t="s">
        <v>524</v>
      </c>
      <c r="Q16" s="237">
        <v>0</v>
      </c>
      <c r="R16" s="236">
        <v>0</v>
      </c>
      <c r="S16" s="181">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3" t="s">
        <v>81</v>
      </c>
      <c r="D17" s="169"/>
      <c r="E17" s="169"/>
      <c r="F17" s="224">
        <f ca="1">EDATE(F3,60)</f>
        <v>47022</v>
      </c>
      <c r="G17" s="170"/>
      <c r="H17" s="12"/>
      <c r="I17" s="342"/>
      <c r="J17" s="341" t="s">
        <v>523</v>
      </c>
      <c r="K17" s="341"/>
      <c r="L17" s="341"/>
      <c r="M17" s="341"/>
      <c r="N17" s="341"/>
      <c r="O17" s="341"/>
      <c r="P17" s="341"/>
      <c r="Q17" s="341"/>
      <c r="R17" s="319">
        <f>AE5</f>
        <v>0</v>
      </c>
      <c r="S17" s="319"/>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t="s">
        <v>530</v>
      </c>
      <c r="F18" s="222" t="e">
        <f ca="1">-PMT(E12/12,(F8-60),(F7-(SUM(G28:G87))))</f>
        <v>#NUM!</v>
      </c>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222">
        <v>0</v>
      </c>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222" t="e">
        <f ca="1">F18+F19</f>
        <v>#NUM!</v>
      </c>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229"/>
      <c r="D21" s="229"/>
      <c r="E21" s="169"/>
      <c r="F21" s="169"/>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34" t="s">
        <v>528</v>
      </c>
      <c r="B22" s="226" t="s">
        <v>69</v>
      </c>
      <c r="C22" s="334" t="s">
        <v>504</v>
      </c>
      <c r="D22" s="334" t="s">
        <v>503</v>
      </c>
      <c r="E22" s="313" t="s">
        <v>71</v>
      </c>
      <c r="F22" s="334" t="s">
        <v>505</v>
      </c>
      <c r="G22" s="344" t="s">
        <v>509</v>
      </c>
      <c r="H22" s="345"/>
      <c r="I22" s="345"/>
      <c r="J22" s="345"/>
      <c r="K22" s="345"/>
      <c r="L22" s="345"/>
      <c r="M22" s="345"/>
      <c r="N22" s="345"/>
      <c r="O22" s="345"/>
      <c r="P22" s="345"/>
      <c r="Q22" s="345"/>
      <c r="R22" s="346"/>
      <c r="S22" s="334" t="s">
        <v>108</v>
      </c>
      <c r="T22" s="334" t="s">
        <v>89</v>
      </c>
      <c r="U22" s="313" t="s">
        <v>151</v>
      </c>
      <c r="V22" s="6"/>
      <c r="AB22" s="144">
        <f>SUM(AC2:AC21)</f>
        <v>0</v>
      </c>
      <c r="AC22" s="144">
        <f>SUM(AD2:AD21)</f>
        <v>0</v>
      </c>
      <c r="AH22" s="144">
        <f>SUM(AI2:AI21)</f>
        <v>0</v>
      </c>
    </row>
    <row r="23" spans="1:35" ht="38.25" customHeight="1" x14ac:dyDescent="0.35">
      <c r="A23" s="335"/>
      <c r="B23" s="227"/>
      <c r="C23" s="335"/>
      <c r="D23" s="335"/>
      <c r="E23" s="314"/>
      <c r="F23" s="335"/>
      <c r="G23" s="334" t="s">
        <v>506</v>
      </c>
      <c r="H23" s="334" t="s">
        <v>507</v>
      </c>
      <c r="I23" s="344" t="s">
        <v>510</v>
      </c>
      <c r="J23" s="345"/>
      <c r="K23" s="345"/>
      <c r="L23" s="345"/>
      <c r="M23" s="345"/>
      <c r="N23" s="345"/>
      <c r="O23" s="345"/>
      <c r="P23" s="345"/>
      <c r="Q23" s="345"/>
      <c r="R23" s="346"/>
      <c r="S23" s="335"/>
      <c r="T23" s="335"/>
      <c r="U23" s="314"/>
      <c r="V23" s="6"/>
      <c r="AB23" s="144"/>
      <c r="AC23" s="144"/>
      <c r="AH23" s="144"/>
    </row>
    <row r="24" spans="1:35" ht="38.25" customHeight="1" x14ac:dyDescent="0.35">
      <c r="A24" s="335"/>
      <c r="B24" s="227"/>
      <c r="C24" s="335"/>
      <c r="D24" s="335"/>
      <c r="E24" s="314"/>
      <c r="F24" s="335"/>
      <c r="G24" s="335"/>
      <c r="H24" s="335"/>
      <c r="I24" s="347" t="s">
        <v>529</v>
      </c>
      <c r="J24" s="348"/>
      <c r="K24" s="348"/>
      <c r="L24" s="349"/>
      <c r="M24" s="347" t="s">
        <v>513</v>
      </c>
      <c r="N24" s="349"/>
      <c r="O24" s="347" t="s">
        <v>516</v>
      </c>
      <c r="P24" s="348"/>
      <c r="Q24" s="348"/>
      <c r="R24" s="349"/>
      <c r="S24" s="335"/>
      <c r="T24" s="335"/>
      <c r="U24" s="314"/>
      <c r="V24" s="6"/>
      <c r="AB24" s="144"/>
      <c r="AC24" s="144"/>
      <c r="AH24" s="144"/>
    </row>
    <row r="25" spans="1:35" ht="51.5" customHeight="1" thickBot="1" x14ac:dyDescent="0.4">
      <c r="A25" s="335"/>
      <c r="B25" s="227"/>
      <c r="C25" s="335"/>
      <c r="D25" s="335"/>
      <c r="E25" s="314"/>
      <c r="F25" s="343"/>
      <c r="G25" s="335"/>
      <c r="H25" s="335"/>
      <c r="I25" s="183" t="s">
        <v>511</v>
      </c>
      <c r="J25" s="124" t="s">
        <v>517</v>
      </c>
      <c r="K25" s="183" t="s">
        <v>512</v>
      </c>
      <c r="L25" s="183" t="s">
        <v>149</v>
      </c>
      <c r="M25" s="228" t="s">
        <v>514</v>
      </c>
      <c r="N25" s="184" t="s">
        <v>515</v>
      </c>
      <c r="O25" s="185" t="s">
        <v>138</v>
      </c>
      <c r="P25" s="225" t="s">
        <v>139</v>
      </c>
      <c r="Q25" s="124" t="s">
        <v>140</v>
      </c>
      <c r="R25" s="124" t="s">
        <v>141</v>
      </c>
      <c r="S25" s="335"/>
      <c r="T25" s="335"/>
      <c r="U25" s="315"/>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45195</v>
      </c>
      <c r="C27" s="172">
        <f t="shared" ref="C27" ca="1" si="2">IF(A27&gt;$D$8,"",B27)</f>
        <v>45195</v>
      </c>
      <c r="D27" s="18"/>
      <c r="E27" s="173">
        <f>IF(U8="кредит",D7+T8,D7)</f>
        <v>750000</v>
      </c>
      <c r="F27" s="174">
        <f>G27-I27-J27-K27-L27-M27-N27-O27-P27-Q27-R27</f>
        <v>735075</v>
      </c>
      <c r="G27" s="173">
        <f>F7</f>
        <v>750000</v>
      </c>
      <c r="H27" s="173"/>
      <c r="I27" s="174">
        <v>0</v>
      </c>
      <c r="J27" s="174">
        <f>R5</f>
        <v>0</v>
      </c>
      <c r="K27" s="174">
        <f>R4</f>
        <v>14925</v>
      </c>
      <c r="L27" s="174">
        <f>R14</f>
        <v>0</v>
      </c>
      <c r="M27" s="174">
        <v>0</v>
      </c>
      <c r="N27" s="174">
        <v>0</v>
      </c>
      <c r="O27" s="174">
        <f>R7</f>
        <v>0</v>
      </c>
      <c r="P27" s="173">
        <f>R12</f>
        <v>0</v>
      </c>
      <c r="Q27" s="173">
        <f>S8+S10+S16</f>
        <v>0</v>
      </c>
      <c r="R27" s="173">
        <f>R13</f>
        <v>0</v>
      </c>
      <c r="S27" s="21"/>
      <c r="T27" s="22"/>
      <c r="U27" s="173">
        <f>F27*-1</f>
        <v>-735075</v>
      </c>
      <c r="V27" s="6"/>
      <c r="W27" s="141">
        <f ca="1">W28</f>
        <v>365</v>
      </c>
    </row>
    <row r="28" spans="1:35" x14ac:dyDescent="0.35">
      <c r="A28" s="175">
        <v>1</v>
      </c>
      <c r="B28" s="172">
        <f ca="1">EDATE($B$27,AA28)</f>
        <v>45225</v>
      </c>
      <c r="C28" s="172">
        <f ca="1">IF(A28&gt;$F$8,"",B28)</f>
        <v>45225</v>
      </c>
      <c r="D28" s="175">
        <f t="shared" ref="D28:D39" ca="1" si="3">B28-B27</f>
        <v>30</v>
      </c>
      <c r="E28" s="173">
        <f ca="1">E27-G28</f>
        <v>744818.03110163216</v>
      </c>
      <c r="F28" s="173">
        <f ca="1">IF(A27=$D$8,SUM(F27:F$28),IF(A27&gt;$D$8,"",G28+H28))</f>
        <v>26134.70889836779</v>
      </c>
      <c r="G28" s="173">
        <f ca="1">F14-H28</f>
        <v>5181.9688983677879</v>
      </c>
      <c r="H28" s="173">
        <f ca="1">IF(W28&lt;&gt;W27,ROUND(SUM(Y28*$F$9*E27/W28,Z28*$F$9*E27/W27),2),ROUND(E27*$F$9*D28/W27,2))</f>
        <v>20952.740000000002</v>
      </c>
      <c r="I28" s="173"/>
      <c r="J28" s="173"/>
      <c r="K28" s="173"/>
      <c r="L28" s="173"/>
      <c r="M28" s="173"/>
      <c r="N28" s="173"/>
      <c r="O28" s="173"/>
      <c r="P28" s="175"/>
      <c r="Q28" s="175"/>
      <c r="R28" s="175"/>
      <c r="S28" s="249" t="str">
        <f>IF(A27=$D$8,XIRR(H$27:H27,C$27:C27),"")</f>
        <v/>
      </c>
      <c r="T28" s="173" t="str">
        <f t="shared" ref="T28:T91" si="4">IF(A27=$D$8,G28+P28+H28+I28+J28+K28+L28+Q28+R28,"")</f>
        <v/>
      </c>
      <c r="U28" s="173">
        <f ca="1">SUM(G28:T28)</f>
        <v>26134.70889836779</v>
      </c>
      <c r="V28" s="141">
        <f t="shared" ref="V28:V91" ca="1" si="5">IF(C28="","",YEAR(C28))</f>
        <v>2023</v>
      </c>
      <c r="W28" s="141">
        <f ca="1">IF(OR(V28=2024,V28=2028,V28=2016,V28=2020,V28=2024,V28=2028,V28=2032,V28=2036,V28=2040),366,365)</f>
        <v>365</v>
      </c>
      <c r="X28" s="141">
        <f t="shared" ref="X28:X91" ca="1" si="6">IF(C28="","",DAY(C28))</f>
        <v>26</v>
      </c>
      <c r="Y28" s="177">
        <f ca="1">X28-1</f>
        <v>25</v>
      </c>
      <c r="Z28" s="178">
        <f t="shared" ref="Z28:Z91" ca="1" si="7">D28-Y28</f>
        <v>5</v>
      </c>
      <c r="AA28" s="141">
        <v>1</v>
      </c>
    </row>
    <row r="29" spans="1:35" x14ac:dyDescent="0.35">
      <c r="A29" s="175">
        <f>IF(A28&lt;$D$8,A28+1,"")</f>
        <v>2</v>
      </c>
      <c r="B29" s="172">
        <f t="shared" ref="B29:B92" ca="1" si="8">EDATE($B$27,AA29)</f>
        <v>45256</v>
      </c>
      <c r="C29" s="172">
        <f t="shared" ref="C29:C92" ca="1" si="9">IF(B29=$D$10,B29-1,(IF(B29&gt;$D$10," ",B29)))</f>
        <v>45256</v>
      </c>
      <c r="D29" s="175">
        <f t="shared" ca="1" si="3"/>
        <v>31</v>
      </c>
      <c r="E29" s="173">
        <f ca="1">E28-G29</f>
        <v>740184.89237289398</v>
      </c>
      <c r="F29" s="173">
        <f ca="1">IF(A28=$D$8,SUM(F$28:F28),IF(A28&gt;$D$8,"",G29+H29))</f>
        <v>26134.70889836779</v>
      </c>
      <c r="G29" s="173">
        <f ca="1">IF(AND(A28="",A30=""),"",IF(A29="",SUM(G$28:G28),IF(A29=$F$8,$G$27-SUM($G$28:G28),$F$14-H29)))</f>
        <v>4633.1387287382349</v>
      </c>
      <c r="H29" s="173">
        <f ca="1">IF(A28=$F$8,SUM($H$28:H28),IF(A28&gt;$D$8,"",E28*D29*$F$9/W28))</f>
        <v>21501.570169629555</v>
      </c>
      <c r="I29" s="173"/>
      <c r="J29" s="173"/>
      <c r="K29" s="173"/>
      <c r="L29" s="173"/>
      <c r="M29" s="173"/>
      <c r="N29" s="173"/>
      <c r="O29" s="173"/>
      <c r="P29" s="175"/>
      <c r="Q29" s="175"/>
      <c r="R29" s="175"/>
      <c r="S29" s="249" t="str">
        <f>IF(A28=$D$8,XIRR(U$27:U28,C$27:C28),"")</f>
        <v/>
      </c>
      <c r="T29" s="173" t="str">
        <f t="shared" si="4"/>
        <v/>
      </c>
      <c r="U29" s="173">
        <f ca="1">SUM(G29:T29)</f>
        <v>26134.70889836779</v>
      </c>
      <c r="V29" s="141">
        <f t="shared" ca="1" si="5"/>
        <v>2023</v>
      </c>
      <c r="W29" s="141">
        <f t="shared" ref="W29:W92" ca="1" si="10">IF(OR(V29=2024,V29=2028,V29=2016,V29=2020,V29=2024,V29=2028,V29=2032,V29=2036,V29=2040),366,365)</f>
        <v>365</v>
      </c>
      <c r="X29" s="141">
        <f t="shared" ca="1" si="6"/>
        <v>26</v>
      </c>
      <c r="Y29" s="177">
        <f t="shared" ref="Y29:Y87" ca="1" si="11">X29-1</f>
        <v>25</v>
      </c>
      <c r="Z29" s="178">
        <f t="shared" ca="1" si="7"/>
        <v>6</v>
      </c>
      <c r="AA29" s="141">
        <v>2</v>
      </c>
    </row>
    <row r="30" spans="1:35" x14ac:dyDescent="0.35">
      <c r="A30" s="175">
        <f t="shared" ref="A30:A93" si="12">IF(A29&lt;$D$8,A29+1,"")</f>
        <v>3</v>
      </c>
      <c r="B30" s="172">
        <f t="shared" ca="1" si="8"/>
        <v>45286</v>
      </c>
      <c r="C30" s="172">
        <f t="shared" ca="1" si="9"/>
        <v>45286</v>
      </c>
      <c r="D30" s="175">
        <f t="shared" ca="1" si="3"/>
        <v>30</v>
      </c>
      <c r="E30" s="173">
        <f t="shared" ref="E30:E87" ca="1" si="13">E29-G30</f>
        <v>734728.71867322864</v>
      </c>
      <c r="F30" s="173">
        <f ca="1">IF(A29=$D$8,SUM(F$28:F29),IF(A29&gt;$D$8,"",G30+H30))</f>
        <v>26134.70889836779</v>
      </c>
      <c r="G30" s="173">
        <f ca="1">IF(AND(A29="",A31=""),"",IF(A30="",SUM(G$28:G29),IF(A30=$F$8,$G$27-SUM($G$28:G29),$F$14-H30)))</f>
        <v>5456.1736996653235</v>
      </c>
      <c r="H30" s="173">
        <f ca="1">IF(A29=$F$8,SUM($H$28:H29),IF(A29&gt;$D$8,"",E29*D30*$F$9/W29))</f>
        <v>20678.535198702466</v>
      </c>
      <c r="I30" s="173"/>
      <c r="J30" s="173"/>
      <c r="K30" s="173"/>
      <c r="L30" s="173"/>
      <c r="M30" s="173"/>
      <c r="N30" s="173"/>
      <c r="O30" s="173" t="str">
        <f t="shared" ref="O30:O39" si="14">IF(A30="",$O$27,"")</f>
        <v/>
      </c>
      <c r="P30" s="175"/>
      <c r="Q30" s="175"/>
      <c r="R30" s="175"/>
      <c r="S30" s="249" t="str">
        <f>IF(A29=$D$8,XIRR(U$27:U29,C$27:C29),"")</f>
        <v/>
      </c>
      <c r="T30" s="173" t="str">
        <f t="shared" si="4"/>
        <v/>
      </c>
      <c r="U30" s="173">
        <f t="shared" ref="U30:U93" ca="1" si="15">SUM(G30:T30)</f>
        <v>26134.70889836779</v>
      </c>
      <c r="V30" s="141">
        <f t="shared" ca="1" si="5"/>
        <v>2023</v>
      </c>
      <c r="W30" s="141">
        <f t="shared" ca="1" si="10"/>
        <v>365</v>
      </c>
      <c r="X30" s="141">
        <f t="shared" ca="1" si="6"/>
        <v>26</v>
      </c>
      <c r="Y30" s="177">
        <f t="shared" ca="1" si="11"/>
        <v>25</v>
      </c>
      <c r="Z30" s="178">
        <f t="shared" ca="1" si="7"/>
        <v>5</v>
      </c>
      <c r="AA30" s="141">
        <v>3</v>
      </c>
    </row>
    <row r="31" spans="1:35" x14ac:dyDescent="0.35">
      <c r="A31" s="175">
        <f t="shared" si="12"/>
        <v>4</v>
      </c>
      <c r="B31" s="172">
        <f t="shared" ca="1" si="8"/>
        <v>45317</v>
      </c>
      <c r="C31" s="172">
        <f t="shared" ca="1" si="9"/>
        <v>45317</v>
      </c>
      <c r="D31" s="175">
        <f t="shared" ca="1" si="3"/>
        <v>31</v>
      </c>
      <c r="E31" s="173">
        <f t="shared" ca="1" si="13"/>
        <v>729804.31946195115</v>
      </c>
      <c r="F31" s="173">
        <f ca="1">IF(A30=$D$8,SUM(F$28:F30),IF(A30&gt;$D$8,"",G31+H31))</f>
        <v>26134.70889836779</v>
      </c>
      <c r="G31" s="173">
        <f ca="1">IF(AND(A30="",A32=""),"",IF(A31="",SUM(G$28:G30),IF(A31=$F$8,$G$27-SUM($G$28:G30),$F$14-H31)))</f>
        <v>4924.3992112775377</v>
      </c>
      <c r="H31" s="173">
        <f ca="1">IF(A30=$F$8,SUM($H$28:H30),IF(A30&gt;$D$8,"",E30*D31*$F$9/W30))</f>
        <v>21210.309687090252</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9" t="str">
        <f>IF(A30=$D$8,XIRR(U$27:U30,C$27:C30),"")</f>
        <v/>
      </c>
      <c r="T31" s="173" t="str">
        <f t="shared" si="4"/>
        <v/>
      </c>
      <c r="U31" s="173">
        <f t="shared" ca="1" si="15"/>
        <v>26134.70889836779</v>
      </c>
      <c r="V31" s="141">
        <f t="shared" ca="1" si="5"/>
        <v>2024</v>
      </c>
      <c r="W31" s="141">
        <f t="shared" ca="1" si="10"/>
        <v>366</v>
      </c>
      <c r="X31" s="141">
        <f t="shared" ca="1" si="6"/>
        <v>26</v>
      </c>
      <c r="Y31" s="177">
        <f t="shared" ca="1" si="11"/>
        <v>25</v>
      </c>
      <c r="Z31" s="178">
        <f t="shared" ca="1" si="7"/>
        <v>6</v>
      </c>
      <c r="AA31" s="141">
        <v>4</v>
      </c>
    </row>
    <row r="32" spans="1:35" x14ac:dyDescent="0.35">
      <c r="A32" s="175">
        <f t="shared" si="12"/>
        <v>5</v>
      </c>
      <c r="B32" s="172">
        <f t="shared" ca="1" si="8"/>
        <v>45348</v>
      </c>
      <c r="C32" s="172">
        <f t="shared" ca="1" si="9"/>
        <v>45348</v>
      </c>
      <c r="D32" s="175">
        <f t="shared" ca="1" si="3"/>
        <v>31</v>
      </c>
      <c r="E32" s="173">
        <f t="shared" ca="1" si="13"/>
        <v>724680.1983606834</v>
      </c>
      <c r="F32" s="173">
        <f ca="1">IF(A31=$D$8,SUM(F$28:F31),IF(A31&gt;$D$8,"",G32+H32))</f>
        <v>26134.70889836779</v>
      </c>
      <c r="G32" s="173">
        <f ca="1">IF(AND(A31="",A33=""),"",IF(A32="",SUM(G$28:G31),IF(A32=$F$8,$G$27-SUM($G$28:G31),$F$14-H32)))</f>
        <v>5124.1211012677013</v>
      </c>
      <c r="H32" s="173">
        <f ca="1">IF(A31=$F$8,SUM($H$28:H31),IF(A31&gt;$D$8,"",E31*D32*$F$9/W31))</f>
        <v>21010.587797100088</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39" si="20">IF(A31=$D$8,$Q$27,"")</f>
        <v/>
      </c>
      <c r="R32" s="173" t="str">
        <f t="shared" si="18"/>
        <v/>
      </c>
      <c r="S32" s="249" t="str">
        <f>IF(A31=$D$8,XIRR(U$27:U31,C$27:C31),"")</f>
        <v/>
      </c>
      <c r="T32" s="173" t="str">
        <f t="shared" si="4"/>
        <v/>
      </c>
      <c r="U32" s="173">
        <f t="shared" ca="1" si="15"/>
        <v>26134.70889836779</v>
      </c>
      <c r="V32" s="141">
        <f t="shared" ca="1" si="5"/>
        <v>2024</v>
      </c>
      <c r="W32" s="141">
        <f t="shared" ca="1" si="10"/>
        <v>366</v>
      </c>
      <c r="X32" s="141">
        <f t="shared" ca="1" si="6"/>
        <v>26</v>
      </c>
      <c r="Y32" s="177">
        <f t="shared" ca="1" si="11"/>
        <v>25</v>
      </c>
      <c r="Z32" s="178">
        <f t="shared" ca="1" si="7"/>
        <v>6</v>
      </c>
      <c r="AA32" s="141">
        <v>5</v>
      </c>
    </row>
    <row r="33" spans="1:27" x14ac:dyDescent="0.35">
      <c r="A33" s="175">
        <f t="shared" si="12"/>
        <v>6</v>
      </c>
      <c r="B33" s="172">
        <f t="shared" ca="1" si="8"/>
        <v>45377</v>
      </c>
      <c r="C33" s="172">
        <f t="shared" ca="1" si="9"/>
        <v>45377</v>
      </c>
      <c r="D33" s="175">
        <f t="shared" ca="1" si="3"/>
        <v>29</v>
      </c>
      <c r="E33" s="173">
        <f t="shared" ca="1" si="13"/>
        <v>718062.552804559</v>
      </c>
      <c r="F33" s="173">
        <f ca="1">IF(A32=$D$8,SUM(F$28:F32),IF(A32&gt;$D$8,"",G33+H33))</f>
        <v>26134.70889836779</v>
      </c>
      <c r="G33" s="173">
        <f ca="1">IF(AND(A32="",A34=""),"",IF(A33="",SUM(G$28:G32),IF(A33=$F$8,$G$27-SUM($G$28:G32),$F$14-H33)))</f>
        <v>6617.6455561243711</v>
      </c>
      <c r="H33" s="173">
        <f ca="1">IF(A32=$F$8,SUM($H$28:H32),IF(A32&gt;$D$8,"",E32*D33*$F$9/W32))</f>
        <v>19517.063342243418</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9" t="str">
        <f>IF(A32=$D$8,XIRR(U$27:U32,C$27:C32),"")</f>
        <v/>
      </c>
      <c r="T33" s="173" t="str">
        <f t="shared" si="4"/>
        <v/>
      </c>
      <c r="U33" s="173">
        <f t="shared" ca="1" si="15"/>
        <v>26134.70889836779</v>
      </c>
      <c r="V33" s="141">
        <f t="shared" ca="1" si="5"/>
        <v>2024</v>
      </c>
      <c r="W33" s="141">
        <f t="shared" ca="1" si="10"/>
        <v>366</v>
      </c>
      <c r="X33" s="141">
        <f t="shared" ca="1" si="6"/>
        <v>26</v>
      </c>
      <c r="Y33" s="177">
        <f t="shared" ca="1" si="11"/>
        <v>25</v>
      </c>
      <c r="Z33" s="178">
        <f t="shared" ca="1" si="7"/>
        <v>4</v>
      </c>
      <c r="AA33" s="141">
        <v>6</v>
      </c>
    </row>
    <row r="34" spans="1:27" x14ac:dyDescent="0.35">
      <c r="A34" s="175">
        <f t="shared" si="12"/>
        <v>7</v>
      </c>
      <c r="B34" s="172">
        <f t="shared" ca="1" si="8"/>
        <v>45408</v>
      </c>
      <c r="C34" s="172">
        <f t="shared" ca="1" si="9"/>
        <v>45408</v>
      </c>
      <c r="D34" s="175">
        <f t="shared" ca="1" si="3"/>
        <v>31</v>
      </c>
      <c r="E34" s="173">
        <f t="shared" ca="1" si="13"/>
        <v>712600.39394074411</v>
      </c>
      <c r="F34" s="173">
        <f ca="1">IF(A33=$D$8,SUM(F$28:F33),IF(A33&gt;$D$8,"",G34+H34))</f>
        <v>26134.70889836779</v>
      </c>
      <c r="G34" s="173">
        <f ca="1">IF(AND(A33="",A35=""),"",IF(A34="",SUM(G$28:G33),IF(A34=$F$8,$G$27-SUM($G$28:G33),$F$14-H34)))</f>
        <v>5462.1588638149005</v>
      </c>
      <c r="H34" s="173">
        <f ca="1">IF(A33=$F$8,SUM($H$28:H33),IF(A33&gt;$D$8,"",E33*D34*$F$9/W33))</f>
        <v>20672.550034552889</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9" t="str">
        <f>IF(A33=$D$8,XIRR(U$27:U33,C$27:C33),"")</f>
        <v/>
      </c>
      <c r="T34" s="173" t="str">
        <f t="shared" si="4"/>
        <v/>
      </c>
      <c r="U34" s="173">
        <f t="shared" ca="1" si="15"/>
        <v>26134.70889836779</v>
      </c>
      <c r="V34" s="141">
        <f t="shared" ca="1" si="5"/>
        <v>2024</v>
      </c>
      <c r="W34" s="141">
        <f t="shared" ca="1" si="10"/>
        <v>366</v>
      </c>
      <c r="X34" s="141">
        <f t="shared" ca="1" si="6"/>
        <v>26</v>
      </c>
      <c r="Y34" s="177">
        <f t="shared" ca="1" si="11"/>
        <v>25</v>
      </c>
      <c r="Z34" s="178">
        <f t="shared" ca="1" si="7"/>
        <v>6</v>
      </c>
      <c r="AA34" s="141">
        <v>7</v>
      </c>
    </row>
    <row r="35" spans="1:27" x14ac:dyDescent="0.35">
      <c r="A35" s="175">
        <f t="shared" si="12"/>
        <v>8</v>
      </c>
      <c r="B35" s="172">
        <f t="shared" ca="1" si="8"/>
        <v>45438</v>
      </c>
      <c r="C35" s="172">
        <f t="shared" ca="1" si="9"/>
        <v>45438</v>
      </c>
      <c r="D35" s="175">
        <f t="shared" ca="1" si="3"/>
        <v>30</v>
      </c>
      <c r="E35" s="173">
        <f t="shared" ca="1" si="13"/>
        <v>706319.19929651229</v>
      </c>
      <c r="F35" s="173">
        <f ca="1">IF(A34=$D$8,SUM(F$28:F34),IF(A34&gt;$D$8,"",G35+H35))</f>
        <v>26134.70889836779</v>
      </c>
      <c r="G35" s="173">
        <f ca="1">IF(AND(A34="",A36=""),"",IF(A35="",SUM(G$28:G34),IF(A35=$F$8,$G$27-SUM($G$28:G34),$F$14-H35)))</f>
        <v>6281.1946442318149</v>
      </c>
      <c r="H35" s="173">
        <f ca="1">IF(A34=$F$8,SUM($H$28:H34),IF(A34&gt;$D$8,"",E34*D35*$F$9/W34))</f>
        <v>19853.514254135975</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9" t="str">
        <f>IF(A34=$D$8,XIRR(U$27:U34,C$27:C34),"")</f>
        <v/>
      </c>
      <c r="T35" s="173" t="str">
        <f t="shared" si="4"/>
        <v/>
      </c>
      <c r="U35" s="173">
        <f t="shared" ca="1" si="15"/>
        <v>26134.70889836779</v>
      </c>
      <c r="V35" s="141">
        <f t="shared" ca="1" si="5"/>
        <v>2024</v>
      </c>
      <c r="W35" s="141">
        <f t="shared" ca="1" si="10"/>
        <v>366</v>
      </c>
      <c r="X35" s="141">
        <f t="shared" ca="1" si="6"/>
        <v>26</v>
      </c>
      <c r="Y35" s="177">
        <f t="shared" ca="1" si="11"/>
        <v>25</v>
      </c>
      <c r="Z35" s="178">
        <f t="shared" ca="1" si="7"/>
        <v>5</v>
      </c>
      <c r="AA35" s="141">
        <v>8</v>
      </c>
    </row>
    <row r="36" spans="1:27" x14ac:dyDescent="0.35">
      <c r="A36" s="175">
        <f t="shared" si="12"/>
        <v>9</v>
      </c>
      <c r="B36" s="172">
        <f t="shared" ca="1" si="8"/>
        <v>45469</v>
      </c>
      <c r="C36" s="172">
        <f t="shared" ca="1" si="9"/>
        <v>45469</v>
      </c>
      <c r="D36" s="175">
        <f t="shared" ca="1" si="3"/>
        <v>31</v>
      </c>
      <c r="E36" s="173">
        <f t="shared" ca="1" si="13"/>
        <v>700518.95698576036</v>
      </c>
      <c r="F36" s="173">
        <f ca="1">IF(A35=$D$8,SUM(F$28:F35),IF(A35&gt;$D$8,"",G36+H36))</f>
        <v>26134.70889836779</v>
      </c>
      <c r="G36" s="173">
        <f ca="1">IF(AND(A35="",A37=""),"",IF(A36="",SUM(G$28:G35),IF(A36=$F$8,$G$27-SUM($G$28:G35),$F$14-H36)))</f>
        <v>5800.242310751888</v>
      </c>
      <c r="H36" s="173">
        <f ca="1">IF(A35=$F$8,SUM($H$28:H35),IF(A35&gt;$D$8,"",E35*D36*$F$9/W35))</f>
        <v>20334.466587615902</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9" t="str">
        <f>IF(A35=$D$8,XIRR(U$27:U35,C$27:C35),"")</f>
        <v/>
      </c>
      <c r="T36" s="173" t="str">
        <f t="shared" si="4"/>
        <v/>
      </c>
      <c r="U36" s="173">
        <f t="shared" ca="1" si="15"/>
        <v>26134.70889836779</v>
      </c>
      <c r="V36" s="141">
        <f t="shared" ca="1" si="5"/>
        <v>2024</v>
      </c>
      <c r="W36" s="141">
        <f t="shared" ca="1" si="10"/>
        <v>366</v>
      </c>
      <c r="X36" s="141">
        <f t="shared" ca="1" si="6"/>
        <v>26</v>
      </c>
      <c r="Y36" s="177">
        <f t="shared" ca="1" si="11"/>
        <v>25</v>
      </c>
      <c r="Z36" s="178">
        <f t="shared" ca="1" si="7"/>
        <v>6</v>
      </c>
      <c r="AA36" s="141">
        <v>9</v>
      </c>
    </row>
    <row r="37" spans="1:27" x14ac:dyDescent="0.35">
      <c r="A37" s="175">
        <f t="shared" si="12"/>
        <v>10</v>
      </c>
      <c r="B37" s="172">
        <f t="shared" ca="1" si="8"/>
        <v>45499</v>
      </c>
      <c r="C37" s="172">
        <f t="shared" ca="1" si="9"/>
        <v>45499</v>
      </c>
      <c r="D37" s="175">
        <f t="shared" ca="1" si="3"/>
        <v>30</v>
      </c>
      <c r="E37" s="173">
        <f t="shared" ca="1" si="13"/>
        <v>693901.16558570892</v>
      </c>
      <c r="F37" s="173">
        <f ca="1">IF(A36=$D$8,SUM(F$28:F36),IF(A36&gt;$D$8,"",G37+H37))</f>
        <v>26134.70889836779</v>
      </c>
      <c r="G37" s="173">
        <f ca="1">IF(AND(A36="",A38=""),"",IF(A37="",SUM(G$28:G36),IF(A37=$F$8,$G$27-SUM($G$28:G36),$F$14-H37)))</f>
        <v>6617.7914000514029</v>
      </c>
      <c r="H37" s="173">
        <f ca="1">IF(A36=$F$8,SUM($H$28:H36),IF(A36&gt;$D$8,"",E36*D37*$F$9/W36))</f>
        <v>19516.917498316387</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9" t="str">
        <f>IF(A36=$D$8,XIRR(U$27:U36,C$27:C36),"")</f>
        <v/>
      </c>
      <c r="T37" s="173" t="str">
        <f t="shared" si="4"/>
        <v/>
      </c>
      <c r="U37" s="173">
        <f t="shared" ca="1" si="15"/>
        <v>26134.70889836779</v>
      </c>
      <c r="V37" s="141">
        <f t="shared" ca="1" si="5"/>
        <v>2024</v>
      </c>
      <c r="W37" s="141">
        <f t="shared" ca="1" si="10"/>
        <v>366</v>
      </c>
      <c r="X37" s="141">
        <f t="shared" ca="1" si="6"/>
        <v>26</v>
      </c>
      <c r="Y37" s="177">
        <f t="shared" ca="1" si="11"/>
        <v>25</v>
      </c>
      <c r="Z37" s="178">
        <f t="shared" ca="1" si="7"/>
        <v>5</v>
      </c>
      <c r="AA37" s="141">
        <v>10</v>
      </c>
    </row>
    <row r="38" spans="1:27" x14ac:dyDescent="0.35">
      <c r="A38" s="175">
        <f t="shared" si="12"/>
        <v>11</v>
      </c>
      <c r="B38" s="172">
        <f t="shared" ca="1" si="8"/>
        <v>45530</v>
      </c>
      <c r="C38" s="172">
        <f t="shared" ca="1" si="9"/>
        <v>45530</v>
      </c>
      <c r="D38" s="175">
        <f t="shared" ca="1" si="3"/>
        <v>31</v>
      </c>
      <c r="E38" s="173">
        <f t="shared" ca="1" si="13"/>
        <v>687743.41622739588</v>
      </c>
      <c r="F38" s="173">
        <f ca="1">IF(A37=$D$8,SUM(F$28:F37),IF(A37&gt;$D$8,"",G38+H38))</f>
        <v>26134.70889836779</v>
      </c>
      <c r="G38" s="173">
        <f ca="1">IF(AND(A37="",A39=""),"",IF(A38="",SUM(G$28:G37),IF(A38=$F$8,$G$27-SUM($G$28:G37),$F$14-H38)))</f>
        <v>6157.7493583129908</v>
      </c>
      <c r="H38" s="173">
        <f ca="1">IF(A37=$F$8,SUM($H$28:H37),IF(A37&gt;$D$8,"",E37*D38*$F$9/W37))</f>
        <v>19976.959540054799</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9" t="str">
        <f>IF(A37=$D$8,XIRR(U$27:U37,C$27:C37),"")</f>
        <v/>
      </c>
      <c r="T38" s="173" t="str">
        <f t="shared" si="4"/>
        <v/>
      </c>
      <c r="U38" s="173">
        <f t="shared" ca="1" si="15"/>
        <v>26134.70889836779</v>
      </c>
      <c r="V38" s="141">
        <f t="shared" ca="1" si="5"/>
        <v>2024</v>
      </c>
      <c r="W38" s="141">
        <f t="shared" ca="1" si="10"/>
        <v>366</v>
      </c>
      <c r="X38" s="141">
        <f t="shared" ca="1" si="6"/>
        <v>26</v>
      </c>
      <c r="Y38" s="177">
        <f t="shared" ca="1" si="11"/>
        <v>25</v>
      </c>
      <c r="Z38" s="178">
        <f t="shared" ca="1" si="7"/>
        <v>6</v>
      </c>
      <c r="AA38" s="141">
        <v>11</v>
      </c>
    </row>
    <row r="39" spans="1:27" x14ac:dyDescent="0.35">
      <c r="A39" s="175">
        <f t="shared" si="12"/>
        <v>12</v>
      </c>
      <c r="B39" s="172">
        <f t="shared" ca="1" si="8"/>
        <v>45561</v>
      </c>
      <c r="C39" s="172">
        <f t="shared" ca="1" si="9"/>
        <v>45561</v>
      </c>
      <c r="D39" s="175">
        <f t="shared" ca="1" si="3"/>
        <v>31</v>
      </c>
      <c r="E39" s="173">
        <f t="shared" ca="1" si="13"/>
        <v>681408.38930292544</v>
      </c>
      <c r="F39" s="173">
        <f ca="1">IF(A38=$D$8,SUM(F$28:F38),IF(A38&gt;$D$8,"",G39+H39))</f>
        <v>26134.70889836779</v>
      </c>
      <c r="G39" s="173">
        <f ca="1">IF(AND(A38="",A40=""),"",IF(A39="",SUM(G$28:G38),IF(A39=$F$8,$G$27-SUM($G$28:G38),$F$14-H39)))</f>
        <v>6335.0269244703923</v>
      </c>
      <c r="H39" s="173">
        <f ca="1">IF(A38=$F$8,SUM($H$28:H38),IF(A38&gt;$D$8,"",E38*D39*$F$9/W38))</f>
        <v>19799.681973897397</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9" t="str">
        <f>IF(A38=$D$8,XIRR(U$27:U38,C$27:C38),"")</f>
        <v/>
      </c>
      <c r="T39" s="173" t="str">
        <f t="shared" si="4"/>
        <v/>
      </c>
      <c r="U39" s="173">
        <f t="shared" ca="1" si="15"/>
        <v>26134.70889836779</v>
      </c>
      <c r="V39" s="141">
        <f t="shared" ca="1" si="5"/>
        <v>2024</v>
      </c>
      <c r="W39" s="141">
        <f t="shared" ca="1" si="10"/>
        <v>366</v>
      </c>
      <c r="X39" s="141">
        <f t="shared" ca="1" si="6"/>
        <v>26</v>
      </c>
      <c r="Y39" s="177">
        <f t="shared" ca="1" si="11"/>
        <v>25</v>
      </c>
      <c r="Z39" s="178">
        <f t="shared" ca="1" si="7"/>
        <v>6</v>
      </c>
      <c r="AA39" s="141">
        <v>12</v>
      </c>
    </row>
    <row r="40" spans="1:27" x14ac:dyDescent="0.35">
      <c r="A40" s="175">
        <f t="shared" si="12"/>
        <v>13</v>
      </c>
      <c r="B40" s="172">
        <f t="shared" ca="1" si="8"/>
        <v>45591</v>
      </c>
      <c r="C40" s="172">
        <f t="shared" ca="1" si="9"/>
        <v>45591</v>
      </c>
      <c r="D40" s="175">
        <f ca="1">IF(A40&gt;$D$8,"",C40-C39)</f>
        <v>30</v>
      </c>
      <c r="E40" s="173">
        <f t="shared" ca="1" si="13"/>
        <v>674258.16495571041</v>
      </c>
      <c r="F40" s="173">
        <f ca="1">IF(A39=$D$8,SUM(F$28:F39),IF(A39&gt;$D$8,"",G40+H40))</f>
        <v>26134.70889836779</v>
      </c>
      <c r="G40" s="173">
        <f ca="1">IF(AND(A39="",A41=""),"",IF(A40="",SUM(G$28:G39),IF(A40=$F$8,$G$27-SUM($G$28:G39),$F$14-H40)))</f>
        <v>7150.2243472149748</v>
      </c>
      <c r="H40" s="173">
        <f ca="1">IF(A39=$F$8,SUM($H$28:H39),IF(A39&gt;$D$8,"",E39*D40*$F$9/W39))</f>
        <v>18984.484551152815</v>
      </c>
      <c r="I40" s="173" t="str">
        <f t="shared" si="21"/>
        <v/>
      </c>
      <c r="J40" s="173" t="str">
        <f t="shared" si="19"/>
        <v/>
      </c>
      <c r="K40" s="173" t="str">
        <f t="shared" si="23"/>
        <v/>
      </c>
      <c r="L40" s="173">
        <f>IF($F$8&gt;12,($R$14),IF($A$39=$F$8,L27,""))</f>
        <v>0</v>
      </c>
      <c r="M40" s="173" t="str">
        <f>IF(A40="",$M$27,"")</f>
        <v/>
      </c>
      <c r="N40" s="173" t="str">
        <f>IF(A40="",$N$27,"")</f>
        <v/>
      </c>
      <c r="O40" s="173" t="str">
        <f>IF(A40="",$O$27,"")</f>
        <v/>
      </c>
      <c r="P40" s="173" t="str">
        <f t="shared" si="24"/>
        <v/>
      </c>
      <c r="Q40" s="173">
        <f>IF($F$8&gt;12,($S$8+S10+AE3),IF($A$39=$F$8,Q27,""))</f>
        <v>0</v>
      </c>
      <c r="R40" s="173" t="str">
        <f>IF(A39=$D$8,$R$27,"")</f>
        <v/>
      </c>
      <c r="S40" s="249" t="str">
        <f>IF(A39=$D$8,XIRR(U$27:U39,C$27:C39),"")</f>
        <v/>
      </c>
      <c r="T40" s="173" t="str">
        <f t="shared" si="4"/>
        <v/>
      </c>
      <c r="U40" s="173">
        <f t="shared" ca="1" si="15"/>
        <v>26134.70889836779</v>
      </c>
      <c r="V40" s="141">
        <f t="shared" ca="1" si="5"/>
        <v>2024</v>
      </c>
      <c r="W40" s="141">
        <f t="shared" ca="1" si="10"/>
        <v>366</v>
      </c>
      <c r="X40" s="141">
        <f t="shared" ca="1" si="6"/>
        <v>26</v>
      </c>
      <c r="Y40" s="177">
        <f t="shared" ca="1" si="11"/>
        <v>25</v>
      </c>
      <c r="Z40" s="178">
        <f t="shared" ca="1" si="7"/>
        <v>5</v>
      </c>
      <c r="AA40" s="141">
        <v>13</v>
      </c>
    </row>
    <row r="41" spans="1:27" x14ac:dyDescent="0.35">
      <c r="A41" s="175">
        <f t="shared" si="12"/>
        <v>14</v>
      </c>
      <c r="B41" s="172">
        <f t="shared" ca="1" si="8"/>
        <v>45622</v>
      </c>
      <c r="C41" s="172">
        <f t="shared" ca="1" si="9"/>
        <v>45622</v>
      </c>
      <c r="D41" s="175">
        <f t="shared" ref="D41:D104" ca="1" si="25">IF(A41&gt;$D$8,"",C41-C40)</f>
        <v>31</v>
      </c>
      <c r="E41" s="173">
        <f t="shared" ca="1" si="13"/>
        <v>667534.90648991591</v>
      </c>
      <c r="F41" s="173">
        <f ca="1">IF(A40=$D$8,SUM(F$28:F40),IF(A40&gt;$D$8,"",G41+H41))</f>
        <v>26134.70889836779</v>
      </c>
      <c r="G41" s="173">
        <f ca="1">IF(AND(A40="",A42=""),"",IF(A41="",SUM(G$28:G40),IF(A41=$F$8,$G$27-SUM($G$28:G40),$F$14-H41)))</f>
        <v>6723.2584657944972</v>
      </c>
      <c r="H41" s="173">
        <f ca="1">IF(A40=$F$8,SUM($H$28:H40),IF(A40&gt;$D$8,"",E40*D41*$F$9/W40))</f>
        <v>19411.450432573292</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1" si="28">IF(A40=$D$8,$Q$27,"")</f>
        <v/>
      </c>
      <c r="R41" s="173" t="str">
        <f t="shared" ref="R41:R104" si="29">IF(A40=$D$8,$R$27,"")</f>
        <v/>
      </c>
      <c r="S41" s="249" t="str">
        <f>IF(A40=$D$8,XIRR(U$27:U40,C$27:C40),"")</f>
        <v/>
      </c>
      <c r="T41" s="173" t="str">
        <f t="shared" si="4"/>
        <v/>
      </c>
      <c r="U41" s="173">
        <f t="shared" ca="1" si="15"/>
        <v>26134.70889836779</v>
      </c>
      <c r="V41" s="141">
        <f t="shared" ca="1" si="5"/>
        <v>2024</v>
      </c>
      <c r="W41" s="141">
        <f t="shared" ca="1" si="10"/>
        <v>366</v>
      </c>
      <c r="X41" s="141">
        <f t="shared" ca="1" si="6"/>
        <v>26</v>
      </c>
      <c r="Y41" s="177">
        <f t="shared" ca="1" si="11"/>
        <v>25</v>
      </c>
      <c r="Z41" s="178">
        <f t="shared" ca="1" si="7"/>
        <v>6</v>
      </c>
      <c r="AA41" s="141">
        <v>14</v>
      </c>
    </row>
    <row r="42" spans="1:27" x14ac:dyDescent="0.35">
      <c r="A42" s="175">
        <f t="shared" si="12"/>
        <v>15</v>
      </c>
      <c r="B42" s="172">
        <f t="shared" ca="1" si="8"/>
        <v>45652</v>
      </c>
      <c r="C42" s="172">
        <f t="shared" ca="1" si="9"/>
        <v>45652</v>
      </c>
      <c r="D42" s="175">
        <f t="shared" ca="1" si="25"/>
        <v>30</v>
      </c>
      <c r="E42" s="173">
        <f t="shared" ca="1" si="13"/>
        <v>659998.15781416476</v>
      </c>
      <c r="F42" s="173">
        <f ca="1">IF(A41=$D$8,SUM(F$28:F41),IF(A41&gt;$D$8,"",G42+H42))</f>
        <v>26134.70889836779</v>
      </c>
      <c r="G42" s="173">
        <f ca="1">IF(AND(A41="",A43=""),"",IF(A42="",SUM(G$28:G41),IF(A42=$F$8,$G$27-SUM($G$28:G41),$F$14-H42)))</f>
        <v>7536.7486757511979</v>
      </c>
      <c r="H42" s="173">
        <f ca="1">IF(A41=$F$8,SUM($H$28:H41),IF(A41&gt;$D$8,"",E41*D42*$F$9/W41))</f>
        <v>18597.960222616592</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9" t="str">
        <f>IF(A41=$D$8,XIRR(U$27:U41,C$27:C41),"")</f>
        <v/>
      </c>
      <c r="T42" s="173" t="str">
        <f t="shared" si="4"/>
        <v/>
      </c>
      <c r="U42" s="173">
        <f t="shared" ca="1" si="15"/>
        <v>26134.70889836779</v>
      </c>
      <c r="V42" s="141">
        <f t="shared" ca="1" si="5"/>
        <v>2024</v>
      </c>
      <c r="W42" s="141">
        <f t="shared" ca="1" si="10"/>
        <v>366</v>
      </c>
      <c r="X42" s="141">
        <f t="shared" ca="1" si="6"/>
        <v>26</v>
      </c>
      <c r="Y42" s="177">
        <f t="shared" ca="1" si="11"/>
        <v>25</v>
      </c>
      <c r="Z42" s="178">
        <f t="shared" ca="1" si="7"/>
        <v>5</v>
      </c>
      <c r="AA42" s="141">
        <v>15</v>
      </c>
    </row>
    <row r="43" spans="1:27" x14ac:dyDescent="0.35">
      <c r="A43" s="175">
        <f t="shared" si="12"/>
        <v>16</v>
      </c>
      <c r="B43" s="172">
        <f t="shared" ca="1" si="8"/>
        <v>45683</v>
      </c>
      <c r="C43" s="172">
        <f t="shared" ca="1" si="9"/>
        <v>45683</v>
      </c>
      <c r="D43" s="175">
        <f t="shared" ca="1" si="25"/>
        <v>31</v>
      </c>
      <c r="E43" s="173">
        <f t="shared" ca="1" si="13"/>
        <v>652864.36309358955</v>
      </c>
      <c r="F43" s="173">
        <f ca="1">IF(A42=$D$8,SUM(F$28:F42),IF(A42&gt;$D$8,"",G43+H43))</f>
        <v>26134.70889836779</v>
      </c>
      <c r="G43" s="173">
        <f ca="1">IF(AND(A42="",A44=""),"",IF(A43="",SUM(G$28:G42),IF(A43=$F$8,$G$27-SUM($G$28:G42),$F$14-H43)))</f>
        <v>7133.7947205752389</v>
      </c>
      <c r="H43" s="173">
        <f ca="1">IF(A42=$F$8,SUM($H$28:H42),IF(A42&gt;$D$8,"",E42*D43*$F$9/W42))</f>
        <v>19000.914177792551</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9" t="str">
        <f>IF(A42=$D$8,XIRR(U$27:U42,C$27:C42),"")</f>
        <v/>
      </c>
      <c r="T43" s="173" t="str">
        <f t="shared" si="4"/>
        <v/>
      </c>
      <c r="U43" s="173">
        <f t="shared" ca="1" si="15"/>
        <v>26134.70889836779</v>
      </c>
      <c r="V43" s="141">
        <f t="shared" ca="1" si="5"/>
        <v>2025</v>
      </c>
      <c r="W43" s="141">
        <f t="shared" ca="1" si="10"/>
        <v>365</v>
      </c>
      <c r="X43" s="141">
        <f t="shared" ca="1" si="6"/>
        <v>26</v>
      </c>
      <c r="Y43" s="177">
        <f t="shared" ca="1" si="11"/>
        <v>25</v>
      </c>
      <c r="Z43" s="178">
        <f t="shared" ca="1" si="7"/>
        <v>6</v>
      </c>
      <c r="AA43" s="141">
        <v>16</v>
      </c>
    </row>
    <row r="44" spans="1:27" x14ac:dyDescent="0.35">
      <c r="A44" s="175">
        <f t="shared" si="12"/>
        <v>17</v>
      </c>
      <c r="B44" s="172">
        <f t="shared" ca="1" si="8"/>
        <v>45714</v>
      </c>
      <c r="C44" s="172">
        <f t="shared" ca="1" si="9"/>
        <v>45714</v>
      </c>
      <c r="D44" s="175">
        <f t="shared" ca="1" si="25"/>
        <v>31</v>
      </c>
      <c r="E44" s="173">
        <f t="shared" ca="1" si="13"/>
        <v>645576.68572256656</v>
      </c>
      <c r="F44" s="173">
        <f ca="1">IF(A43=$D$8,SUM(F$28:F43),IF(A43&gt;$D$8,"",G44+H44))</f>
        <v>26134.70889836779</v>
      </c>
      <c r="G44" s="173">
        <f ca="1">IF(AND(A43="",A45=""),"",IF(A44="",SUM(G$28:G43),IF(A44=$F$8,$G$27-SUM($G$28:G43),$F$14-H44)))</f>
        <v>7287.6773710230118</v>
      </c>
      <c r="H44" s="173">
        <f ca="1">IF(A43=$F$8,SUM($H$28:H43),IF(A43&gt;$D$8,"",E43*D44*$F$9/W43))</f>
        <v>18847.031527344778</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9" t="str">
        <f>IF(A43=$D$8,XIRR(U$27:U43,C$27:C43),"")</f>
        <v/>
      </c>
      <c r="T44" s="173" t="str">
        <f t="shared" si="4"/>
        <v/>
      </c>
      <c r="U44" s="173">
        <f t="shared" ca="1" si="15"/>
        <v>26134.70889836779</v>
      </c>
      <c r="V44" s="141">
        <f t="shared" ca="1" si="5"/>
        <v>2025</v>
      </c>
      <c r="W44" s="141">
        <f t="shared" ca="1" si="10"/>
        <v>365</v>
      </c>
      <c r="X44" s="141">
        <f t="shared" ca="1" si="6"/>
        <v>26</v>
      </c>
      <c r="Y44" s="177">
        <f t="shared" ca="1" si="11"/>
        <v>25</v>
      </c>
      <c r="Z44" s="178">
        <f t="shared" ca="1" si="7"/>
        <v>6</v>
      </c>
      <c r="AA44" s="141">
        <v>17</v>
      </c>
    </row>
    <row r="45" spans="1:27" x14ac:dyDescent="0.35">
      <c r="A45" s="175">
        <f t="shared" si="12"/>
        <v>18</v>
      </c>
      <c r="B45" s="172">
        <f t="shared" ca="1" si="8"/>
        <v>45742</v>
      </c>
      <c r="C45" s="172">
        <f t="shared" ca="1" si="9"/>
        <v>45742</v>
      </c>
      <c r="D45" s="175">
        <f t="shared" ca="1" si="25"/>
        <v>28</v>
      </c>
      <c r="E45" s="173">
        <f t="shared" ca="1" si="13"/>
        <v>636275.07938134624</v>
      </c>
      <c r="F45" s="173">
        <f ca="1">IF(A44=$D$8,SUM(F$28:F44),IF(A44&gt;$D$8,"",G45+H45))</f>
        <v>26134.70889836779</v>
      </c>
      <c r="G45" s="173">
        <f ca="1">IF(AND(A44="",A46=""),"",IF(A45="",SUM(G$28:G44),IF(A45=$F$8,$G$27-SUM($G$28:G44),$F$14-H45)))</f>
        <v>9301.6063412203621</v>
      </c>
      <c r="H45" s="173">
        <f ca="1">IF(A44=$F$8,SUM($H$28:H44),IF(A44&gt;$D$8,"",E44*D45*$F$9/W44))</f>
        <v>16833.102557147427</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9" t="str">
        <f>IF(A44=$D$8,XIRR(U$27:U44,C$27:C44),"")</f>
        <v/>
      </c>
      <c r="T45" s="173" t="str">
        <f t="shared" si="4"/>
        <v/>
      </c>
      <c r="U45" s="173">
        <f t="shared" ca="1" si="15"/>
        <v>26134.70889836779</v>
      </c>
      <c r="V45" s="141">
        <f t="shared" ca="1" si="5"/>
        <v>2025</v>
      </c>
      <c r="W45" s="141">
        <f t="shared" ca="1" si="10"/>
        <v>365</v>
      </c>
      <c r="X45" s="141">
        <f t="shared" ca="1" si="6"/>
        <v>26</v>
      </c>
      <c r="Y45" s="177">
        <f t="shared" ca="1" si="11"/>
        <v>25</v>
      </c>
      <c r="Z45" s="178">
        <f t="shared" ca="1" si="7"/>
        <v>3</v>
      </c>
      <c r="AA45" s="141">
        <v>18</v>
      </c>
    </row>
    <row r="46" spans="1:27" x14ac:dyDescent="0.35">
      <c r="A46" s="175">
        <f t="shared" si="12"/>
        <v>19</v>
      </c>
      <c r="B46" s="172">
        <f t="shared" ca="1" si="8"/>
        <v>45773</v>
      </c>
      <c r="C46" s="172">
        <f t="shared" ca="1" si="9"/>
        <v>45773</v>
      </c>
      <c r="D46" s="175">
        <f t="shared" ca="1" si="25"/>
        <v>31</v>
      </c>
      <c r="E46" s="173">
        <f t="shared" ca="1" si="13"/>
        <v>628508.49893211084</v>
      </c>
      <c r="F46" s="173">
        <f ca="1">IF(A45=$D$8,SUM(F$28:F45),IF(A45&gt;$D$8,"",G46+H46))</f>
        <v>26134.70889836779</v>
      </c>
      <c r="G46" s="173">
        <f ca="1">IF(AND(A45="",A47=""),"",IF(A46="",SUM(G$28:G45),IF(A46=$F$8,$G$27-SUM($G$28:G45),$F$14-H46)))</f>
        <v>7766.5804492354437</v>
      </c>
      <c r="H46" s="173">
        <f ca="1">IF(A45=$F$8,SUM($H$28:H45),IF(A45&gt;$D$8,"",E45*D46*$F$9/W45))</f>
        <v>18368.128449132346</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9" t="str">
        <f>IF(A45=$D$8,XIRR(U$27:U45,C$27:C45),"")</f>
        <v/>
      </c>
      <c r="T46" s="173" t="str">
        <f t="shared" si="4"/>
        <v/>
      </c>
      <c r="U46" s="173">
        <f t="shared" ca="1" si="15"/>
        <v>26134.70889836779</v>
      </c>
      <c r="V46" s="141">
        <f t="shared" ca="1" si="5"/>
        <v>2025</v>
      </c>
      <c r="W46" s="141">
        <f t="shared" ca="1" si="10"/>
        <v>365</v>
      </c>
      <c r="X46" s="141">
        <f t="shared" ca="1" si="6"/>
        <v>26</v>
      </c>
      <c r="Y46" s="177">
        <f t="shared" ca="1" si="11"/>
        <v>25</v>
      </c>
      <c r="Z46" s="178">
        <f t="shared" ca="1" si="7"/>
        <v>6</v>
      </c>
      <c r="AA46" s="141">
        <v>19</v>
      </c>
    </row>
    <row r="47" spans="1:27" x14ac:dyDescent="0.35">
      <c r="A47" s="175">
        <f t="shared" si="12"/>
        <v>20</v>
      </c>
      <c r="B47" s="172">
        <f t="shared" ca="1" si="8"/>
        <v>45803</v>
      </c>
      <c r="C47" s="172">
        <f t="shared" ca="1" si="9"/>
        <v>45803</v>
      </c>
      <c r="D47" s="175">
        <f t="shared" ca="1" si="25"/>
        <v>30</v>
      </c>
      <c r="E47" s="173">
        <f t="shared" ca="1" si="13"/>
        <v>619932.42335870396</v>
      </c>
      <c r="F47" s="173">
        <f ca="1">IF(A46=$D$8,SUM(F$28:F46),IF(A46&gt;$D$8,"",G47+H47))</f>
        <v>26134.70889836779</v>
      </c>
      <c r="G47" s="173">
        <f ca="1">IF(AND(A46="",A48=""),"",IF(A47="",SUM(G$28:G46),IF(A47=$F$8,$G$27-SUM($G$28:G46),$F$14-H47)))</f>
        <v>8576.0755734068734</v>
      </c>
      <c r="H47" s="173">
        <f ca="1">IF(A46=$F$8,SUM($H$28:H46),IF(A46&gt;$D$8,"",E46*D47*$F$9/W46))</f>
        <v>17558.633324960916</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9" t="str">
        <f>IF(A46=$D$8,XIRR(U$27:U46,C$27:C46),"")</f>
        <v/>
      </c>
      <c r="T47" s="173" t="str">
        <f t="shared" si="4"/>
        <v/>
      </c>
      <c r="U47" s="173">
        <f t="shared" ca="1" si="15"/>
        <v>26134.70889836779</v>
      </c>
      <c r="V47" s="141">
        <f t="shared" ca="1" si="5"/>
        <v>2025</v>
      </c>
      <c r="W47" s="141">
        <f t="shared" ca="1" si="10"/>
        <v>365</v>
      </c>
      <c r="X47" s="141">
        <f t="shared" ca="1" si="6"/>
        <v>26</v>
      </c>
      <c r="Y47" s="177">
        <f t="shared" ca="1" si="11"/>
        <v>25</v>
      </c>
      <c r="Z47" s="178">
        <f t="shared" ca="1" si="7"/>
        <v>5</v>
      </c>
      <c r="AA47" s="141">
        <v>20</v>
      </c>
    </row>
    <row r="48" spans="1:27" x14ac:dyDescent="0.35">
      <c r="A48" s="175">
        <f t="shared" si="12"/>
        <v>21</v>
      </c>
      <c r="B48" s="172">
        <f t="shared" ca="1" si="8"/>
        <v>45834</v>
      </c>
      <c r="C48" s="172">
        <f t="shared" ca="1" si="9"/>
        <v>45834</v>
      </c>
      <c r="D48" s="175">
        <f t="shared" ca="1" si="25"/>
        <v>31</v>
      </c>
      <c r="E48" s="173">
        <f t="shared" ca="1" si="13"/>
        <v>611694.05953345483</v>
      </c>
      <c r="F48" s="173">
        <f ca="1">IF(A47=$D$8,SUM(F$28:F47),IF(A47&gt;$D$8,"",G48+H48))</f>
        <v>26134.70889836779</v>
      </c>
      <c r="G48" s="173">
        <f ca="1">IF(AND(A47="",A49=""),"",IF(A48="",SUM(G$28:G47),IF(A48=$F$8,$G$27-SUM($G$28:G47),$F$14-H48)))</f>
        <v>8238.3638252490855</v>
      </c>
      <c r="H48" s="173">
        <f ca="1">IF(A47=$F$8,SUM($H$28:H47),IF(A47&gt;$D$8,"",E47*D48*$F$9/W47))</f>
        <v>17896.345073118704</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9" t="str">
        <f>IF(A47=$D$8,XIRR(U$27:U47,C$27:C47),"")</f>
        <v/>
      </c>
      <c r="T48" s="173" t="str">
        <f t="shared" si="4"/>
        <v/>
      </c>
      <c r="U48" s="173">
        <f t="shared" ca="1" si="15"/>
        <v>26134.70889836779</v>
      </c>
      <c r="V48" s="141">
        <f t="shared" ca="1" si="5"/>
        <v>2025</v>
      </c>
      <c r="W48" s="141">
        <f t="shared" ca="1" si="10"/>
        <v>365</v>
      </c>
      <c r="X48" s="141">
        <f t="shared" ca="1" si="6"/>
        <v>26</v>
      </c>
      <c r="Y48" s="177">
        <f t="shared" ca="1" si="11"/>
        <v>25</v>
      </c>
      <c r="Z48" s="178">
        <f t="shared" ca="1" si="7"/>
        <v>6</v>
      </c>
      <c r="AA48" s="141">
        <v>21</v>
      </c>
    </row>
    <row r="49" spans="1:27" x14ac:dyDescent="0.35">
      <c r="A49" s="175">
        <f t="shared" si="12"/>
        <v>22</v>
      </c>
      <c r="B49" s="172">
        <f t="shared" ca="1" si="8"/>
        <v>45864</v>
      </c>
      <c r="C49" s="172">
        <f t="shared" ca="1" si="9"/>
        <v>45864</v>
      </c>
      <c r="D49" s="175">
        <f t="shared" ca="1" si="25"/>
        <v>30</v>
      </c>
      <c r="E49" s="173">
        <f t="shared" ca="1" si="13"/>
        <v>602648.23919690249</v>
      </c>
      <c r="F49" s="173">
        <f ca="1">IF(A48=$D$8,SUM(F$28:F48),IF(A48&gt;$D$8,"",G49+H49))</f>
        <v>26134.70889836779</v>
      </c>
      <c r="G49" s="173">
        <f ca="1">IF(AND(A48="",A50=""),"",IF(A49="",SUM(G$28:G48),IF(A49=$F$8,$G$27-SUM($G$28:G48),$F$14-H49)))</f>
        <v>9045.8203365523404</v>
      </c>
      <c r="H49" s="173">
        <f ca="1">IF(A48=$F$8,SUM($H$28:H48),IF(A48&gt;$D$8,"",E48*D49*$F$9/W48))</f>
        <v>17088.888561815449</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9" t="str">
        <f>IF(A48=$D$8,XIRR(U$27:U48,C$27:C48),"")</f>
        <v/>
      </c>
      <c r="T49" s="173" t="str">
        <f t="shared" si="4"/>
        <v/>
      </c>
      <c r="U49" s="173">
        <f t="shared" ca="1" si="15"/>
        <v>26134.70889836779</v>
      </c>
      <c r="V49" s="141">
        <f t="shared" ca="1" si="5"/>
        <v>2025</v>
      </c>
      <c r="W49" s="141">
        <f t="shared" ca="1" si="10"/>
        <v>365</v>
      </c>
      <c r="X49" s="141">
        <f t="shared" ca="1" si="6"/>
        <v>26</v>
      </c>
      <c r="Y49" s="177">
        <f t="shared" ca="1" si="11"/>
        <v>25</v>
      </c>
      <c r="Z49" s="178">
        <f t="shared" ca="1" si="7"/>
        <v>5</v>
      </c>
      <c r="AA49" s="141">
        <v>22</v>
      </c>
    </row>
    <row r="50" spans="1:27" x14ac:dyDescent="0.35">
      <c r="A50" s="175">
        <f t="shared" si="12"/>
        <v>23</v>
      </c>
      <c r="B50" s="172">
        <f t="shared" ca="1" si="8"/>
        <v>45895</v>
      </c>
      <c r="C50" s="172">
        <f t="shared" ca="1" si="9"/>
        <v>45895</v>
      </c>
      <c r="D50" s="175">
        <f t="shared" ca="1" si="25"/>
        <v>31</v>
      </c>
      <c r="E50" s="173">
        <f t="shared" ca="1" si="13"/>
        <v>593910.91175495624</v>
      </c>
      <c r="F50" s="173">
        <f ca="1">IF(A49=$D$8,SUM(F$28:F49),IF(A49&gt;$D$8,"",G50+H50))</f>
        <v>26134.70889836779</v>
      </c>
      <c r="G50" s="173">
        <f ca="1">IF(AND(A49="",A51=""),"",IF(A50="",SUM(G$28:G49),IF(A50=$F$8,$G$27-SUM($G$28:G49),$F$14-H50)))</f>
        <v>8737.3274419463087</v>
      </c>
      <c r="H50" s="173">
        <f ca="1">IF(A49=$F$8,SUM($H$28:H49),IF(A49&gt;$D$8,"",E49*D50*$F$9/W49))</f>
        <v>17397.381456421481</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9" t="str">
        <f>IF(A49=$D$8,XIRR(U$27:U49,C$27:C49),"")</f>
        <v/>
      </c>
      <c r="T50" s="173" t="str">
        <f t="shared" si="4"/>
        <v/>
      </c>
      <c r="U50" s="173">
        <f t="shared" ca="1" si="15"/>
        <v>26134.70889836779</v>
      </c>
      <c r="V50" s="141">
        <f t="shared" ca="1" si="5"/>
        <v>2025</v>
      </c>
      <c r="W50" s="141">
        <f t="shared" ca="1" si="10"/>
        <v>365</v>
      </c>
      <c r="X50" s="141">
        <f t="shared" ca="1" si="6"/>
        <v>26</v>
      </c>
      <c r="Y50" s="177">
        <f t="shared" ca="1" si="11"/>
        <v>25</v>
      </c>
      <c r="Z50" s="178">
        <f t="shared" ca="1" si="7"/>
        <v>6</v>
      </c>
      <c r="AA50" s="141">
        <v>23</v>
      </c>
    </row>
    <row r="51" spans="1:27" x14ac:dyDescent="0.35">
      <c r="A51" s="175">
        <f t="shared" si="12"/>
        <v>24</v>
      </c>
      <c r="B51" s="172">
        <f t="shared" ca="1" si="8"/>
        <v>45926</v>
      </c>
      <c r="C51" s="172">
        <f t="shared" ca="1" si="9"/>
        <v>45926</v>
      </c>
      <c r="D51" s="175">
        <f t="shared" ca="1" si="25"/>
        <v>31</v>
      </c>
      <c r="E51" s="173">
        <f t="shared" ca="1" si="13"/>
        <v>584921.3532293851</v>
      </c>
      <c r="F51" s="173">
        <f ca="1">IF(A50=$D$8,SUM(F$28:F50),IF(A50&gt;$D$8,"",G51+H51))</f>
        <v>26134.70889836779</v>
      </c>
      <c r="G51" s="173">
        <f ca="1">IF(AND(A50="",A52=""),"",IF(A51="",SUM(G$28:G50),IF(A51=$F$8,$G$27-SUM($G$28:G50),$F$14-H51)))</f>
        <v>8989.558525571083</v>
      </c>
      <c r="H51" s="173">
        <f ca="1">IF(A50=$F$8,SUM($H$28:H50),IF(A50&gt;$D$8,"",E50*D51*$F$9/W50))</f>
        <v>17145.150372796707</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9" t="str">
        <f>IF(A50=$D$8,XIRR(U$27:U50,C$27:C50),"")</f>
        <v/>
      </c>
      <c r="T51" s="173" t="str">
        <f t="shared" si="4"/>
        <v/>
      </c>
      <c r="U51" s="173">
        <f t="shared" ca="1" si="15"/>
        <v>26134.70889836779</v>
      </c>
      <c r="V51" s="141">
        <f t="shared" ca="1" si="5"/>
        <v>2025</v>
      </c>
      <c r="W51" s="141">
        <f t="shared" ca="1" si="10"/>
        <v>365</v>
      </c>
      <c r="X51" s="141">
        <f t="shared" ca="1" si="6"/>
        <v>26</v>
      </c>
      <c r="Y51" s="177">
        <f t="shared" ca="1" si="11"/>
        <v>25</v>
      </c>
      <c r="Z51" s="178">
        <f t="shared" ca="1" si="7"/>
        <v>6</v>
      </c>
      <c r="AA51" s="141">
        <v>24</v>
      </c>
    </row>
    <row r="52" spans="1:27" x14ac:dyDescent="0.35">
      <c r="A52" s="175">
        <f t="shared" si="12"/>
        <v>25</v>
      </c>
      <c r="B52" s="172">
        <f t="shared" ca="1" si="8"/>
        <v>45956</v>
      </c>
      <c r="C52" s="172">
        <f t="shared" ca="1" si="9"/>
        <v>45956</v>
      </c>
      <c r="D52" s="175">
        <f t="shared" ca="1" si="25"/>
        <v>30</v>
      </c>
      <c r="E52" s="173">
        <f t="shared" ca="1" si="13"/>
        <v>575127.58416356542</v>
      </c>
      <c r="F52" s="173">
        <f ca="1">IF(A51=$D$8,SUM(F$28:F51),IF(A51&gt;$D$8,"",G52+H52))</f>
        <v>26134.70889836779</v>
      </c>
      <c r="G52" s="173">
        <f ca="1">IF(AND(A51="",A53=""),"",IF(A52="",SUM(G$28:G51),IF(A52=$F$8,$G$27-SUM($G$28:G51),$F$14-H52)))</f>
        <v>9793.7690658197353</v>
      </c>
      <c r="H52" s="173">
        <f ca="1">IF(A51=$F$8,SUM($H$28:H51),IF(A51&gt;$D$8,"",E51*D52*$F$9/W51))</f>
        <v>16340.939832548054</v>
      </c>
      <c r="I52" s="173" t="str">
        <f t="shared" si="26"/>
        <v/>
      </c>
      <c r="J52" s="173" t="str">
        <f t="shared" si="27"/>
        <v/>
      </c>
      <c r="K52" s="173" t="str">
        <f t="shared" si="30"/>
        <v/>
      </c>
      <c r="L52" s="174">
        <f>IF($F$8&gt;24,($R$14),IF(A51=$F$8,L40+L27,""))</f>
        <v>0</v>
      </c>
      <c r="M52" s="173" t="str">
        <f t="shared" si="31"/>
        <v/>
      </c>
      <c r="N52" s="173" t="str">
        <f t="shared" si="32"/>
        <v/>
      </c>
      <c r="O52" s="173" t="str">
        <f t="shared" si="33"/>
        <v/>
      </c>
      <c r="P52" s="173" t="str">
        <f t="shared" si="24"/>
        <v/>
      </c>
      <c r="Q52" s="173">
        <f>IF($F$8&gt;24,($S$8+$S$10+AE4),IF($A$51=$F$8,$Q$40+$Q$27,""))</f>
        <v>0</v>
      </c>
      <c r="R52" s="173" t="str">
        <f t="shared" si="29"/>
        <v/>
      </c>
      <c r="S52" s="249" t="str">
        <f>IF(A51=$D$8,XIRR(U$27:U51,C$27:C51),"")</f>
        <v/>
      </c>
      <c r="T52" s="173" t="str">
        <f t="shared" si="4"/>
        <v/>
      </c>
      <c r="U52" s="173">
        <f t="shared" ca="1" si="15"/>
        <v>26134.70889836779</v>
      </c>
      <c r="V52" s="141">
        <f t="shared" ca="1" si="5"/>
        <v>2025</v>
      </c>
      <c r="W52" s="141">
        <f t="shared" ca="1" si="10"/>
        <v>365</v>
      </c>
      <c r="X52" s="141">
        <f t="shared" ca="1" si="6"/>
        <v>26</v>
      </c>
      <c r="Y52" s="177">
        <f t="shared" ca="1" si="11"/>
        <v>25</v>
      </c>
      <c r="Z52" s="178">
        <f t="shared" ca="1" si="7"/>
        <v>5</v>
      </c>
      <c r="AA52" s="141">
        <v>25</v>
      </c>
    </row>
    <row r="53" spans="1:27" x14ac:dyDescent="0.35">
      <c r="A53" s="175">
        <f t="shared" si="12"/>
        <v>26</v>
      </c>
      <c r="B53" s="172">
        <f t="shared" ca="1" si="8"/>
        <v>45987</v>
      </c>
      <c r="C53" s="172">
        <f t="shared" ca="1" si="9"/>
        <v>45987</v>
      </c>
      <c r="D53" s="175">
        <f t="shared" ca="1" si="25"/>
        <v>31</v>
      </c>
      <c r="E53" s="173">
        <f t="shared" ca="1" si="13"/>
        <v>565595.78442019236</v>
      </c>
      <c r="F53" s="173">
        <f ca="1">IF(A52=$D$8,SUM(F$28:F52),IF(A52&gt;$D$8,"",G53+H53))</f>
        <v>26134.70889836779</v>
      </c>
      <c r="G53" s="173">
        <f ca="1">IF(AND(A52="",A54=""),"",IF(A53="",SUM(G$28:G52),IF(A53=$F$8,$G$27-SUM($G$28:G52),$F$14-H53)))</f>
        <v>9531.7997433730707</v>
      </c>
      <c r="H53" s="173">
        <f ca="1">IF(A52=$F$8,SUM($H$28:H52),IF(A52&gt;$D$8,"",E52*D53*$F$9/W52))</f>
        <v>16602.909154994719</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3" si="34">IF(A52=$D$8,$Q$27,"")</f>
        <v/>
      </c>
      <c r="R53" s="173" t="str">
        <f t="shared" si="29"/>
        <v/>
      </c>
      <c r="S53" s="249" t="str">
        <f>IF(A52=$D$8,XIRR(U$27:U52,C$27:C52),"")</f>
        <v/>
      </c>
      <c r="T53" s="173" t="str">
        <f t="shared" si="4"/>
        <v/>
      </c>
      <c r="U53" s="173">
        <f t="shared" ca="1" si="15"/>
        <v>26134.70889836779</v>
      </c>
      <c r="V53" s="141">
        <f t="shared" ca="1" si="5"/>
        <v>2025</v>
      </c>
      <c r="W53" s="141">
        <f t="shared" ca="1" si="10"/>
        <v>365</v>
      </c>
      <c r="X53" s="141">
        <f t="shared" ca="1" si="6"/>
        <v>26</v>
      </c>
      <c r="Y53" s="177">
        <f t="shared" ca="1" si="11"/>
        <v>25</v>
      </c>
      <c r="Z53" s="178">
        <f t="shared" ca="1" si="7"/>
        <v>6</v>
      </c>
      <c r="AA53" s="141">
        <v>26</v>
      </c>
    </row>
    <row r="54" spans="1:27" x14ac:dyDescent="0.35">
      <c r="A54" s="175">
        <f t="shared" si="12"/>
        <v>27</v>
      </c>
      <c r="B54" s="172">
        <f t="shared" ca="1" si="8"/>
        <v>46017</v>
      </c>
      <c r="C54" s="172">
        <f t="shared" ca="1" si="9"/>
        <v>46017</v>
      </c>
      <c r="D54" s="175">
        <f t="shared" ca="1" si="25"/>
        <v>30</v>
      </c>
      <c r="E54" s="173">
        <f t="shared" ca="1" si="13"/>
        <v>555262.11720328405</v>
      </c>
      <c r="F54" s="173">
        <f ca="1">IF(A53=$D$8,SUM(F$28:F53),IF(A53&gt;$D$8,"",G54+H54))</f>
        <v>26134.70889836779</v>
      </c>
      <c r="G54" s="173">
        <f ca="1">IF(AND(A53="",A55=""),"",IF(A54="",SUM(G$28:G53),IF(A54=$F$8,$G$27-SUM($G$28:G53),$F$14-H54)))</f>
        <v>10333.667216908336</v>
      </c>
      <c r="H54" s="173">
        <f ca="1">IF(A53=$F$8,SUM($H$28:H53),IF(A53&gt;$D$8,"",E53*D54*$F$9/W53))</f>
        <v>15801.041681459454</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9" t="str">
        <f>IF(A53=$D$8,XIRR(U$27:U53,C$27:C53),"")</f>
        <v/>
      </c>
      <c r="T54" s="173" t="str">
        <f t="shared" si="4"/>
        <v/>
      </c>
      <c r="U54" s="173">
        <f t="shared" ca="1" si="15"/>
        <v>26134.70889836779</v>
      </c>
      <c r="V54" s="141">
        <f t="shared" ca="1" si="5"/>
        <v>2025</v>
      </c>
      <c r="W54" s="141">
        <f t="shared" ca="1" si="10"/>
        <v>365</v>
      </c>
      <c r="X54" s="141">
        <f t="shared" ca="1" si="6"/>
        <v>26</v>
      </c>
      <c r="Y54" s="177">
        <f t="shared" ca="1" si="11"/>
        <v>25</v>
      </c>
      <c r="Z54" s="178">
        <f t="shared" ca="1" si="7"/>
        <v>5</v>
      </c>
      <c r="AA54" s="141">
        <v>27</v>
      </c>
    </row>
    <row r="55" spans="1:27" x14ac:dyDescent="0.35">
      <c r="A55" s="175">
        <f t="shared" si="12"/>
        <v>28</v>
      </c>
      <c r="B55" s="172">
        <f t="shared" ca="1" si="8"/>
        <v>46048</v>
      </c>
      <c r="C55" s="172">
        <f t="shared" ca="1" si="9"/>
        <v>46048</v>
      </c>
      <c r="D55" s="175">
        <f t="shared" ca="1" si="25"/>
        <v>31</v>
      </c>
      <c r="E55" s="173">
        <f t="shared" ca="1" si="13"/>
        <v>545156.83680562663</v>
      </c>
      <c r="F55" s="173">
        <f ca="1">IF(A54=$D$8,SUM(F$28:F54),IF(A54&gt;$D$8,"",G55+H55))</f>
        <v>26134.70889836779</v>
      </c>
      <c r="G55" s="173">
        <f ca="1">IF(AND(A54="",A56=""),"",IF(A55="",SUM(G$28:G54),IF(A55=$F$8,$G$27-SUM($G$28:G54),$F$14-H55)))</f>
        <v>10105.280397657423</v>
      </c>
      <c r="H55" s="173">
        <f ca="1">IF(A54=$F$8,SUM($H$28:H54),IF(A54&gt;$D$8,"",E54*D55*$F$9/W54))</f>
        <v>16029.428500710366</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9" t="str">
        <f>IF(A54=$D$8,XIRR(U$27:U54,C$27:C54),"")</f>
        <v/>
      </c>
      <c r="T55" s="173" t="str">
        <f t="shared" si="4"/>
        <v/>
      </c>
      <c r="U55" s="173">
        <f t="shared" ca="1" si="15"/>
        <v>26134.70889836779</v>
      </c>
      <c r="V55" s="141">
        <f t="shared" ca="1" si="5"/>
        <v>2026</v>
      </c>
      <c r="W55" s="141">
        <f t="shared" ca="1" si="10"/>
        <v>365</v>
      </c>
      <c r="X55" s="141">
        <f t="shared" ca="1" si="6"/>
        <v>26</v>
      </c>
      <c r="Y55" s="177">
        <f t="shared" ca="1" si="11"/>
        <v>25</v>
      </c>
      <c r="Z55" s="178">
        <f t="shared" ca="1" si="7"/>
        <v>6</v>
      </c>
      <c r="AA55" s="141">
        <v>28</v>
      </c>
    </row>
    <row r="56" spans="1:27" x14ac:dyDescent="0.35">
      <c r="A56" s="175">
        <f t="shared" si="12"/>
        <v>29</v>
      </c>
      <c r="B56" s="172">
        <f t="shared" ca="1" si="8"/>
        <v>46079</v>
      </c>
      <c r="C56" s="172">
        <f t="shared" ca="1" si="9"/>
        <v>46079</v>
      </c>
      <c r="D56" s="175">
        <f t="shared" ca="1" si="25"/>
        <v>31</v>
      </c>
      <c r="E56" s="173">
        <f t="shared" ca="1" si="13"/>
        <v>534759.83495859371</v>
      </c>
      <c r="F56" s="173">
        <f ca="1">IF(A55=$D$8,SUM(F$28:F55),IF(A55&gt;$D$8,"",G56+H56))</f>
        <v>26134.70889836779</v>
      </c>
      <c r="G56" s="173">
        <f ca="1">IF(AND(A55="",A57=""),"",IF(A56="",SUM(G$28:G55),IF(A56=$F$8,$G$27-SUM($G$28:G55),$F$14-H56)))</f>
        <v>10397.001847032976</v>
      </c>
      <c r="H56" s="173">
        <f ca="1">IF(A55=$F$8,SUM($H$28:H55),IF(A55&gt;$D$8,"",E55*D56*$F$9/W55))</f>
        <v>15737.707051334814</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9" t="str">
        <f>IF(A55=$D$8,XIRR(U$27:U55,C$27:C55),"")</f>
        <v/>
      </c>
      <c r="T56" s="173" t="str">
        <f t="shared" si="4"/>
        <v/>
      </c>
      <c r="U56" s="173">
        <f t="shared" ca="1" si="15"/>
        <v>26134.70889836779</v>
      </c>
      <c r="V56" s="141">
        <f t="shared" ca="1" si="5"/>
        <v>2026</v>
      </c>
      <c r="W56" s="141">
        <f t="shared" ca="1" si="10"/>
        <v>365</v>
      </c>
      <c r="X56" s="141">
        <f t="shared" ca="1" si="6"/>
        <v>26</v>
      </c>
      <c r="Y56" s="177">
        <f t="shared" ca="1" si="11"/>
        <v>25</v>
      </c>
      <c r="Z56" s="178">
        <f t="shared" ca="1" si="7"/>
        <v>6</v>
      </c>
      <c r="AA56" s="141">
        <v>29</v>
      </c>
    </row>
    <row r="57" spans="1:27" x14ac:dyDescent="0.35">
      <c r="A57" s="175">
        <f t="shared" si="12"/>
        <v>30</v>
      </c>
      <c r="B57" s="172">
        <f t="shared" ca="1" si="8"/>
        <v>46107</v>
      </c>
      <c r="C57" s="172">
        <f t="shared" ca="1" si="9"/>
        <v>46107</v>
      </c>
      <c r="D57" s="175">
        <f t="shared" ca="1" si="25"/>
        <v>28</v>
      </c>
      <c r="E57" s="173">
        <f t="shared" ca="1" si="13"/>
        <v>522568.73236506956</v>
      </c>
      <c r="F57" s="173">
        <f ca="1">IF(A56=$D$8,SUM(F$28:F56),IF(A56&gt;$D$8,"",G57+H57))</f>
        <v>26134.70889836779</v>
      </c>
      <c r="G57" s="173">
        <f ca="1">IF(AND(A56="",A58=""),"",IF(A57="",SUM(G$28:G56),IF(A57=$F$8,$G$27-SUM($G$28:G56),$F$14-H57)))</f>
        <v>12191.102593524152</v>
      </c>
      <c r="H57" s="173">
        <f ca="1">IF(A56=$F$8,SUM($H$28:H56),IF(A56&gt;$D$8,"",E56*D57*$F$9/W56))</f>
        <v>13943.606304843637</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9" t="str">
        <f>IF(A56=$D$8,XIRR(U$27:U56,C$27:C56),"")</f>
        <v/>
      </c>
      <c r="T57" s="173" t="str">
        <f t="shared" si="4"/>
        <v/>
      </c>
      <c r="U57" s="173">
        <f t="shared" ca="1" si="15"/>
        <v>26134.70889836779</v>
      </c>
      <c r="V57" s="141">
        <f t="shared" ca="1" si="5"/>
        <v>2026</v>
      </c>
      <c r="W57" s="141">
        <f t="shared" ca="1" si="10"/>
        <v>365</v>
      </c>
      <c r="X57" s="141">
        <f t="shared" ca="1" si="6"/>
        <v>26</v>
      </c>
      <c r="Y57" s="177">
        <f t="shared" ca="1" si="11"/>
        <v>25</v>
      </c>
      <c r="Z57" s="178">
        <f t="shared" ca="1" si="7"/>
        <v>3</v>
      </c>
      <c r="AA57" s="141">
        <v>30</v>
      </c>
    </row>
    <row r="58" spans="1:27" x14ac:dyDescent="0.35">
      <c r="A58" s="175">
        <f t="shared" si="12"/>
        <v>31</v>
      </c>
      <c r="B58" s="172">
        <f t="shared" ca="1" si="8"/>
        <v>46138</v>
      </c>
      <c r="C58" s="172">
        <f t="shared" ca="1" si="9"/>
        <v>46138</v>
      </c>
      <c r="D58" s="175">
        <f t="shared" ca="1" si="25"/>
        <v>31</v>
      </c>
      <c r="E58" s="173">
        <f t="shared" ca="1" si="13"/>
        <v>511519.65216822916</v>
      </c>
      <c r="F58" s="173">
        <f ca="1">IF(A57=$D$8,SUM(F$28:F57),IF(A57&gt;$D$8,"",G58+H58))</f>
        <v>26134.70889836779</v>
      </c>
      <c r="G58" s="173">
        <f ca="1">IF(AND(A57="",A59=""),"",IF(A58="",SUM(G$28:G57),IF(A58=$F$8,$G$27-SUM($G$28:G57),$F$14-H58)))</f>
        <v>11049.08019684039</v>
      </c>
      <c r="H58" s="173">
        <f ca="1">IF(A57=$F$8,SUM($H$28:H57),IF(A57&gt;$D$8,"",E57*D58*$F$9/W57))</f>
        <v>15085.628701527399</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9" t="str">
        <f>IF(A57=$D$8,XIRR(U$27:U57,C$27:C57),"")</f>
        <v/>
      </c>
      <c r="T58" s="173" t="str">
        <f t="shared" si="4"/>
        <v/>
      </c>
      <c r="U58" s="173">
        <f t="shared" ca="1" si="15"/>
        <v>26134.70889836779</v>
      </c>
      <c r="V58" s="141">
        <f t="shared" ca="1" si="5"/>
        <v>2026</v>
      </c>
      <c r="W58" s="141">
        <f t="shared" ca="1" si="10"/>
        <v>365</v>
      </c>
      <c r="X58" s="141">
        <f t="shared" ca="1" si="6"/>
        <v>26</v>
      </c>
      <c r="Y58" s="177">
        <f t="shared" ca="1" si="11"/>
        <v>25</v>
      </c>
      <c r="Z58" s="178">
        <f t="shared" ca="1" si="7"/>
        <v>6</v>
      </c>
      <c r="AA58" s="141">
        <v>31</v>
      </c>
    </row>
    <row r="59" spans="1:27" x14ac:dyDescent="0.35">
      <c r="A59" s="175">
        <f t="shared" si="12"/>
        <v>32</v>
      </c>
      <c r="B59" s="172">
        <f t="shared" ca="1" si="8"/>
        <v>46168</v>
      </c>
      <c r="C59" s="172">
        <f t="shared" ca="1" si="9"/>
        <v>46168</v>
      </c>
      <c r="D59" s="175">
        <f t="shared" ca="1" si="25"/>
        <v>30</v>
      </c>
      <c r="E59" s="173">
        <f t="shared" ca="1" si="13"/>
        <v>499675.26078536664</v>
      </c>
      <c r="F59" s="173">
        <f ca="1">IF(A58=$D$8,SUM(F$28:F58),IF(A58&gt;$D$8,"",G59+H59))</f>
        <v>26134.70889836779</v>
      </c>
      <c r="G59" s="173">
        <f ca="1">IF(AND(A58="",A60=""),"",IF(A59="",SUM(G$28:G58),IF(A59=$F$8,$G$27-SUM($G$28:G58),$F$14-H59)))</f>
        <v>11844.391382862495</v>
      </c>
      <c r="H59" s="173">
        <f ca="1">IF(A58=$F$8,SUM($H$28:H58),IF(A58&gt;$D$8,"",E58*D59*$F$9/W58))</f>
        <v>14290.317515505294</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9" t="str">
        <f>IF(A58=$D$8,XIRR(U$27:U58,C$27:C58),"")</f>
        <v/>
      </c>
      <c r="T59" s="173" t="str">
        <f t="shared" si="4"/>
        <v/>
      </c>
      <c r="U59" s="173">
        <f t="shared" ca="1" si="15"/>
        <v>26134.70889836779</v>
      </c>
      <c r="V59" s="141">
        <f t="shared" ca="1" si="5"/>
        <v>2026</v>
      </c>
      <c r="W59" s="141">
        <f t="shared" ca="1" si="10"/>
        <v>365</v>
      </c>
      <c r="X59" s="141">
        <f t="shared" ca="1" si="6"/>
        <v>26</v>
      </c>
      <c r="Y59" s="177">
        <f t="shared" ca="1" si="11"/>
        <v>25</v>
      </c>
      <c r="Z59" s="178">
        <f t="shared" ca="1" si="7"/>
        <v>5</v>
      </c>
      <c r="AA59" s="141">
        <v>32</v>
      </c>
    </row>
    <row r="60" spans="1:27" x14ac:dyDescent="0.35">
      <c r="A60" s="175">
        <f t="shared" si="12"/>
        <v>33</v>
      </c>
      <c r="B60" s="172">
        <f t="shared" ca="1" si="8"/>
        <v>46199</v>
      </c>
      <c r="C60" s="172">
        <f t="shared" ca="1" si="9"/>
        <v>46199</v>
      </c>
      <c r="D60" s="175">
        <f t="shared" ca="1" si="25"/>
        <v>31</v>
      </c>
      <c r="E60" s="173">
        <f t="shared" ca="1" si="13"/>
        <v>487965.2868332162</v>
      </c>
      <c r="F60" s="173">
        <f ca="1">IF(A59=$D$8,SUM(F$28:F59),IF(A59&gt;$D$8,"",G60+H60))</f>
        <v>26134.70889836779</v>
      </c>
      <c r="G60" s="173">
        <f ca="1">IF(AND(A59="",A61=""),"",IF(A60="",SUM(G$28:G59),IF(A60=$F$8,$G$27-SUM($G$28:G59),$F$14-H60)))</f>
        <v>11709.973952150451</v>
      </c>
      <c r="H60" s="173">
        <f ca="1">IF(A59=$F$8,SUM($H$28:H59),IF(A59&gt;$D$8,"",E59*D60*$F$9/W59))</f>
        <v>14424.734946217339</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9" t="str">
        <f>IF(A59=$D$8,XIRR(U$27:U59,C$27:C59),"")</f>
        <v/>
      </c>
      <c r="T60" s="173" t="str">
        <f t="shared" si="4"/>
        <v/>
      </c>
      <c r="U60" s="173">
        <f t="shared" ca="1" si="15"/>
        <v>26134.70889836779</v>
      </c>
      <c r="V60" s="141">
        <f t="shared" ca="1" si="5"/>
        <v>2026</v>
      </c>
      <c r="W60" s="141">
        <f t="shared" ca="1" si="10"/>
        <v>365</v>
      </c>
      <c r="X60" s="141">
        <f t="shared" ca="1" si="6"/>
        <v>26</v>
      </c>
      <c r="Y60" s="177">
        <f t="shared" ca="1" si="11"/>
        <v>25</v>
      </c>
      <c r="Z60" s="178">
        <f t="shared" ca="1" si="7"/>
        <v>6</v>
      </c>
      <c r="AA60" s="141">
        <v>33</v>
      </c>
    </row>
    <row r="61" spans="1:27" x14ac:dyDescent="0.35">
      <c r="A61" s="175">
        <f t="shared" si="12"/>
        <v>34</v>
      </c>
      <c r="B61" s="172">
        <f t="shared" ca="1" si="8"/>
        <v>46229</v>
      </c>
      <c r="C61" s="172">
        <f t="shared" ca="1" si="9"/>
        <v>46229</v>
      </c>
      <c r="D61" s="175">
        <f t="shared" ca="1" si="25"/>
        <v>30</v>
      </c>
      <c r="E61" s="173">
        <f t="shared" ca="1" si="13"/>
        <v>475462.85746865202</v>
      </c>
      <c r="F61" s="173">
        <f ca="1">IF(A60=$D$8,SUM(F$28:F60),IF(A60&gt;$D$8,"",G61+H61))</f>
        <v>26134.70889836779</v>
      </c>
      <c r="G61" s="173">
        <f ca="1">IF(AND(A60="",A62=""),"",IF(A61="",SUM(G$28:G60),IF(A61=$F$8,$G$27-SUM($G$28:G60),$F$14-H61)))</f>
        <v>12502.429364564214</v>
      </c>
      <c r="H61" s="173">
        <f ca="1">IF(A60=$F$8,SUM($H$28:H60),IF(A60&gt;$D$8,"",E60*D61*$F$9/W60))</f>
        <v>13632.279533803576</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9" t="str">
        <f>IF(A60=$D$8,XIRR(U$27:U60,C$27:C60),"")</f>
        <v/>
      </c>
      <c r="T61" s="173" t="str">
        <f t="shared" si="4"/>
        <v/>
      </c>
      <c r="U61" s="173">
        <f t="shared" ca="1" si="15"/>
        <v>26134.70889836779</v>
      </c>
      <c r="V61" s="141">
        <f t="shared" ca="1" si="5"/>
        <v>2026</v>
      </c>
      <c r="W61" s="141">
        <f t="shared" ca="1" si="10"/>
        <v>365</v>
      </c>
      <c r="X61" s="141">
        <f t="shared" ca="1" si="6"/>
        <v>26</v>
      </c>
      <c r="Y61" s="177">
        <f t="shared" ca="1" si="11"/>
        <v>25</v>
      </c>
      <c r="Z61" s="178">
        <f t="shared" ca="1" si="7"/>
        <v>5</v>
      </c>
      <c r="AA61" s="141">
        <v>34</v>
      </c>
    </row>
    <row r="62" spans="1:27" x14ac:dyDescent="0.35">
      <c r="A62" s="175">
        <f t="shared" si="12"/>
        <v>35</v>
      </c>
      <c r="B62" s="172">
        <f t="shared" ca="1" si="8"/>
        <v>46260</v>
      </c>
      <c r="C62" s="172">
        <f t="shared" ca="1" si="9"/>
        <v>46260</v>
      </c>
      <c r="D62" s="175">
        <f t="shared" ca="1" si="25"/>
        <v>31</v>
      </c>
      <c r="E62" s="173">
        <f t="shared" ca="1" si="13"/>
        <v>463053.91455072653</v>
      </c>
      <c r="F62" s="173">
        <f ca="1">IF(A61=$D$8,SUM(F$28:F61),IF(A61&gt;$D$8,"",G62+H62))</f>
        <v>26134.70889836779</v>
      </c>
      <c r="G62" s="173">
        <f ca="1">IF(AND(A61="",A63=""),"",IF(A62="",SUM(G$28:G61),IF(A62=$F$8,$G$27-SUM($G$28:G61),$F$14-H62)))</f>
        <v>12408.942917925489</v>
      </c>
      <c r="H62" s="173">
        <f ca="1">IF(A61=$F$8,SUM($H$28:H61),IF(A61&gt;$D$8,"",E61*D62*$F$9/W61))</f>
        <v>13725.7659804423</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9" t="str">
        <f>IF(A61=$D$8,XIRR(U$27:U61,C$27:C61),"")</f>
        <v/>
      </c>
      <c r="T62" s="173" t="str">
        <f t="shared" si="4"/>
        <v/>
      </c>
      <c r="U62" s="173">
        <f t="shared" ca="1" si="15"/>
        <v>26134.70889836779</v>
      </c>
      <c r="V62" s="141">
        <f t="shared" ca="1" si="5"/>
        <v>2026</v>
      </c>
      <c r="W62" s="141">
        <f t="shared" ca="1" si="10"/>
        <v>365</v>
      </c>
      <c r="X62" s="141">
        <f t="shared" ca="1" si="6"/>
        <v>26</v>
      </c>
      <c r="Y62" s="177">
        <f t="shared" ca="1" si="11"/>
        <v>25</v>
      </c>
      <c r="Z62" s="178">
        <f t="shared" ca="1" si="7"/>
        <v>6</v>
      </c>
      <c r="AA62" s="141">
        <v>35</v>
      </c>
    </row>
    <row r="63" spans="1:27" x14ac:dyDescent="0.35">
      <c r="A63" s="175">
        <f t="shared" si="12"/>
        <v>36</v>
      </c>
      <c r="B63" s="172">
        <f t="shared" ca="1" si="8"/>
        <v>46291</v>
      </c>
      <c r="C63" s="172">
        <f t="shared" ca="1" si="9"/>
        <v>46291</v>
      </c>
      <c r="D63" s="175">
        <f t="shared" ca="1" si="25"/>
        <v>31</v>
      </c>
      <c r="E63" s="173">
        <f t="shared" ca="1" si="13"/>
        <v>450286.74754887808</v>
      </c>
      <c r="F63" s="173">
        <f ca="1">IF(A62=$D$8,SUM(F$28:F62),IF(A62&gt;$D$8,"",G63+H63))</f>
        <v>26134.70889836779</v>
      </c>
      <c r="G63" s="173">
        <f ca="1">IF(AND(A62="",A64=""),"",IF(A63="",SUM(G$28:G62),IF(A63=$F$8,$G$27-SUM($G$28:G62),$F$14-H63)))</f>
        <v>12767.167001848475</v>
      </c>
      <c r="H63" s="173">
        <f ca="1">IF(A62=$F$8,SUM($H$28:H62),IF(A62&gt;$D$8,"",E62*D63*$F$9/W62))</f>
        <v>13367.541896519315</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9" t="str">
        <f>IF(A62=$D$8,XIRR(U$27:U62,C$27:C62),"")</f>
        <v/>
      </c>
      <c r="T63" s="173" t="str">
        <f t="shared" si="4"/>
        <v/>
      </c>
      <c r="U63" s="173">
        <f t="shared" ca="1" si="15"/>
        <v>26134.70889836779</v>
      </c>
      <c r="V63" s="141">
        <f t="shared" ca="1" si="5"/>
        <v>2026</v>
      </c>
      <c r="W63" s="141">
        <f t="shared" ca="1" si="10"/>
        <v>365</v>
      </c>
      <c r="X63" s="141">
        <f t="shared" ca="1" si="6"/>
        <v>26</v>
      </c>
      <c r="Y63" s="177">
        <f t="shared" ca="1" si="11"/>
        <v>25</v>
      </c>
      <c r="Z63" s="178">
        <f t="shared" ca="1" si="7"/>
        <v>6</v>
      </c>
      <c r="AA63" s="141">
        <v>36</v>
      </c>
    </row>
    <row r="64" spans="1:27" x14ac:dyDescent="0.35">
      <c r="A64" s="175">
        <f t="shared" si="12"/>
        <v>37</v>
      </c>
      <c r="B64" s="172">
        <f t="shared" ca="1" si="8"/>
        <v>46321</v>
      </c>
      <c r="C64" s="172">
        <f t="shared" ca="1" si="9"/>
        <v>46321</v>
      </c>
      <c r="D64" s="175">
        <f t="shared" ca="1" si="25"/>
        <v>30</v>
      </c>
      <c r="E64" s="173">
        <f t="shared" ca="1" si="13"/>
        <v>436731.69334847166</v>
      </c>
      <c r="F64" s="173">
        <f ca="1">IF(A63=$D$8,SUM(F$28:F63),IF(A63&gt;$D$8,"",G64+H64))</f>
        <v>26134.70889836779</v>
      </c>
      <c r="G64" s="173">
        <f ca="1">IF(AND(A63="",A65=""),"",IF(A64="",SUM(G$28:G63),IF(A64=$F$8,$G$27-SUM($G$28:G63),$F$14-H64)))</f>
        <v>13555.054200406394</v>
      </c>
      <c r="H64" s="173">
        <f ca="1">IF(A63=$F$8,SUM($H$28:H63),IF(A63&gt;$D$8,"",E63*D64*$F$9/W63))</f>
        <v>12579.654697961396</v>
      </c>
      <c r="I64" s="173" t="str">
        <f t="shared" si="26"/>
        <v/>
      </c>
      <c r="J64" s="173" t="str">
        <f t="shared" si="27"/>
        <v/>
      </c>
      <c r="K64" s="173" t="str">
        <f t="shared" si="30"/>
        <v/>
      </c>
      <c r="L64" s="173">
        <f>IF($F$8&gt;36,($R$14),IF(A63=$F$8,L52+L40+L27,""))</f>
        <v>0</v>
      </c>
      <c r="M64" s="173" t="str">
        <f t="shared" si="31"/>
        <v/>
      </c>
      <c r="N64" s="173" t="str">
        <f t="shared" si="32"/>
        <v/>
      </c>
      <c r="O64" s="173" t="str">
        <f t="shared" si="33"/>
        <v/>
      </c>
      <c r="P64" s="173" t="str">
        <f t="shared" si="24"/>
        <v/>
      </c>
      <c r="Q64" s="173">
        <f>IF($F$8&gt;36,($S$8+$S$10),IF($A$63=$F$8,$Q$40+$Q$27+$Q$52,""))</f>
        <v>0</v>
      </c>
      <c r="R64" s="173" t="str">
        <f t="shared" si="29"/>
        <v/>
      </c>
      <c r="S64" s="249" t="str">
        <f>IF(A63=$D$8,XIRR(U$27:U63,C$27:C63),"")</f>
        <v/>
      </c>
      <c r="T64" s="173" t="str">
        <f t="shared" si="4"/>
        <v/>
      </c>
      <c r="U64" s="173">
        <f t="shared" ca="1" si="15"/>
        <v>26134.70889836779</v>
      </c>
      <c r="V64" s="141">
        <f t="shared" ca="1" si="5"/>
        <v>2026</v>
      </c>
      <c r="W64" s="141">
        <f t="shared" ca="1" si="10"/>
        <v>365</v>
      </c>
      <c r="X64" s="141">
        <f t="shared" ca="1" si="6"/>
        <v>26</v>
      </c>
      <c r="Y64" s="177">
        <f t="shared" ca="1" si="11"/>
        <v>25</v>
      </c>
      <c r="Z64" s="178">
        <f t="shared" ca="1" si="7"/>
        <v>5</v>
      </c>
      <c r="AA64" s="141">
        <v>37</v>
      </c>
    </row>
    <row r="65" spans="1:27" x14ac:dyDescent="0.35">
      <c r="A65" s="175">
        <f t="shared" si="12"/>
        <v>38</v>
      </c>
      <c r="B65" s="172">
        <f t="shared" ca="1" si="8"/>
        <v>46352</v>
      </c>
      <c r="C65" s="172">
        <f t="shared" ca="1" si="9"/>
        <v>46352</v>
      </c>
      <c r="D65" s="175">
        <f t="shared" ca="1" si="25"/>
        <v>31</v>
      </c>
      <c r="E65" s="173">
        <f t="shared" ca="1" si="13"/>
        <v>423204.65069570253</v>
      </c>
      <c r="F65" s="173">
        <f ca="1">IF(A64=$D$8,SUM(F$28:F64),IF(A64&gt;$D$8,"",G65+H65))</f>
        <v>26134.70889836779</v>
      </c>
      <c r="G65" s="173">
        <f ca="1">IF(AND(A64="",A66=""),"",IF(A65="",SUM(G$28:G64),IF(A65=$F$8,$G$27-SUM($G$28:G64),$F$14-H65)))</f>
        <v>13527.042652769129</v>
      </c>
      <c r="H65" s="173">
        <f ca="1">IF(A64=$F$8,SUM($H$28:H64),IF(A64&gt;$D$8,"",E64*D65*$F$9/W64))</f>
        <v>12607.666245598661</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5" si="35">IF(A64=$D$8,$Q$27,"")</f>
        <v/>
      </c>
      <c r="R65" s="173" t="str">
        <f t="shared" si="29"/>
        <v/>
      </c>
      <c r="S65" s="249" t="str">
        <f>IF(A64=$D$8,XIRR(U$27:U64,C$27:C64),"")</f>
        <v/>
      </c>
      <c r="T65" s="173" t="str">
        <f t="shared" si="4"/>
        <v/>
      </c>
      <c r="U65" s="173">
        <f t="shared" ca="1" si="15"/>
        <v>26134.70889836779</v>
      </c>
      <c r="V65" s="141">
        <f t="shared" ca="1" si="5"/>
        <v>2026</v>
      </c>
      <c r="W65" s="141">
        <f t="shared" ca="1" si="10"/>
        <v>365</v>
      </c>
      <c r="X65" s="141">
        <f t="shared" ca="1" si="6"/>
        <v>26</v>
      </c>
      <c r="Y65" s="177">
        <f t="shared" ca="1" si="11"/>
        <v>25</v>
      </c>
      <c r="Z65" s="178">
        <f t="shared" ca="1" si="7"/>
        <v>6</v>
      </c>
      <c r="AA65" s="141">
        <v>38</v>
      </c>
    </row>
    <row r="66" spans="1:27" x14ac:dyDescent="0.35">
      <c r="A66" s="175">
        <f t="shared" si="12"/>
        <v>39</v>
      </c>
      <c r="B66" s="172">
        <f t="shared" ca="1" si="8"/>
        <v>46382</v>
      </c>
      <c r="C66" s="172">
        <f t="shared" ca="1" si="9"/>
        <v>46382</v>
      </c>
      <c r="D66" s="175">
        <f t="shared" ca="1" si="25"/>
        <v>30</v>
      </c>
      <c r="E66" s="173">
        <f t="shared" ca="1" si="13"/>
        <v>408893.00432649662</v>
      </c>
      <c r="F66" s="173">
        <f ca="1">IF(A65=$D$8,SUM(F$28:F65),IF(A65&gt;$D$8,"",G66+H66))</f>
        <v>26134.70889836779</v>
      </c>
      <c r="G66" s="173">
        <f ca="1">IF(AND(A65="",A67=""),"",IF(A66="",SUM(G$28:G65),IF(A66=$F$8,$G$27-SUM($G$28:G65),$F$14-H66)))</f>
        <v>14311.646369205928</v>
      </c>
      <c r="H66" s="173">
        <f ca="1">IF(A65=$F$8,SUM($H$28:H65),IF(A65&gt;$D$8,"",E65*D66*$F$9/W65))</f>
        <v>11823.062529161862</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9" t="str">
        <f>IF(A65=$D$8,XIRR(U$27:U65,C$27:C65),"")</f>
        <v/>
      </c>
      <c r="T66" s="173" t="str">
        <f t="shared" si="4"/>
        <v/>
      </c>
      <c r="U66" s="173">
        <f t="shared" ca="1" si="15"/>
        <v>26134.70889836779</v>
      </c>
      <c r="V66" s="141">
        <f t="shared" ca="1" si="5"/>
        <v>2026</v>
      </c>
      <c r="W66" s="141">
        <f t="shared" ca="1" si="10"/>
        <v>365</v>
      </c>
      <c r="X66" s="141">
        <f t="shared" ca="1" si="6"/>
        <v>26</v>
      </c>
      <c r="Y66" s="177">
        <f t="shared" ca="1" si="11"/>
        <v>25</v>
      </c>
      <c r="Z66" s="178">
        <f t="shared" ca="1" si="7"/>
        <v>5</v>
      </c>
      <c r="AA66" s="141">
        <v>39</v>
      </c>
    </row>
    <row r="67" spans="1:27" x14ac:dyDescent="0.35">
      <c r="A67" s="175">
        <f t="shared" si="12"/>
        <v>40</v>
      </c>
      <c r="B67" s="172">
        <f t="shared" ca="1" si="8"/>
        <v>46413</v>
      </c>
      <c r="C67" s="172">
        <f t="shared" ca="1" si="9"/>
        <v>46413</v>
      </c>
      <c r="D67" s="175">
        <f t="shared" ca="1" si="25"/>
        <v>31</v>
      </c>
      <c r="E67" s="173">
        <f t="shared" ca="1" si="13"/>
        <v>394562.30829741067</v>
      </c>
      <c r="F67" s="173">
        <f ca="1">IF(A66=$D$8,SUM(F$28:F66),IF(A66&gt;$D$8,"",G67+H67))</f>
        <v>26134.70889836779</v>
      </c>
      <c r="G67" s="173">
        <f ca="1">IF(AND(A66="",A68=""),"",IF(A67="",SUM(G$28:G66),IF(A67=$F$8,$G$27-SUM($G$28:G66),$F$14-H67)))</f>
        <v>14330.696029085975</v>
      </c>
      <c r="H67" s="173">
        <f ca="1">IF(A66=$F$8,SUM($H$28:H66),IF(A66&gt;$D$8,"",E66*D67*$F$9/W66))</f>
        <v>11804.012869281814</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9" t="str">
        <f>IF(A66=$D$8,XIRR(U$27:U66,C$27:C66),"")</f>
        <v/>
      </c>
      <c r="T67" s="173" t="str">
        <f t="shared" si="4"/>
        <v/>
      </c>
      <c r="U67" s="173">
        <f t="shared" ca="1" si="15"/>
        <v>26134.70889836779</v>
      </c>
      <c r="V67" s="141">
        <f t="shared" ca="1" si="5"/>
        <v>2027</v>
      </c>
      <c r="W67" s="141">
        <f t="shared" ca="1" si="10"/>
        <v>365</v>
      </c>
      <c r="X67" s="141">
        <f t="shared" ca="1" si="6"/>
        <v>26</v>
      </c>
      <c r="Y67" s="177">
        <f t="shared" ca="1" si="11"/>
        <v>25</v>
      </c>
      <c r="Z67" s="178">
        <f t="shared" ca="1" si="7"/>
        <v>6</v>
      </c>
      <c r="AA67" s="141">
        <v>40</v>
      </c>
    </row>
    <row r="68" spans="1:27" x14ac:dyDescent="0.35">
      <c r="A68" s="175">
        <f t="shared" si="12"/>
        <v>41</v>
      </c>
      <c r="B68" s="172">
        <f t="shared" ca="1" si="8"/>
        <v>46444</v>
      </c>
      <c r="C68" s="172">
        <f t="shared" ca="1" si="9"/>
        <v>46444</v>
      </c>
      <c r="D68" s="175">
        <f t="shared" ca="1" si="25"/>
        <v>31</v>
      </c>
      <c r="E68" s="173">
        <f t="shared" ca="1" si="13"/>
        <v>379817.91059438256</v>
      </c>
      <c r="F68" s="173">
        <f ca="1">IF(A67=$D$8,SUM(F$28:F67),IF(A67&gt;$D$8,"",G68+H68))</f>
        <v>26134.70889836779</v>
      </c>
      <c r="G68" s="173">
        <f ca="1">IF(AND(A67="",A69=""),"",IF(A68="",SUM(G$28:G67),IF(A68=$F$8,$G$27-SUM($G$28:G67),$F$14-H68)))</f>
        <v>14744.3977030281</v>
      </c>
      <c r="H68" s="173">
        <f ca="1">IF(A67=$F$8,SUM($H$28:H67),IF(A67&gt;$D$8,"",E67*D68*$F$9/W67))</f>
        <v>11390.311195339689</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9" t="str">
        <f>IF(A67=$D$8,XIRR(U$27:U67,C$27:C67),"")</f>
        <v/>
      </c>
      <c r="T68" s="173" t="str">
        <f t="shared" si="4"/>
        <v/>
      </c>
      <c r="U68" s="173">
        <f t="shared" ca="1" si="15"/>
        <v>26134.70889836779</v>
      </c>
      <c r="V68" s="141">
        <f t="shared" ca="1" si="5"/>
        <v>2027</v>
      </c>
      <c r="W68" s="141">
        <f t="shared" ca="1" si="10"/>
        <v>365</v>
      </c>
      <c r="X68" s="141">
        <f t="shared" ca="1" si="6"/>
        <v>26</v>
      </c>
      <c r="Y68" s="177">
        <f t="shared" ca="1" si="11"/>
        <v>25</v>
      </c>
      <c r="Z68" s="178">
        <f t="shared" ca="1" si="7"/>
        <v>6</v>
      </c>
      <c r="AA68" s="141">
        <v>41</v>
      </c>
    </row>
    <row r="69" spans="1:27" x14ac:dyDescent="0.35">
      <c r="A69" s="175">
        <f t="shared" si="12"/>
        <v>42</v>
      </c>
      <c r="B69" s="172">
        <f t="shared" ca="1" si="8"/>
        <v>46472</v>
      </c>
      <c r="C69" s="172">
        <f t="shared" ca="1" si="9"/>
        <v>46472</v>
      </c>
      <c r="D69" s="175">
        <f t="shared" ca="1" si="25"/>
        <v>28</v>
      </c>
      <c r="E69" s="173">
        <f t="shared" ca="1" si="13"/>
        <v>363586.77161028562</v>
      </c>
      <c r="F69" s="173">
        <f ca="1">IF(A68=$D$8,SUM(F$28:F68),IF(A68&gt;$D$8,"",G69+H69))</f>
        <v>26134.70889836779</v>
      </c>
      <c r="G69" s="173">
        <f ca="1">IF(AND(A68="",A70=""),"",IF(A69="",SUM(G$28:G68),IF(A69=$F$8,$G$27-SUM($G$28:G68),$F$14-H69)))</f>
        <v>16231.138984096946</v>
      </c>
      <c r="H69" s="173">
        <f ca="1">IF(A68=$F$8,SUM($H$28:H68),IF(A68&gt;$D$8,"",E68*D69*$F$9/W68))</f>
        <v>9903.5699142708436</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9" t="str">
        <f>IF(A68=$D$8,XIRR(U$27:U68,C$27:C68),"")</f>
        <v/>
      </c>
      <c r="T69" s="173" t="str">
        <f t="shared" si="4"/>
        <v/>
      </c>
      <c r="U69" s="173">
        <f t="shared" ca="1" si="15"/>
        <v>26134.70889836779</v>
      </c>
      <c r="V69" s="141">
        <f t="shared" ca="1" si="5"/>
        <v>2027</v>
      </c>
      <c r="W69" s="141">
        <f t="shared" ca="1" si="10"/>
        <v>365</v>
      </c>
      <c r="X69" s="141">
        <f t="shared" ca="1" si="6"/>
        <v>26</v>
      </c>
      <c r="Y69" s="177">
        <f t="shared" ca="1" si="11"/>
        <v>25</v>
      </c>
      <c r="Z69" s="178">
        <f t="shared" ca="1" si="7"/>
        <v>3</v>
      </c>
      <c r="AA69" s="141">
        <v>42</v>
      </c>
    </row>
    <row r="70" spans="1:27" x14ac:dyDescent="0.35">
      <c r="A70" s="175">
        <f t="shared" si="12"/>
        <v>43</v>
      </c>
      <c r="B70" s="172">
        <f t="shared" ca="1" si="8"/>
        <v>46503</v>
      </c>
      <c r="C70" s="172">
        <f t="shared" ca="1" si="9"/>
        <v>46503</v>
      </c>
      <c r="D70" s="175">
        <f t="shared" ca="1" si="25"/>
        <v>31</v>
      </c>
      <c r="E70" s="173">
        <f t="shared" ca="1" si="13"/>
        <v>347948.16532501485</v>
      </c>
      <c r="F70" s="173">
        <f ca="1">IF(A69=$D$8,SUM(F$28:F69),IF(A69&gt;$D$8,"",G70+H70))</f>
        <v>26134.70889836779</v>
      </c>
      <c r="G70" s="173">
        <f ca="1">IF(AND(A69="",A71=""),"",IF(A70="",SUM(G$28:G69),IF(A70=$F$8,$G$27-SUM($G$28:G69),$F$14-H70)))</f>
        <v>15638.606285270753</v>
      </c>
      <c r="H70" s="173">
        <f ca="1">IF(A69=$F$8,SUM($H$28:H69),IF(A69&gt;$D$8,"",E69*D70*$F$9/W69))</f>
        <v>10496.102613097037</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9" t="str">
        <f>IF(A69=$D$8,XIRR(U$27:U69,C$27:C69),"")</f>
        <v/>
      </c>
      <c r="T70" s="173" t="str">
        <f t="shared" si="4"/>
        <v/>
      </c>
      <c r="U70" s="173">
        <f t="shared" ca="1" si="15"/>
        <v>26134.70889836779</v>
      </c>
      <c r="V70" s="141">
        <f t="shared" ca="1" si="5"/>
        <v>2027</v>
      </c>
      <c r="W70" s="141">
        <f t="shared" ca="1" si="10"/>
        <v>365</v>
      </c>
      <c r="X70" s="141">
        <f t="shared" ca="1" si="6"/>
        <v>26</v>
      </c>
      <c r="Y70" s="177">
        <f t="shared" ca="1" si="11"/>
        <v>25</v>
      </c>
      <c r="Z70" s="178">
        <f t="shared" ca="1" si="7"/>
        <v>6</v>
      </c>
      <c r="AA70" s="141">
        <v>43</v>
      </c>
    </row>
    <row r="71" spans="1:27" x14ac:dyDescent="0.35">
      <c r="A71" s="175">
        <f t="shared" si="12"/>
        <v>44</v>
      </c>
      <c r="B71" s="172">
        <f t="shared" ca="1" si="8"/>
        <v>46533</v>
      </c>
      <c r="C71" s="172">
        <f t="shared" ca="1" si="9"/>
        <v>46533</v>
      </c>
      <c r="D71" s="175">
        <f t="shared" ca="1" si="25"/>
        <v>30</v>
      </c>
      <c r="E71" s="173">
        <f t="shared" ca="1" si="13"/>
        <v>331534.0795549188</v>
      </c>
      <c r="F71" s="173">
        <f ca="1">IF(A70=$D$8,SUM(F$28:F70),IF(A70&gt;$D$8,"",G71+H71))</f>
        <v>26134.70889836779</v>
      </c>
      <c r="G71" s="173">
        <f ca="1">IF(AND(A70="",A72=""),"",IF(A71="",SUM(G$28:G70),IF(A71=$F$8,$G$27-SUM($G$28:G70),$F$14-H71)))</f>
        <v>16414.085770096077</v>
      </c>
      <c r="H71" s="173">
        <f ca="1">IF(A70=$F$8,SUM($H$28:H70),IF(A70&gt;$D$8,"",E70*D71*$F$9/W70))</f>
        <v>9720.6231282717144</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9" t="str">
        <f>IF(A70=$D$8,XIRR(U$27:U70,C$27:C70),"")</f>
        <v/>
      </c>
      <c r="T71" s="173" t="str">
        <f t="shared" si="4"/>
        <v/>
      </c>
      <c r="U71" s="173">
        <f t="shared" ca="1" si="15"/>
        <v>26134.70889836779</v>
      </c>
      <c r="V71" s="141">
        <f t="shared" ca="1" si="5"/>
        <v>2027</v>
      </c>
      <c r="W71" s="141">
        <f t="shared" ca="1" si="10"/>
        <v>365</v>
      </c>
      <c r="X71" s="141">
        <f t="shared" ca="1" si="6"/>
        <v>26</v>
      </c>
      <c r="Y71" s="177">
        <f t="shared" ca="1" si="11"/>
        <v>25</v>
      </c>
      <c r="Z71" s="178">
        <f t="shared" ca="1" si="7"/>
        <v>5</v>
      </c>
      <c r="AA71" s="141">
        <v>44</v>
      </c>
    </row>
    <row r="72" spans="1:27" x14ac:dyDescent="0.35">
      <c r="A72" s="175">
        <f t="shared" si="12"/>
        <v>45</v>
      </c>
      <c r="B72" s="172">
        <f t="shared" ca="1" si="8"/>
        <v>46564</v>
      </c>
      <c r="C72" s="172">
        <f t="shared" ca="1" si="9"/>
        <v>46564</v>
      </c>
      <c r="D72" s="175">
        <f t="shared" ca="1" si="25"/>
        <v>31</v>
      </c>
      <c r="E72" s="173">
        <f t="shared" ca="1" si="13"/>
        <v>314970.16913014615</v>
      </c>
      <c r="F72" s="173">
        <f ca="1">IF(A71=$D$8,SUM(F$28:F71),IF(A71&gt;$D$8,"",G72+H72))</f>
        <v>26134.70889836779</v>
      </c>
      <c r="G72" s="173">
        <f ca="1">IF(AND(A71="",A73=""),"",IF(A72="",SUM(G$28:G71),IF(A72=$F$8,$G$27-SUM($G$28:G71),$F$14-H72)))</f>
        <v>16563.910424772657</v>
      </c>
      <c r="H72" s="173">
        <f ca="1">IF(A71=$F$8,SUM($H$28:H71),IF(A71&gt;$D$8,"",E71*D72*$F$9/W71))</f>
        <v>9570.7984735951341</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9" t="str">
        <f>IF(A71=$D$8,XIRR(U$27:U71,C$27:C71),"")</f>
        <v/>
      </c>
      <c r="T72" s="173" t="str">
        <f t="shared" si="4"/>
        <v/>
      </c>
      <c r="U72" s="173">
        <f t="shared" ca="1" si="15"/>
        <v>26134.70889836779</v>
      </c>
      <c r="V72" s="141">
        <f t="shared" ca="1" si="5"/>
        <v>2027</v>
      </c>
      <c r="W72" s="141">
        <f t="shared" ca="1" si="10"/>
        <v>365</v>
      </c>
      <c r="X72" s="141">
        <f t="shared" ca="1" si="6"/>
        <v>26</v>
      </c>
      <c r="Y72" s="177">
        <f t="shared" ca="1" si="11"/>
        <v>25</v>
      </c>
      <c r="Z72" s="178">
        <f t="shared" ca="1" si="7"/>
        <v>6</v>
      </c>
      <c r="AA72" s="141">
        <v>45</v>
      </c>
    </row>
    <row r="73" spans="1:27" x14ac:dyDescent="0.35">
      <c r="A73" s="175">
        <f t="shared" si="12"/>
        <v>46</v>
      </c>
      <c r="B73" s="172">
        <f t="shared" ca="1" si="8"/>
        <v>46594</v>
      </c>
      <c r="C73" s="172">
        <f t="shared" ca="1" si="9"/>
        <v>46594</v>
      </c>
      <c r="D73" s="175">
        <f t="shared" ca="1" si="25"/>
        <v>30</v>
      </c>
      <c r="E73" s="173">
        <f t="shared" ca="1" si="13"/>
        <v>297634.77753210743</v>
      </c>
      <c r="F73" s="173">
        <f ca="1">IF(A72=$D$8,SUM(F$28:F72),IF(A72&gt;$D$8,"",G73+H73))</f>
        <v>26134.70889836779</v>
      </c>
      <c r="G73" s="173">
        <f ca="1">IF(AND(A72="",A74=""),"",IF(A73="",SUM(G$28:G72),IF(A73=$F$8,$G$27-SUM($G$28:G72),$F$14-H73)))</f>
        <v>17335.391598038746</v>
      </c>
      <c r="H73" s="173">
        <f ca="1">IF(A72=$F$8,SUM($H$28:H72),IF(A72&gt;$D$8,"",E72*D73*$F$9/W72))</f>
        <v>8799.3173003290412</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9" t="str">
        <f>IF(A72=$D$8,XIRR(U$27:U72,C$27:C72),"")</f>
        <v/>
      </c>
      <c r="T73" s="173" t="str">
        <f t="shared" si="4"/>
        <v/>
      </c>
      <c r="U73" s="173">
        <f t="shared" ca="1" si="15"/>
        <v>26134.70889836779</v>
      </c>
      <c r="V73" s="141">
        <f t="shared" ca="1" si="5"/>
        <v>2027</v>
      </c>
      <c r="W73" s="141">
        <f t="shared" ca="1" si="10"/>
        <v>365</v>
      </c>
      <c r="X73" s="141">
        <f t="shared" ca="1" si="6"/>
        <v>26</v>
      </c>
      <c r="Y73" s="177">
        <f t="shared" ca="1" si="11"/>
        <v>25</v>
      </c>
      <c r="Z73" s="178">
        <f t="shared" ca="1" si="7"/>
        <v>5</v>
      </c>
      <c r="AA73" s="141">
        <v>46</v>
      </c>
    </row>
    <row r="74" spans="1:27" x14ac:dyDescent="0.35">
      <c r="A74" s="175">
        <f t="shared" si="12"/>
        <v>47</v>
      </c>
      <c r="B74" s="172">
        <f t="shared" ca="1" si="8"/>
        <v>46625</v>
      </c>
      <c r="C74" s="172">
        <f t="shared" ca="1" si="9"/>
        <v>46625</v>
      </c>
      <c r="D74" s="175">
        <f t="shared" ca="1" si="25"/>
        <v>31</v>
      </c>
      <c r="E74" s="173">
        <f t="shared" ca="1" si="13"/>
        <v>280092.25462655624</v>
      </c>
      <c r="F74" s="173">
        <f ca="1">IF(A73=$D$8,SUM(F$28:F73),IF(A73&gt;$D$8,"",G74+H74))</f>
        <v>26134.70889836779</v>
      </c>
      <c r="G74" s="173">
        <f ca="1">IF(AND(A73="",A75=""),"",IF(A74="",SUM(G$28:G73),IF(A74=$F$8,$G$27-SUM($G$28:G73),$F$14-H74)))</f>
        <v>17542.522905551181</v>
      </c>
      <c r="H74" s="173">
        <f ca="1">IF(A73=$F$8,SUM($H$28:H73),IF(A73&gt;$D$8,"",E73*D74*$F$9/W73))</f>
        <v>8592.1859928166086</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9" t="str">
        <f>IF(A73=$D$8,XIRR(U$27:U73,C$27:C73),"")</f>
        <v/>
      </c>
      <c r="T74" s="173" t="str">
        <f t="shared" si="4"/>
        <v/>
      </c>
      <c r="U74" s="173">
        <f t="shared" ca="1" si="15"/>
        <v>26134.70889836779</v>
      </c>
      <c r="V74" s="141">
        <f t="shared" ca="1" si="5"/>
        <v>2027</v>
      </c>
      <c r="W74" s="141">
        <f t="shared" ca="1" si="10"/>
        <v>365</v>
      </c>
      <c r="X74" s="141">
        <f t="shared" ca="1" si="6"/>
        <v>26</v>
      </c>
      <c r="Y74" s="177">
        <f t="shared" ca="1" si="11"/>
        <v>25</v>
      </c>
      <c r="Z74" s="178">
        <f t="shared" ca="1" si="7"/>
        <v>6</v>
      </c>
      <c r="AA74" s="141">
        <v>47</v>
      </c>
    </row>
    <row r="75" spans="1:27" x14ac:dyDescent="0.35">
      <c r="A75" s="175">
        <f t="shared" si="12"/>
        <v>48</v>
      </c>
      <c r="B75" s="172">
        <f t="shared" ca="1" si="8"/>
        <v>46656</v>
      </c>
      <c r="C75" s="172">
        <f t="shared" ca="1" si="9"/>
        <v>46656</v>
      </c>
      <c r="D75" s="175">
        <f t="shared" ca="1" si="25"/>
        <v>31</v>
      </c>
      <c r="E75" s="173">
        <f t="shared" ca="1" si="13"/>
        <v>262043.31032483108</v>
      </c>
      <c r="F75" s="173">
        <f ca="1">IF(A74=$D$8,SUM(F$28:F74),IF(A74&gt;$D$8,"",G75+H75))</f>
        <v>26134.70889836779</v>
      </c>
      <c r="G75" s="173">
        <f ca="1">IF(AND(A74="",A76=""),"",IF(A75="",SUM(G$28:G74),IF(A75=$F$8,$G$27-SUM($G$28:G74),$F$14-H75)))</f>
        <v>18048.944301725158</v>
      </c>
      <c r="H75" s="173">
        <f ca="1">IF(A74=$F$8,SUM($H$28:H74),IF(A74&gt;$D$8,"",E74*D75*$F$9/W74))</f>
        <v>8085.7645966426317</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9" t="str">
        <f>IF(A74=$D$8,XIRR(U$27:U74,C$27:C74),"")</f>
        <v/>
      </c>
      <c r="T75" s="173" t="str">
        <f t="shared" si="4"/>
        <v/>
      </c>
      <c r="U75" s="173">
        <f t="shared" ca="1" si="15"/>
        <v>26134.70889836779</v>
      </c>
      <c r="V75" s="141">
        <f t="shared" ca="1" si="5"/>
        <v>2027</v>
      </c>
      <c r="W75" s="141">
        <f t="shared" ca="1" si="10"/>
        <v>365</v>
      </c>
      <c r="X75" s="141">
        <f t="shared" ca="1" si="6"/>
        <v>26</v>
      </c>
      <c r="Y75" s="177">
        <f t="shared" ca="1" si="11"/>
        <v>25</v>
      </c>
      <c r="Z75" s="178">
        <f t="shared" ca="1" si="7"/>
        <v>6</v>
      </c>
      <c r="AA75" s="141">
        <v>48</v>
      </c>
    </row>
    <row r="76" spans="1:27" x14ac:dyDescent="0.35">
      <c r="A76" s="175">
        <f t="shared" si="12"/>
        <v>49</v>
      </c>
      <c r="B76" s="172">
        <f t="shared" ca="1" si="8"/>
        <v>46686</v>
      </c>
      <c r="C76" s="172">
        <f t="shared" ca="1" si="9"/>
        <v>46686</v>
      </c>
      <c r="D76" s="175">
        <f t="shared" ca="1" si="25"/>
        <v>30</v>
      </c>
      <c r="E76" s="173">
        <f t="shared" ca="1" si="13"/>
        <v>243229.30179737372</v>
      </c>
      <c r="F76" s="173">
        <f ca="1">IF(A75=$D$8,SUM(F$28:F75),IF(A75&gt;$D$8,"",G76+H76))</f>
        <v>26134.70889836779</v>
      </c>
      <c r="G76" s="173">
        <f ca="1">IF(AND(A75="",A77=""),"",IF(A76="",SUM(G$28:G75),IF(A76=$F$8,$G$27-SUM($G$28:G75),$F$14-H76)))</f>
        <v>18814.008527457372</v>
      </c>
      <c r="H76" s="173">
        <f ca="1">IF(A75=$F$8,SUM($H$28:H75),IF(A75&gt;$D$8,"",E75*D76*$F$9/W75))</f>
        <v>7320.7003709104183</v>
      </c>
      <c r="I76" s="173" t="str">
        <f t="shared" si="26"/>
        <v/>
      </c>
      <c r="J76" s="173" t="str">
        <f t="shared" si="27"/>
        <v/>
      </c>
      <c r="K76" s="173" t="str">
        <f t="shared" si="30"/>
        <v/>
      </c>
      <c r="L76" s="173">
        <f>IF($F$8&gt;48,($R$14),IF(A75=$F$8,L64+L52+L40+L27,""))</f>
        <v>0</v>
      </c>
      <c r="M76" s="173" t="str">
        <f t="shared" si="31"/>
        <v/>
      </c>
      <c r="N76" s="173" t="str">
        <f t="shared" si="32"/>
        <v/>
      </c>
      <c r="O76" s="173" t="str">
        <f t="shared" si="33"/>
        <v/>
      </c>
      <c r="P76" s="173" t="str">
        <f t="shared" si="24"/>
        <v/>
      </c>
      <c r="Q76" s="173">
        <f>IF($F$8&gt;48,($S$8+$S$10),IF($A$75=$F$8,$Q$40+$Q$27+$Q$52+$Q$64,""))</f>
        <v>0</v>
      </c>
      <c r="R76" s="173" t="str">
        <f t="shared" si="29"/>
        <v/>
      </c>
      <c r="S76" s="249" t="str">
        <f>IF(A75=$D$8,XIRR(U$27:U75,C$27:C75),"")</f>
        <v/>
      </c>
      <c r="T76" s="173" t="str">
        <f t="shared" si="4"/>
        <v/>
      </c>
      <c r="U76" s="173">
        <f t="shared" ca="1" si="15"/>
        <v>26134.70889836779</v>
      </c>
      <c r="V76" s="141">
        <f t="shared" ca="1" si="5"/>
        <v>2027</v>
      </c>
      <c r="W76" s="141">
        <f t="shared" ca="1" si="10"/>
        <v>365</v>
      </c>
      <c r="X76" s="141">
        <f t="shared" ca="1" si="6"/>
        <v>26</v>
      </c>
      <c r="Y76" s="177">
        <f t="shared" ca="1" si="11"/>
        <v>25</v>
      </c>
      <c r="Z76" s="178">
        <f t="shared" ca="1" si="7"/>
        <v>5</v>
      </c>
      <c r="AA76" s="141">
        <v>49</v>
      </c>
    </row>
    <row r="77" spans="1:27" x14ac:dyDescent="0.35">
      <c r="A77" s="175">
        <f t="shared" si="12"/>
        <v>50</v>
      </c>
      <c r="B77" s="172">
        <f t="shared" ca="1" si="8"/>
        <v>46717</v>
      </c>
      <c r="C77" s="172">
        <f t="shared" ca="1" si="9"/>
        <v>46717</v>
      </c>
      <c r="D77" s="175">
        <f t="shared" ca="1" si="25"/>
        <v>31</v>
      </c>
      <c r="E77" s="173">
        <f t="shared" ca="1" si="13"/>
        <v>224116.18969382442</v>
      </c>
      <c r="F77" s="173">
        <f ca="1">IF(A76=$D$8,SUM(F$28:F76),IF(A76&gt;$D$8,"",G77+H77))</f>
        <v>26134.70889836779</v>
      </c>
      <c r="G77" s="173">
        <f ca="1">IF(AND(A76="",A78=""),"",IF(A77="",SUM(G$28:G76),IF(A77=$F$8,$G$27-SUM($G$28:G76),$F$14-H77)))</f>
        <v>19113.112103549305</v>
      </c>
      <c r="H77" s="173">
        <f ca="1">IF(A76=$F$8,SUM($H$28:H76),IF(A76&gt;$D$8,"",E76*D77*$F$9/W76))</f>
        <v>7021.5967948184843</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7" si="36">IF(A76=$D$8,$Q$27,"")</f>
        <v/>
      </c>
      <c r="R77" s="173" t="str">
        <f t="shared" si="29"/>
        <v/>
      </c>
      <c r="S77" s="249" t="str">
        <f>IF(A76=$D$8,XIRR(U$27:U76,C$27:C76),"")</f>
        <v/>
      </c>
      <c r="T77" s="173" t="str">
        <f t="shared" si="4"/>
        <v/>
      </c>
      <c r="U77" s="173">
        <f t="shared" ca="1" si="15"/>
        <v>26134.70889836779</v>
      </c>
      <c r="V77" s="141">
        <f t="shared" ca="1" si="5"/>
        <v>2027</v>
      </c>
      <c r="W77" s="141">
        <f t="shared" ca="1" si="10"/>
        <v>365</v>
      </c>
      <c r="X77" s="141">
        <f t="shared" ca="1" si="6"/>
        <v>26</v>
      </c>
      <c r="Y77" s="177">
        <f t="shared" ca="1" si="11"/>
        <v>25</v>
      </c>
      <c r="Z77" s="178">
        <f t="shared" ca="1" si="7"/>
        <v>6</v>
      </c>
      <c r="AA77" s="141">
        <v>50</v>
      </c>
    </row>
    <row r="78" spans="1:27" x14ac:dyDescent="0.35">
      <c r="A78" s="175">
        <f t="shared" si="12"/>
        <v>51</v>
      </c>
      <c r="B78" s="172">
        <f t="shared" ca="1" si="8"/>
        <v>46747</v>
      </c>
      <c r="C78" s="172">
        <f t="shared" ca="1" si="9"/>
        <v>46747</v>
      </c>
      <c r="D78" s="175">
        <f t="shared" ca="1" si="25"/>
        <v>30</v>
      </c>
      <c r="E78" s="173">
        <f t="shared" ca="1" si="13"/>
        <v>204242.61171684822</v>
      </c>
      <c r="F78" s="173">
        <f ca="1">IF(A77=$D$8,SUM(F$28:F77),IF(A77&gt;$D$8,"",G78+H78))</f>
        <v>26134.70889836779</v>
      </c>
      <c r="G78" s="173">
        <f ca="1">IF(AND(A77="",A79=""),"",IF(A78="",SUM(G$28:G77),IF(A78=$F$8,$G$27-SUM($G$28:G77),$F$14-H78)))</f>
        <v>19873.577976976208</v>
      </c>
      <c r="H78" s="173">
        <f ca="1">IF(A77=$F$8,SUM($H$28:H77),IF(A77&gt;$D$8,"",E77*D78*$F$9/W77))</f>
        <v>6261.1309213915829</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9" t="str">
        <f>IF(A77=$D$8,XIRR(U$27:U77,C$27:C77),"")</f>
        <v/>
      </c>
      <c r="T78" s="173" t="str">
        <f t="shared" si="4"/>
        <v/>
      </c>
      <c r="U78" s="173">
        <f t="shared" ca="1" si="15"/>
        <v>26134.70889836779</v>
      </c>
      <c r="V78" s="141">
        <f t="shared" ca="1" si="5"/>
        <v>2027</v>
      </c>
      <c r="W78" s="141">
        <f t="shared" ca="1" si="10"/>
        <v>365</v>
      </c>
      <c r="X78" s="141">
        <f t="shared" ca="1" si="6"/>
        <v>26</v>
      </c>
      <c r="Y78" s="177">
        <f t="shared" ca="1" si="11"/>
        <v>25</v>
      </c>
      <c r="Z78" s="178">
        <f t="shared" ca="1" si="7"/>
        <v>5</v>
      </c>
      <c r="AA78" s="141">
        <v>51</v>
      </c>
    </row>
    <row r="79" spans="1:27" x14ac:dyDescent="0.35">
      <c r="A79" s="175">
        <f t="shared" si="12"/>
        <v>52</v>
      </c>
      <c r="B79" s="172">
        <f t="shared" ca="1" si="8"/>
        <v>46778</v>
      </c>
      <c r="C79" s="172">
        <f t="shared" ca="1" si="9"/>
        <v>46778</v>
      </c>
      <c r="D79" s="175">
        <f t="shared" ca="1" si="25"/>
        <v>31</v>
      </c>
      <c r="E79" s="173">
        <f t="shared" ca="1" si="13"/>
        <v>184004.02329902633</v>
      </c>
      <c r="F79" s="173">
        <f ca="1">IF(A78=$D$8,SUM(F$28:F78),IF(A78&gt;$D$8,"",G79+H79))</f>
        <v>26134.70889836779</v>
      </c>
      <c r="G79" s="173">
        <f ca="1">IF(AND(A78="",A80=""),"",IF(A79="",SUM(G$28:G78),IF(A79=$F$8,$G$27-SUM($G$28:G78),$F$14-H79)))</f>
        <v>20238.588417821877</v>
      </c>
      <c r="H79" s="173">
        <f ca="1">IF(A78=$F$8,SUM($H$28:H78),IF(A78&gt;$D$8,"",E78*D79*$F$9/W78))</f>
        <v>5896.1204805459129</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9" t="str">
        <f>IF(A78=$D$8,XIRR(U$27:U78,C$27:C78),"")</f>
        <v/>
      </c>
      <c r="T79" s="173" t="str">
        <f t="shared" si="4"/>
        <v/>
      </c>
      <c r="U79" s="173">
        <f t="shared" ca="1" si="15"/>
        <v>26134.70889836779</v>
      </c>
      <c r="V79" s="141">
        <f t="shared" ca="1" si="5"/>
        <v>2028</v>
      </c>
      <c r="W79" s="141">
        <f t="shared" ca="1" si="10"/>
        <v>366</v>
      </c>
      <c r="X79" s="141">
        <f t="shared" ca="1" si="6"/>
        <v>26</v>
      </c>
      <c r="Y79" s="177">
        <f t="shared" ca="1" si="11"/>
        <v>25</v>
      </c>
      <c r="Z79" s="178">
        <f t="shared" ca="1" si="7"/>
        <v>6</v>
      </c>
      <c r="AA79" s="141">
        <v>52</v>
      </c>
    </row>
    <row r="80" spans="1:27" x14ac:dyDescent="0.35">
      <c r="A80" s="175">
        <f t="shared" si="12"/>
        <v>53</v>
      </c>
      <c r="B80" s="172">
        <f t="shared" ca="1" si="8"/>
        <v>46809</v>
      </c>
      <c r="C80" s="172">
        <f t="shared" ca="1" si="9"/>
        <v>46809</v>
      </c>
      <c r="D80" s="175">
        <f t="shared" ca="1" si="25"/>
        <v>31</v>
      </c>
      <c r="E80" s="173">
        <f t="shared" ca="1" si="13"/>
        <v>163166.66957306158</v>
      </c>
      <c r="F80" s="173">
        <f ca="1">IF(A79=$D$8,SUM(F$28:F79),IF(A79&gt;$D$8,"",G80+H80))</f>
        <v>26134.70889836779</v>
      </c>
      <c r="G80" s="173">
        <f ca="1">IF(AND(A79="",A81=""),"",IF(A80="",SUM(G$28:G79),IF(A80=$F$8,$G$27-SUM($G$28:G79),$F$14-H80)))</f>
        <v>20837.353725964756</v>
      </c>
      <c r="H80" s="173">
        <f ca="1">IF(A79=$F$8,SUM($H$28:H79),IF(A79&gt;$D$8,"",E79*D80*$F$9/W79))</f>
        <v>5297.355172403034</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9" t="str">
        <f>IF(A79=$D$8,XIRR(U$27:U79,C$27:C79),"")</f>
        <v/>
      </c>
      <c r="T80" s="173" t="str">
        <f t="shared" si="4"/>
        <v/>
      </c>
      <c r="U80" s="173">
        <f t="shared" ca="1" si="15"/>
        <v>26134.70889836779</v>
      </c>
      <c r="V80" s="141">
        <f t="shared" ca="1" si="5"/>
        <v>2028</v>
      </c>
      <c r="W80" s="141">
        <f t="shared" ca="1" si="10"/>
        <v>366</v>
      </c>
      <c r="X80" s="141">
        <f t="shared" ca="1" si="6"/>
        <v>26</v>
      </c>
      <c r="Y80" s="177">
        <f t="shared" ca="1" si="11"/>
        <v>25</v>
      </c>
      <c r="Z80" s="178">
        <f t="shared" ca="1" si="7"/>
        <v>6</v>
      </c>
      <c r="AA80" s="141">
        <v>53</v>
      </c>
    </row>
    <row r="81" spans="1:27" x14ac:dyDescent="0.35">
      <c r="A81" s="175">
        <f t="shared" si="12"/>
        <v>54</v>
      </c>
      <c r="B81" s="172">
        <f t="shared" ca="1" si="8"/>
        <v>46838</v>
      </c>
      <c r="C81" s="172">
        <f t="shared" ca="1" si="9"/>
        <v>46838</v>
      </c>
      <c r="D81" s="175">
        <f t="shared" ca="1" si="25"/>
        <v>29</v>
      </c>
      <c r="E81" s="173">
        <f t="shared" ca="1" si="13"/>
        <v>141426.36006990861</v>
      </c>
      <c r="F81" s="173">
        <f ca="1">IF(A80=$D$8,SUM(F$28:F80),IF(A80&gt;$D$8,"",G81+H81))</f>
        <v>26134.70889836779</v>
      </c>
      <c r="G81" s="173">
        <f ca="1">IF(AND(A80="",A82=""),"",IF(A81="",SUM(G$28:G80),IF(A81=$F$8,$G$27-SUM($G$28:G80),$F$14-H81)))</f>
        <v>21740.309503152966</v>
      </c>
      <c r="H81" s="173">
        <f ca="1">IF(A80=$F$8,SUM($H$28:H80),IF(A80&gt;$D$8,"",E80*D81*$F$9/W80))</f>
        <v>4394.399395214823</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9" t="str">
        <f>IF(A80=$D$8,XIRR(U$27:U80,C$27:C80),"")</f>
        <v/>
      </c>
      <c r="T81" s="173" t="str">
        <f t="shared" si="4"/>
        <v/>
      </c>
      <c r="U81" s="173">
        <f t="shared" ca="1" si="15"/>
        <v>26134.70889836779</v>
      </c>
      <c r="V81" s="141">
        <f t="shared" ca="1" si="5"/>
        <v>2028</v>
      </c>
      <c r="W81" s="141">
        <f t="shared" ca="1" si="10"/>
        <v>366</v>
      </c>
      <c r="X81" s="141">
        <f t="shared" ca="1" si="6"/>
        <v>26</v>
      </c>
      <c r="Y81" s="177">
        <f t="shared" ca="1" si="11"/>
        <v>25</v>
      </c>
      <c r="Z81" s="178">
        <f t="shared" ca="1" si="7"/>
        <v>4</v>
      </c>
      <c r="AA81" s="141">
        <v>54</v>
      </c>
    </row>
    <row r="82" spans="1:27" x14ac:dyDescent="0.35">
      <c r="A82" s="175">
        <f t="shared" si="12"/>
        <v>55</v>
      </c>
      <c r="B82" s="172">
        <f t="shared" ca="1" si="8"/>
        <v>46869</v>
      </c>
      <c r="C82" s="172">
        <f t="shared" ca="1" si="9"/>
        <v>46869</v>
      </c>
      <c r="D82" s="175">
        <f t="shared" ca="1" si="25"/>
        <v>31</v>
      </c>
      <c r="E82" s="173">
        <f t="shared" ca="1" si="13"/>
        <v>119363.22333935671</v>
      </c>
      <c r="F82" s="173">
        <f ca="1">IF(A81=$D$8,SUM(F$28:F81),IF(A81&gt;$D$8,"",G82+H82))</f>
        <v>26134.70889836779</v>
      </c>
      <c r="G82" s="173">
        <f ca="1">IF(AND(A81="",A83=""),"",IF(A82="",SUM(G$28:G81),IF(A82=$F$8,$G$27-SUM($G$28:G81),$F$14-H82)))</f>
        <v>22063.136730551887</v>
      </c>
      <c r="H82" s="173">
        <f ca="1">IF(A81=$F$8,SUM($H$28:H81),IF(A81&gt;$D$8,"",E81*D82*$F$9/W81))</f>
        <v>4071.572167815902</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9" t="str">
        <f>IF(A81=$D$8,XIRR(U$27:U81,C$27:C81),"")</f>
        <v/>
      </c>
      <c r="T82" s="173" t="str">
        <f t="shared" si="4"/>
        <v/>
      </c>
      <c r="U82" s="173">
        <f t="shared" ca="1" si="15"/>
        <v>26134.70889836779</v>
      </c>
      <c r="V82" s="141">
        <f t="shared" ca="1" si="5"/>
        <v>2028</v>
      </c>
      <c r="W82" s="141">
        <f t="shared" ca="1" si="10"/>
        <v>366</v>
      </c>
      <c r="X82" s="141">
        <f t="shared" ca="1" si="6"/>
        <v>26</v>
      </c>
      <c r="Y82" s="177">
        <f t="shared" ca="1" si="11"/>
        <v>25</v>
      </c>
      <c r="Z82" s="178">
        <f t="shared" ca="1" si="7"/>
        <v>6</v>
      </c>
      <c r="AA82" s="141">
        <v>55</v>
      </c>
    </row>
    <row r="83" spans="1:27" x14ac:dyDescent="0.35">
      <c r="A83" s="175">
        <f t="shared" si="12"/>
        <v>56</v>
      </c>
      <c r="B83" s="172">
        <f t="shared" ca="1" si="8"/>
        <v>46899</v>
      </c>
      <c r="C83" s="172">
        <f t="shared" ca="1" si="9"/>
        <v>46899</v>
      </c>
      <c r="D83" s="175">
        <f t="shared" ca="1" si="25"/>
        <v>30</v>
      </c>
      <c r="E83" s="173">
        <f t="shared" ca="1" si="13"/>
        <v>96554.05211418953</v>
      </c>
      <c r="F83" s="173">
        <f ca="1">IF(A82=$D$8,SUM(F$28:F82),IF(A82&gt;$D$8,"",G83+H83))</f>
        <v>26134.70889836779</v>
      </c>
      <c r="G83" s="173">
        <f ca="1">IF(AND(A82="",A84=""),"",IF(A83="",SUM(G$28:G82),IF(A83=$F$8,$G$27-SUM($G$28:G82),$F$14-H83)))</f>
        <v>22809.171225167189</v>
      </c>
      <c r="H83" s="173">
        <f ca="1">IF(A82=$F$8,SUM($H$28:H82),IF(A82&gt;$D$8,"",E82*D83*$F$9/W82))</f>
        <v>3325.5376732006021</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9" t="str">
        <f>IF(A82=$D$8,XIRR(U$27:U82,C$27:C82),"")</f>
        <v/>
      </c>
      <c r="T83" s="173" t="str">
        <f t="shared" si="4"/>
        <v/>
      </c>
      <c r="U83" s="173">
        <f t="shared" ca="1" si="15"/>
        <v>26134.70889836779</v>
      </c>
      <c r="V83" s="141">
        <f t="shared" ca="1" si="5"/>
        <v>2028</v>
      </c>
      <c r="W83" s="141">
        <f t="shared" ca="1" si="10"/>
        <v>366</v>
      </c>
      <c r="X83" s="141">
        <f t="shared" ca="1" si="6"/>
        <v>26</v>
      </c>
      <c r="Y83" s="177">
        <f t="shared" ca="1" si="11"/>
        <v>25</v>
      </c>
      <c r="Z83" s="178">
        <f t="shared" ca="1" si="7"/>
        <v>5</v>
      </c>
      <c r="AA83" s="141">
        <v>56</v>
      </c>
    </row>
    <row r="84" spans="1:27" x14ac:dyDescent="0.35">
      <c r="A84" s="175">
        <f t="shared" si="12"/>
        <v>57</v>
      </c>
      <c r="B84" s="172">
        <f t="shared" ca="1" si="8"/>
        <v>46930</v>
      </c>
      <c r="C84" s="172">
        <f t="shared" ca="1" si="9"/>
        <v>46930</v>
      </c>
      <c r="D84" s="175">
        <f t="shared" ca="1" si="25"/>
        <v>31</v>
      </c>
      <c r="E84" s="173">
        <f t="shared" ca="1" si="13"/>
        <v>73199.071062056726</v>
      </c>
      <c r="F84" s="173">
        <f ca="1">IF(A83=$D$8,SUM(F$28:F83),IF(A83&gt;$D$8,"",G84+H84))</f>
        <v>26134.70889836779</v>
      </c>
      <c r="G84" s="173">
        <f ca="1">IF(AND(A83="",A85=""),"",IF(A84="",SUM(G$28:G83),IF(A84=$F$8,$G$27-SUM($G$28:G83),$F$14-H84)))</f>
        <v>23354.981052132807</v>
      </c>
      <c r="H84" s="173">
        <f ca="1">IF(A83=$F$8,SUM($H$28:H83),IF(A83&gt;$D$8,"",E83*D84*$F$9/W83))</f>
        <v>2779.7278462349823</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9" t="str">
        <f>IF(A83=$D$8,XIRR(U$27:U83,C$27:C83),"")</f>
        <v/>
      </c>
      <c r="T84" s="173" t="str">
        <f t="shared" si="4"/>
        <v/>
      </c>
      <c r="U84" s="173">
        <f t="shared" ca="1" si="15"/>
        <v>26134.70889836779</v>
      </c>
      <c r="V84" s="141">
        <f t="shared" ca="1" si="5"/>
        <v>2028</v>
      </c>
      <c r="W84" s="141">
        <f t="shared" ca="1" si="10"/>
        <v>366</v>
      </c>
      <c r="X84" s="141">
        <f t="shared" ca="1" si="6"/>
        <v>26</v>
      </c>
      <c r="Y84" s="177">
        <f t="shared" ca="1" si="11"/>
        <v>25</v>
      </c>
      <c r="Z84" s="178">
        <f t="shared" ca="1" si="7"/>
        <v>6</v>
      </c>
      <c r="AA84" s="141">
        <v>57</v>
      </c>
    </row>
    <row r="85" spans="1:27" x14ac:dyDescent="0.35">
      <c r="A85" s="175">
        <f t="shared" si="12"/>
        <v>58</v>
      </c>
      <c r="B85" s="172">
        <f t="shared" ca="1" si="8"/>
        <v>46960</v>
      </c>
      <c r="C85" s="172">
        <f t="shared" ca="1" si="9"/>
        <v>46960</v>
      </c>
      <c r="D85" s="175">
        <f t="shared" ca="1" si="25"/>
        <v>30</v>
      </c>
      <c r="E85" s="173">
        <f t="shared" ca="1" si="13"/>
        <v>49103.736282868696</v>
      </c>
      <c r="F85" s="173">
        <f ca="1">IF(A84=$D$8,SUM(F$28:F84),IF(A84&gt;$D$8,"",G85+H85))</f>
        <v>26134.70889836779</v>
      </c>
      <c r="G85" s="173">
        <f ca="1">IF(AND(A84="",A86=""),"",IF(A85="",SUM(G$28:G84),IF(A85=$F$8,$G$27-SUM($G$28:G84),$F$14-H85)))</f>
        <v>24095.33477918803</v>
      </c>
      <c r="H85" s="173">
        <f ca="1">IF(A84=$F$8,SUM($H$28:H84),IF(A84&gt;$D$8,"",E84*D85*$F$9/W84))</f>
        <v>2039.3741191797603</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9" t="str">
        <f>IF(A84=$D$8,XIRR(U$27:U84,C$27:C84),"")</f>
        <v/>
      </c>
      <c r="T85" s="173" t="str">
        <f t="shared" si="4"/>
        <v/>
      </c>
      <c r="U85" s="173">
        <f t="shared" ca="1" si="15"/>
        <v>26134.70889836779</v>
      </c>
      <c r="V85" s="141">
        <f t="shared" ca="1" si="5"/>
        <v>2028</v>
      </c>
      <c r="W85" s="141">
        <f t="shared" ca="1" si="10"/>
        <v>366</v>
      </c>
      <c r="X85" s="141">
        <f t="shared" ca="1" si="6"/>
        <v>26</v>
      </c>
      <c r="Y85" s="177">
        <f t="shared" ca="1" si="11"/>
        <v>25</v>
      </c>
      <c r="Z85" s="178">
        <f t="shared" ca="1" si="7"/>
        <v>5</v>
      </c>
      <c r="AA85" s="141">
        <v>58</v>
      </c>
    </row>
    <row r="86" spans="1:27" x14ac:dyDescent="0.35">
      <c r="A86" s="175">
        <f t="shared" si="12"/>
        <v>59</v>
      </c>
      <c r="B86" s="172">
        <f t="shared" ca="1" si="8"/>
        <v>46991</v>
      </c>
      <c r="C86" s="172">
        <f t="shared" ca="1" si="9"/>
        <v>46991</v>
      </c>
      <c r="D86" s="175">
        <f t="shared" ca="1" si="25"/>
        <v>31</v>
      </c>
      <c r="E86" s="173">
        <f t="shared" ca="1" si="13"/>
        <v>24382.691752913364</v>
      </c>
      <c r="F86" s="173">
        <f ca="1">IF(A85=$D$8,SUM(F$28:F85),IF(A85&gt;$D$8,"",G86+H86))</f>
        <v>26134.70889836779</v>
      </c>
      <c r="G86" s="173">
        <f ca="1">IF(AND(A85="",A87=""),"",IF(A86="",SUM(G$28:G85),IF(A86=$F$8,$G$27-SUM($G$28:G85),$F$14-H86)))</f>
        <v>24721.044529955332</v>
      </c>
      <c r="H86" s="173">
        <f ca="1">IF(A85=$F$8,SUM($H$28:H85),IF(A85&gt;$D$8,"",E85*D86*$F$9/W85))</f>
        <v>1413.6643684124567</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9" t="str">
        <f>IF(A85=$D$8,XIRR(U$27:U85,C$27:C85),"")</f>
        <v/>
      </c>
      <c r="T86" s="173" t="str">
        <f t="shared" si="4"/>
        <v/>
      </c>
      <c r="U86" s="173">
        <f t="shared" ca="1" si="15"/>
        <v>26134.70889836779</v>
      </c>
      <c r="V86" s="141">
        <f t="shared" ca="1" si="5"/>
        <v>2028</v>
      </c>
      <c r="W86" s="141">
        <f t="shared" ca="1" si="10"/>
        <v>366</v>
      </c>
      <c r="X86" s="141">
        <f t="shared" ca="1" si="6"/>
        <v>26</v>
      </c>
      <c r="Y86" s="177">
        <f t="shared" ca="1" si="11"/>
        <v>25</v>
      </c>
      <c r="Z86" s="178">
        <f t="shared" ca="1" si="7"/>
        <v>6</v>
      </c>
      <c r="AA86" s="141">
        <v>59</v>
      </c>
    </row>
    <row r="87" spans="1:27" x14ac:dyDescent="0.35">
      <c r="A87" s="175">
        <f t="shared" si="12"/>
        <v>60</v>
      </c>
      <c r="B87" s="172">
        <f t="shared" ca="1" si="8"/>
        <v>47022</v>
      </c>
      <c r="C87" s="172">
        <f t="shared" ca="1" si="9"/>
        <v>47021</v>
      </c>
      <c r="D87" s="175">
        <f t="shared" ca="1" si="25"/>
        <v>30</v>
      </c>
      <c r="E87" s="173">
        <f t="shared" ca="1" si="13"/>
        <v>7.2759576141834259E-11</v>
      </c>
      <c r="F87" s="173">
        <f ca="1">IF(A86=$D$8,SUM(F$28:F86),IF(A86&gt;$D$8,"",G87+H87))</f>
        <v>25062.009533799788</v>
      </c>
      <c r="G87" s="173">
        <f ca="1">IF(AND(A86="",A88=""),"",IF(A87="",SUM(G$28:G86),IF(A87=$F$8,$G$27-SUM($G$28:G86),$F$14-H87)))</f>
        <v>24382.691752913292</v>
      </c>
      <c r="H87" s="173">
        <f ca="1">IF(A86=$F$8,SUM($H$28:H86),IF(A86&gt;$D$8,"",E86*D87*$F$9/W86))</f>
        <v>679.31778088649617</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9" t="str">
        <f>IF(A86=$D$8,XIRR(U$27:U86,C$27:C86),"")</f>
        <v/>
      </c>
      <c r="T87" s="173" t="str">
        <f t="shared" si="4"/>
        <v/>
      </c>
      <c r="U87" s="173">
        <f t="shared" ca="1" si="15"/>
        <v>25062.009533799788</v>
      </c>
      <c r="V87" s="141">
        <f t="shared" ca="1" si="5"/>
        <v>2028</v>
      </c>
      <c r="W87" s="141">
        <f t="shared" ca="1" si="10"/>
        <v>366</v>
      </c>
      <c r="X87" s="141">
        <f t="shared" ca="1" si="6"/>
        <v>25</v>
      </c>
      <c r="Y87" s="177">
        <f t="shared" ca="1" si="11"/>
        <v>24</v>
      </c>
      <c r="Z87" s="178">
        <f t="shared" ca="1" si="7"/>
        <v>6</v>
      </c>
      <c r="AA87" s="141">
        <v>60</v>
      </c>
    </row>
    <row r="88" spans="1:27" x14ac:dyDescent="0.35">
      <c r="A88" s="175" t="str">
        <f t="shared" si="12"/>
        <v/>
      </c>
      <c r="B88" s="172">
        <f t="shared" ca="1" si="8"/>
        <v>47052</v>
      </c>
      <c r="C88" s="172" t="str">
        <f t="shared" ca="1" si="9"/>
        <v xml:space="preserve"> </v>
      </c>
      <c r="D88" s="175" t="str">
        <f t="shared" si="25"/>
        <v/>
      </c>
      <c r="E88" s="173">
        <f t="shared" ref="E88" ca="1" si="37">E87-G88</f>
        <v>-749999.99999999988</v>
      </c>
      <c r="F88" s="173">
        <f ca="1">IF(A87=$D$8,SUM(F$28:F87),IF(A87&gt;$D$8,"",G88+H88))</f>
        <v>1567009.8345375005</v>
      </c>
      <c r="G88" s="173">
        <f ca="1">IF(AND(A87="",A89=""),"",IF(A88="",SUM(G$28:G87),IF(A88=$F$8,$G$27-SUM($G$28:G87),$F$14-H88)))</f>
        <v>750000</v>
      </c>
      <c r="H88" s="173">
        <f ca="1">IF(A87=$F$8,SUM($H$28:H87),IF(A87&gt;$D$8,"",E87*D88*$F$9/W87))</f>
        <v>817009.83453749935</v>
      </c>
      <c r="I88" s="173">
        <f t="shared" si="26"/>
        <v>0</v>
      </c>
      <c r="J88" s="173">
        <f t="shared" si="27"/>
        <v>0</v>
      </c>
      <c r="K88" s="173">
        <f t="shared" si="30"/>
        <v>14925</v>
      </c>
      <c r="L88" s="173">
        <f>IF($F$8&gt;60,($R$14),IF(A87=$F$8,L76+L64+L52+L40+L27,""))</f>
        <v>0</v>
      </c>
      <c r="M88" s="173">
        <f t="shared" si="31"/>
        <v>0</v>
      </c>
      <c r="N88" s="173">
        <f t="shared" si="32"/>
        <v>0</v>
      </c>
      <c r="O88" s="173">
        <f t="shared" si="33"/>
        <v>0</v>
      </c>
      <c r="P88" s="173">
        <f t="shared" si="24"/>
        <v>0</v>
      </c>
      <c r="Q88" s="173">
        <f>IF($F$8&gt;60,($S$8+$S$10),IF($A$87=$F$8,$Q$40+$Q$27+$Q$52+$Q$64+$Q$76,""))</f>
        <v>0</v>
      </c>
      <c r="R88" s="173">
        <f t="shared" si="29"/>
        <v>0</v>
      </c>
      <c r="S88" s="249">
        <f ca="1">IF(A87=$D$8,XIRR(U$27:U87,C$27:C87),"")</f>
        <v>0.41282240748405463</v>
      </c>
      <c r="T88" s="173">
        <f t="shared" ca="1" si="4"/>
        <v>1581934.8345374994</v>
      </c>
      <c r="U88" s="173">
        <f t="shared" ca="1" si="15"/>
        <v>3163870.0818974059</v>
      </c>
      <c r="V88" s="141" t="e">
        <f t="shared" ca="1" si="5"/>
        <v>#VALUE!</v>
      </c>
      <c r="W88" s="141" t="e">
        <f t="shared" ca="1" si="10"/>
        <v>#VALUE!</v>
      </c>
      <c r="X88" s="141" t="e">
        <f t="shared" ca="1" si="6"/>
        <v>#VALUE!</v>
      </c>
      <c r="Y88" s="177" t="e">
        <f t="shared" ref="Y88:Y111" ca="1" si="38">X88-1</f>
        <v>#VALUE!</v>
      </c>
      <c r="Z88" s="178" t="e">
        <f t="shared" ca="1" si="7"/>
        <v>#VALUE!</v>
      </c>
      <c r="AA88" s="141">
        <v>61</v>
      </c>
    </row>
    <row r="89" spans="1:27" x14ac:dyDescent="0.35">
      <c r="A89" s="175" t="str">
        <f t="shared" si="12"/>
        <v/>
      </c>
      <c r="B89" s="172">
        <f t="shared" ca="1" si="8"/>
        <v>47083</v>
      </c>
      <c r="C89" s="172" t="str">
        <f t="shared" ca="1" si="9"/>
        <v xml:space="preserve"> </v>
      </c>
      <c r="D89" s="175" t="str">
        <f t="shared" si="25"/>
        <v/>
      </c>
      <c r="E89" s="173" t="e">
        <f t="shared" ref="E89:E91" ca="1" si="39">E88-H89</f>
        <v>#VALUE!</v>
      </c>
      <c r="F89" s="173" t="str">
        <f>IF(A88=$D$8,SUM(F$28:F88),IF(A88&gt;$D$8,"",G89+H89))</f>
        <v/>
      </c>
      <c r="G89" s="173" t="str">
        <f>IF(A88=$D$8,ROUND(SUM($G$28:G88),2),IF(A89&gt;$F$8,"",IF(W89&lt;&gt;W88,ROUND(SUM(Y89*$E$12*E88/W89,Z89*$E$12*E88/W88),2),ROUND(E88*$E$12*D89/W88,2))))</f>
        <v/>
      </c>
      <c r="H89" s="173" t="str">
        <f>IF(AND(A88="",A90=""),"",IF(A89="",ROUND(SUM($H$28:H88),2),IF(A89=$D$8,$H$27-ROUND(SUM($H$28:H88),2),ROUND($H$27/$D$8,2))))</f>
        <v/>
      </c>
      <c r="I89" s="173" t="str">
        <f t="shared" si="26"/>
        <v/>
      </c>
      <c r="J89" s="173" t="str">
        <f t="shared" si="27"/>
        <v/>
      </c>
      <c r="K89" s="173" t="str">
        <f t="shared" ref="K89:K96" si="40">IF(A88=$D$8,$K$27,"")</f>
        <v/>
      </c>
      <c r="L89" s="173" t="str">
        <f t="shared" ref="L89:L104" si="41">IF(A88=$F$8,$L$27,"")</f>
        <v/>
      </c>
      <c r="M89" s="173" t="str">
        <f t="shared" si="31"/>
        <v/>
      </c>
      <c r="N89" s="173" t="str">
        <f t="shared" si="32"/>
        <v/>
      </c>
      <c r="O89" s="173" t="str">
        <f t="shared" si="33"/>
        <v/>
      </c>
      <c r="P89" s="173" t="str">
        <f t="shared" si="24"/>
        <v/>
      </c>
      <c r="Q89" s="173" t="str">
        <f t="shared" ref="Q89:Q99" si="42">IF(A88=$D$8,$Q$27,"")</f>
        <v/>
      </c>
      <c r="R89" s="173" t="str">
        <f t="shared" si="29"/>
        <v/>
      </c>
      <c r="S89" s="176" t="str">
        <f>IF(A88=$D$8,XIRR(U$27:U88,C$27:C88),"")</f>
        <v/>
      </c>
      <c r="T89" s="173" t="str">
        <f t="shared" si="4"/>
        <v/>
      </c>
      <c r="U89" s="173">
        <f t="shared" si="15"/>
        <v>0</v>
      </c>
      <c r="V89" s="141" t="e">
        <f t="shared" ca="1" si="5"/>
        <v>#VALUE!</v>
      </c>
      <c r="W89" s="141" t="e">
        <f t="shared" ca="1" si="10"/>
        <v>#VALUE!</v>
      </c>
      <c r="X89" s="141" t="e">
        <f t="shared" ca="1" si="6"/>
        <v>#VALUE!</v>
      </c>
      <c r="Y89" s="177" t="e">
        <f t="shared" ca="1" si="38"/>
        <v>#VALUE!</v>
      </c>
      <c r="Z89" s="178" t="e">
        <f t="shared" ca="1" si="7"/>
        <v>#VALUE!</v>
      </c>
      <c r="AA89" s="141">
        <v>62</v>
      </c>
    </row>
    <row r="90" spans="1:27" x14ac:dyDescent="0.35">
      <c r="A90" s="175" t="str">
        <f t="shared" si="12"/>
        <v/>
      </c>
      <c r="B90" s="172">
        <f t="shared" ca="1" si="8"/>
        <v>47113</v>
      </c>
      <c r="C90" s="172" t="str">
        <f t="shared" ca="1" si="9"/>
        <v xml:space="preserve"> </v>
      </c>
      <c r="D90" s="175" t="str">
        <f t="shared" si="25"/>
        <v/>
      </c>
      <c r="E90" s="173" t="e">
        <f t="shared" ca="1" si="39"/>
        <v>#VALUE!</v>
      </c>
      <c r="F90" s="173" t="str">
        <f>IF(A89=$D$8,SUM(F$28:F89),IF(A89&gt;$D$8,"",G90+H90))</f>
        <v/>
      </c>
      <c r="G90" s="173" t="str">
        <f>IF(A89=$D$8,ROUND(SUM($G$28:G89),2),IF(A90&gt;$F$8,"",IF(W90&lt;&gt;W89,ROUND(SUM(Y90*$E$12*E89/W90,Z90*$E$12*E89/W89),2),ROUND(E89*$E$12*D90/W89,2))))</f>
        <v/>
      </c>
      <c r="H90" s="173" t="str">
        <f>IF(AND(A89="",A91=""),"",IF(A90="",ROUND(SUM($H$28:H89),2),IF(A90=$D$8,$H$27-ROUND(SUM($H$28:H89),2),ROUND($H$27/$D$8,2))))</f>
        <v/>
      </c>
      <c r="I90" s="173" t="str">
        <f t="shared" si="26"/>
        <v/>
      </c>
      <c r="J90" s="173" t="str">
        <f t="shared" si="27"/>
        <v/>
      </c>
      <c r="K90" s="173" t="str">
        <f t="shared" si="40"/>
        <v/>
      </c>
      <c r="L90" s="173" t="str">
        <f t="shared" si="41"/>
        <v/>
      </c>
      <c r="M90" s="173" t="str">
        <f t="shared" si="31"/>
        <v/>
      </c>
      <c r="N90" s="173" t="str">
        <f t="shared" si="32"/>
        <v/>
      </c>
      <c r="O90" s="173" t="str">
        <f t="shared" si="33"/>
        <v/>
      </c>
      <c r="P90" s="173" t="str">
        <f t="shared" si="24"/>
        <v/>
      </c>
      <c r="Q90" s="173" t="str">
        <f t="shared" si="42"/>
        <v/>
      </c>
      <c r="R90" s="173" t="str">
        <f t="shared" si="29"/>
        <v/>
      </c>
      <c r="S90" s="176" t="str">
        <f>IF(A89=$D$8,XIRR(U$27:U89,C$27:C89),"")</f>
        <v/>
      </c>
      <c r="T90" s="173" t="str">
        <f t="shared" si="4"/>
        <v/>
      </c>
      <c r="U90" s="173">
        <f t="shared" si="15"/>
        <v>0</v>
      </c>
      <c r="V90" s="141" t="e">
        <f t="shared" ca="1" si="5"/>
        <v>#VALUE!</v>
      </c>
      <c r="W90" s="141" t="e">
        <f t="shared" ca="1" si="10"/>
        <v>#VALUE!</v>
      </c>
      <c r="X90" s="141" t="e">
        <f t="shared" ca="1" si="6"/>
        <v>#VALUE!</v>
      </c>
      <c r="Y90" s="177" t="e">
        <f t="shared" ca="1" si="38"/>
        <v>#VALUE!</v>
      </c>
      <c r="Z90" s="178" t="e">
        <f t="shared" ca="1" si="7"/>
        <v>#VALUE!</v>
      </c>
      <c r="AA90" s="141">
        <v>63</v>
      </c>
    </row>
    <row r="91" spans="1:27" x14ac:dyDescent="0.35">
      <c r="A91" s="175" t="str">
        <f t="shared" si="12"/>
        <v/>
      </c>
      <c r="B91" s="172">
        <f t="shared" ca="1" si="8"/>
        <v>47144</v>
      </c>
      <c r="C91" s="172" t="str">
        <f t="shared" ca="1" si="9"/>
        <v xml:space="preserve"> </v>
      </c>
      <c r="D91" s="175" t="str">
        <f t="shared" si="25"/>
        <v/>
      </c>
      <c r="E91" s="173" t="e">
        <f t="shared" ca="1" si="39"/>
        <v>#VALUE!</v>
      </c>
      <c r="F91" s="173" t="str">
        <f>IF(A90=$D$8,SUM(F$28:F90),IF(A90&gt;$D$8,"",G91+H91))</f>
        <v/>
      </c>
      <c r="G91" s="173" t="str">
        <f>IF(A90=$D$8,ROUND(SUM($G$28:G90),2),IF(A91&gt;$F$8,"",IF(W91&lt;&gt;W90,ROUND(SUM(Y91*$E$12*E90/W91,Z91*$E$12*E90/W90),2),ROUND(E90*$E$12*D91/W90,2))))</f>
        <v/>
      </c>
      <c r="H91" s="173" t="str">
        <f>IF(AND(A90="",A92=""),"",IF(A91="",ROUND(SUM($H$28:H90),2),IF(A91=$D$8,$H$27-ROUND(SUM($H$28:H90),2),ROUND($H$27/$D$8,2))))</f>
        <v/>
      </c>
      <c r="I91" s="173" t="str">
        <f t="shared" si="26"/>
        <v/>
      </c>
      <c r="J91" s="173" t="str">
        <f t="shared" si="27"/>
        <v/>
      </c>
      <c r="K91" s="173" t="str">
        <f t="shared" si="40"/>
        <v/>
      </c>
      <c r="L91" s="173" t="str">
        <f t="shared" si="41"/>
        <v/>
      </c>
      <c r="M91" s="173" t="str">
        <f t="shared" si="31"/>
        <v/>
      </c>
      <c r="N91" s="173" t="str">
        <f t="shared" si="32"/>
        <v/>
      </c>
      <c r="O91" s="173" t="str">
        <f t="shared" si="33"/>
        <v/>
      </c>
      <c r="P91" s="173" t="str">
        <f t="shared" si="24"/>
        <v/>
      </c>
      <c r="Q91" s="173" t="str">
        <f t="shared" si="42"/>
        <v/>
      </c>
      <c r="R91" s="173" t="str">
        <f t="shared" si="29"/>
        <v/>
      </c>
      <c r="S91" s="176" t="str">
        <f>IF(A90=$D$8,XIRR(U$27:U90,C$27:C90),"")</f>
        <v/>
      </c>
      <c r="T91" s="173" t="str">
        <f t="shared" si="4"/>
        <v/>
      </c>
      <c r="U91" s="173">
        <f t="shared" si="15"/>
        <v>0</v>
      </c>
      <c r="V91" s="141" t="e">
        <f t="shared" ca="1" si="5"/>
        <v>#VALUE!</v>
      </c>
      <c r="W91" s="141" t="e">
        <f t="shared" ca="1" si="10"/>
        <v>#VALUE!</v>
      </c>
      <c r="X91" s="141" t="e">
        <f t="shared" ca="1" si="6"/>
        <v>#VALUE!</v>
      </c>
      <c r="Y91" s="177" t="e">
        <f t="shared" ca="1" si="38"/>
        <v>#VALUE!</v>
      </c>
      <c r="Z91" s="178" t="e">
        <f t="shared" ca="1" si="7"/>
        <v>#VALUE!</v>
      </c>
      <c r="AA91" s="141">
        <v>64</v>
      </c>
    </row>
    <row r="92" spans="1:27" x14ac:dyDescent="0.35">
      <c r="A92" s="175" t="str">
        <f t="shared" si="12"/>
        <v/>
      </c>
      <c r="B92" s="172">
        <f t="shared" ca="1" si="8"/>
        <v>47175</v>
      </c>
      <c r="C92" s="172" t="str">
        <f t="shared" ca="1" si="9"/>
        <v xml:space="preserve"> </v>
      </c>
      <c r="D92" s="175" t="str">
        <f t="shared" si="25"/>
        <v/>
      </c>
      <c r="E92" s="173" t="e">
        <f t="shared" ref="E92:E155" ca="1" si="43">E91-H92</f>
        <v>#VALUE!</v>
      </c>
      <c r="F92" s="173" t="str">
        <f>IF(A91=$D$8,SUM(F$28:F91),IF(A91&gt;$D$8,"",G92+H92))</f>
        <v/>
      </c>
      <c r="G92" s="173" t="str">
        <f>IF(A91=$D$8,ROUND(SUM($G$28:G91),2),IF(A92&gt;$F$8,"",IF(W92&lt;&gt;W91,ROUND(SUM(Y92*$E$12*E91/W92,Z92*$E$12*E91/W91),2),ROUND(E91*$E$12*D92/W91,2))))</f>
        <v/>
      </c>
      <c r="H92" s="173" t="str">
        <f>IF(AND(A91="",A93=""),"",IF(A92="",ROUND(SUM($H$28:H91),2),IF(A92=$D$8,$H$27-ROUND(SUM($H$28:H91),2),ROUND($H$27/$D$8,2))))</f>
        <v/>
      </c>
      <c r="I92" s="173" t="str">
        <f t="shared" si="26"/>
        <v/>
      </c>
      <c r="J92" s="173" t="str">
        <f t="shared" si="27"/>
        <v/>
      </c>
      <c r="K92" s="173" t="str">
        <f t="shared" si="40"/>
        <v/>
      </c>
      <c r="L92" s="173" t="str">
        <f t="shared" si="41"/>
        <v/>
      </c>
      <c r="M92" s="173" t="str">
        <f t="shared" si="31"/>
        <v/>
      </c>
      <c r="N92" s="173" t="str">
        <f t="shared" si="32"/>
        <v/>
      </c>
      <c r="O92" s="173" t="str">
        <f t="shared" si="33"/>
        <v/>
      </c>
      <c r="P92" s="173" t="str">
        <f t="shared" si="24"/>
        <v/>
      </c>
      <c r="Q92" s="173" t="str">
        <f t="shared" si="42"/>
        <v/>
      </c>
      <c r="R92" s="173" t="str">
        <f t="shared" si="29"/>
        <v/>
      </c>
      <c r="S92" s="176" t="str">
        <f>IF(A91=$D$8,XIRR(U$27:U91,C$27:C91),"")</f>
        <v/>
      </c>
      <c r="T92" s="173" t="str">
        <f t="shared" ref="T92:T155" si="44">IF(A91=$D$8,G92+P92+H92+I92+J92+K92+L92+Q92+R92,"")</f>
        <v/>
      </c>
      <c r="U92" s="173">
        <f t="shared" si="15"/>
        <v>0</v>
      </c>
      <c r="V92" s="141" t="e">
        <f t="shared" ref="V92:V155" ca="1" si="45">IF(C92="","",YEAR(C92))</f>
        <v>#VALUE!</v>
      </c>
      <c r="W92" s="141" t="e">
        <f t="shared" ca="1" si="10"/>
        <v>#VALUE!</v>
      </c>
      <c r="X92" s="141" t="e">
        <f t="shared" ref="X92:X155" ca="1" si="46">IF(C92="","",DAY(C92))</f>
        <v>#VALUE!</v>
      </c>
      <c r="Y92" s="177" t="e">
        <f t="shared" ca="1" si="38"/>
        <v>#VALUE!</v>
      </c>
      <c r="Z92" s="178" t="e">
        <f t="shared" ref="Z92:Z155" ca="1" si="47">D92-Y92</f>
        <v>#VALUE!</v>
      </c>
      <c r="AA92" s="141">
        <v>65</v>
      </c>
    </row>
    <row r="93" spans="1:27" x14ac:dyDescent="0.35">
      <c r="A93" s="175" t="str">
        <f t="shared" si="12"/>
        <v/>
      </c>
      <c r="B93" s="172">
        <f t="shared" ref="B93:B156" ca="1" si="48">EDATE($B$27,AA93)</f>
        <v>47203</v>
      </c>
      <c r="C93" s="172" t="str">
        <f t="shared" ref="C93:C156" ca="1" si="49">IF(B93=$D$10,B93-1,(IF(B93&gt;$D$10," ",B93)))</f>
        <v xml:space="preserve"> </v>
      </c>
      <c r="D93" s="175" t="str">
        <f t="shared" si="25"/>
        <v/>
      </c>
      <c r="E93" s="173" t="e">
        <f t="shared" ca="1" si="43"/>
        <v>#VALUE!</v>
      </c>
      <c r="F93" s="173" t="str">
        <f>IF(A92=$D$8,SUM(F$28:F92),IF(A92&gt;$D$8,"",G93+H93))</f>
        <v/>
      </c>
      <c r="G93" s="173" t="str">
        <f>IF(A92=$D$8,ROUND(SUM($G$28:G92),2),IF(A93&gt;$F$8,"",IF(W93&lt;&gt;W92,ROUND(SUM(Y93*$E$12*E92/W93,Z93*$E$12*E92/W92),2),ROUND(E92*$E$12*D93/W92,2))))</f>
        <v/>
      </c>
      <c r="H93" s="173" t="str">
        <f>IF(AND(A92="",A94=""),"",IF(A93="",ROUND(SUM($H$28:H92),2),IF(A93=$D$8,$H$27-ROUND(SUM($H$28:H92),2),ROUND($H$27/$D$8,2))))</f>
        <v/>
      </c>
      <c r="I93" s="173" t="str">
        <f t="shared" si="26"/>
        <v/>
      </c>
      <c r="J93" s="173" t="str">
        <f t="shared" si="27"/>
        <v/>
      </c>
      <c r="K93" s="173" t="str">
        <f t="shared" si="40"/>
        <v/>
      </c>
      <c r="L93" s="173" t="str">
        <f t="shared" si="41"/>
        <v/>
      </c>
      <c r="M93" s="173" t="str">
        <f t="shared" si="31"/>
        <v/>
      </c>
      <c r="N93" s="173" t="str">
        <f t="shared" si="32"/>
        <v/>
      </c>
      <c r="O93" s="173" t="str">
        <f t="shared" si="33"/>
        <v/>
      </c>
      <c r="P93" s="173" t="str">
        <f t="shared" si="24"/>
        <v/>
      </c>
      <c r="Q93" s="173" t="str">
        <f t="shared" si="42"/>
        <v/>
      </c>
      <c r="R93" s="173" t="str">
        <f t="shared" si="29"/>
        <v/>
      </c>
      <c r="S93" s="176" t="str">
        <f>IF(A92=$D$8,XIRR(U$27:U92,C$27:C92),"")</f>
        <v/>
      </c>
      <c r="T93" s="173" t="str">
        <f t="shared" si="44"/>
        <v/>
      </c>
      <c r="U93" s="173">
        <f t="shared" si="15"/>
        <v>0</v>
      </c>
      <c r="V93" s="141" t="e">
        <f t="shared" ca="1" si="45"/>
        <v>#VALUE!</v>
      </c>
      <c r="W93" s="141" t="e">
        <f t="shared" ref="W93:W156" ca="1" si="50">IF(OR(V93=2024,V93=2028,V93=2016,V93=2020,V93=2024,V93=2028,V93=2032,V93=2036,V93=2040),366,365)</f>
        <v>#VALUE!</v>
      </c>
      <c r="X93" s="141" t="e">
        <f t="shared" ca="1" si="46"/>
        <v>#VALUE!</v>
      </c>
      <c r="Y93" s="177" t="e">
        <f t="shared" ca="1" si="38"/>
        <v>#VALUE!</v>
      </c>
      <c r="Z93" s="178" t="e">
        <f t="shared" ca="1" si="47"/>
        <v>#VALUE!</v>
      </c>
      <c r="AA93" s="141">
        <v>66</v>
      </c>
    </row>
    <row r="94" spans="1:27" x14ac:dyDescent="0.35">
      <c r="A94" s="175" t="str">
        <f t="shared" ref="A94:A157" si="51">IF(A93&lt;$D$8,A93+1,"")</f>
        <v/>
      </c>
      <c r="B94" s="172">
        <f t="shared" ca="1" si="48"/>
        <v>47234</v>
      </c>
      <c r="C94" s="172" t="str">
        <f t="shared" ca="1" si="49"/>
        <v xml:space="preserve"> </v>
      </c>
      <c r="D94" s="175" t="str">
        <f t="shared" si="25"/>
        <v/>
      </c>
      <c r="E94" s="173" t="e">
        <f t="shared" ca="1" si="43"/>
        <v>#VALUE!</v>
      </c>
      <c r="F94" s="173" t="str">
        <f>IF(A93=$D$8,SUM(F$28:F93),IF(A93&gt;$D$8,"",G94+H94))</f>
        <v/>
      </c>
      <c r="G94" s="173" t="str">
        <f>IF(A93=$D$8,ROUND(SUM($G$28:G93),2),IF(A94&gt;$F$8,"",IF(W94&lt;&gt;W93,ROUND(SUM(Y94*$E$12*E93/W94,Z94*$E$12*E93/W93),2),ROUND(E93*$E$12*D94/W93,2))))</f>
        <v/>
      </c>
      <c r="H94" s="173" t="str">
        <f>IF(AND(A93="",A95=""),"",IF(A94="",ROUND(SUM($H$28:H93),2),IF(A94=$D$8,$H$27-ROUND(SUM($H$28:H93),2),ROUND($H$27/$D$8,2))))</f>
        <v/>
      </c>
      <c r="I94" s="173" t="str">
        <f t="shared" si="26"/>
        <v/>
      </c>
      <c r="J94" s="173" t="str">
        <f t="shared" si="27"/>
        <v/>
      </c>
      <c r="K94" s="173" t="str">
        <f t="shared" si="40"/>
        <v/>
      </c>
      <c r="L94" s="173" t="str">
        <f t="shared" si="41"/>
        <v/>
      </c>
      <c r="M94" s="173" t="str">
        <f t="shared" si="31"/>
        <v/>
      </c>
      <c r="N94" s="173" t="str">
        <f t="shared" si="32"/>
        <v/>
      </c>
      <c r="O94" s="173" t="str">
        <f t="shared" si="33"/>
        <v/>
      </c>
      <c r="P94" s="173" t="str">
        <f t="shared" si="24"/>
        <v/>
      </c>
      <c r="Q94" s="173" t="str">
        <f t="shared" si="42"/>
        <v/>
      </c>
      <c r="R94" s="173" t="str">
        <f t="shared" si="29"/>
        <v/>
      </c>
      <c r="S94" s="176" t="str">
        <f>IF(A93=$D$8,XIRR(U$27:U93,C$27:C93),"")</f>
        <v/>
      </c>
      <c r="T94" s="173" t="str">
        <f t="shared" si="44"/>
        <v/>
      </c>
      <c r="U94" s="173">
        <f t="shared" ref="U94:U157" si="52">SUM(G94:T94)</f>
        <v>0</v>
      </c>
      <c r="V94" s="141" t="e">
        <f t="shared" ca="1" si="45"/>
        <v>#VALUE!</v>
      </c>
      <c r="W94" s="141" t="e">
        <f t="shared" ca="1" si="50"/>
        <v>#VALUE!</v>
      </c>
      <c r="X94" s="141" t="e">
        <f t="shared" ca="1" si="46"/>
        <v>#VALUE!</v>
      </c>
      <c r="Y94" s="177" t="e">
        <f t="shared" ca="1" si="38"/>
        <v>#VALUE!</v>
      </c>
      <c r="Z94" s="178" t="e">
        <f t="shared" ca="1" si="47"/>
        <v>#VALUE!</v>
      </c>
      <c r="AA94" s="141">
        <v>67</v>
      </c>
    </row>
    <row r="95" spans="1:27" x14ac:dyDescent="0.35">
      <c r="A95" s="175" t="str">
        <f t="shared" si="51"/>
        <v/>
      </c>
      <c r="B95" s="172">
        <f t="shared" ca="1" si="48"/>
        <v>47264</v>
      </c>
      <c r="C95" s="172" t="str">
        <f t="shared" ca="1" si="49"/>
        <v xml:space="preserve"> </v>
      </c>
      <c r="D95" s="175" t="str">
        <f t="shared" si="25"/>
        <v/>
      </c>
      <c r="E95" s="173" t="e">
        <f t="shared" ca="1" si="43"/>
        <v>#VALUE!</v>
      </c>
      <c r="F95" s="173" t="str">
        <f>IF(A94=$D$8,SUM(F$28:F94),IF(A94&gt;$D$8,"",G95+H95))</f>
        <v/>
      </c>
      <c r="G95" s="173" t="str">
        <f>IF(A94=$D$8,ROUND(SUM($G$28:G94),2),IF(A95&gt;$F$8,"",IF(W95&lt;&gt;W94,ROUND(SUM(Y95*$E$12*E94/W95,Z95*$E$12*E94/W94),2),ROUND(E94*$E$12*D95/W94,2))))</f>
        <v/>
      </c>
      <c r="H95" s="173" t="str">
        <f>IF(AND(A94="",A96=""),"",IF(A95="",ROUND(SUM($H$28:H94),2),IF(A95=$D$8,$H$27-ROUND(SUM($H$28:H94),2),ROUND($H$27/$D$8,2))))</f>
        <v/>
      </c>
      <c r="I95" s="173" t="str">
        <f t="shared" si="26"/>
        <v/>
      </c>
      <c r="J95" s="173" t="str">
        <f t="shared" si="27"/>
        <v/>
      </c>
      <c r="K95" s="173" t="str">
        <f t="shared" si="40"/>
        <v/>
      </c>
      <c r="L95" s="173" t="str">
        <f t="shared" si="41"/>
        <v/>
      </c>
      <c r="M95" s="173" t="str">
        <f t="shared" si="31"/>
        <v/>
      </c>
      <c r="N95" s="173" t="str">
        <f t="shared" si="32"/>
        <v/>
      </c>
      <c r="O95" s="173" t="str">
        <f t="shared" si="33"/>
        <v/>
      </c>
      <c r="P95" s="173" t="str">
        <f t="shared" si="24"/>
        <v/>
      </c>
      <c r="Q95" s="173" t="str">
        <f t="shared" si="42"/>
        <v/>
      </c>
      <c r="R95" s="173" t="str">
        <f t="shared" si="29"/>
        <v/>
      </c>
      <c r="S95" s="176" t="str">
        <f>IF(A94=$D$8,XIRR(U$27:U94,C$27:C94),"")</f>
        <v/>
      </c>
      <c r="T95" s="173" t="str">
        <f t="shared" si="44"/>
        <v/>
      </c>
      <c r="U95" s="173">
        <f t="shared" si="52"/>
        <v>0</v>
      </c>
      <c r="V95" s="141" t="e">
        <f t="shared" ca="1" si="45"/>
        <v>#VALUE!</v>
      </c>
      <c r="W95" s="141" t="e">
        <f t="shared" ca="1" si="50"/>
        <v>#VALUE!</v>
      </c>
      <c r="X95" s="141" t="e">
        <f t="shared" ca="1" si="46"/>
        <v>#VALUE!</v>
      </c>
      <c r="Y95" s="177" t="e">
        <f t="shared" ca="1" si="38"/>
        <v>#VALUE!</v>
      </c>
      <c r="Z95" s="178" t="e">
        <f t="shared" ca="1" si="47"/>
        <v>#VALUE!</v>
      </c>
      <c r="AA95" s="141">
        <v>68</v>
      </c>
    </row>
    <row r="96" spans="1:27" x14ac:dyDescent="0.35">
      <c r="A96" s="175" t="str">
        <f t="shared" si="51"/>
        <v/>
      </c>
      <c r="B96" s="172">
        <f t="shared" ca="1" si="48"/>
        <v>47295</v>
      </c>
      <c r="C96" s="172" t="str">
        <f t="shared" ca="1" si="49"/>
        <v xml:space="preserve"> </v>
      </c>
      <c r="D96" s="175" t="str">
        <f t="shared" si="25"/>
        <v/>
      </c>
      <c r="E96" s="173" t="e">
        <f t="shared" ca="1" si="43"/>
        <v>#VALUE!</v>
      </c>
      <c r="F96" s="173" t="str">
        <f>IF(A95=$D$8,SUM(F$28:F95),IF(A95&gt;$D$8,"",G96+H96))</f>
        <v/>
      </c>
      <c r="G96" s="173" t="str">
        <f>IF(A95=$D$8,ROUND(SUM($G$28:G95),2),IF(A96&gt;$F$8,"",IF(W96&lt;&gt;W95,ROUND(SUM(Y96*$E$12*E95/W96,Z96*$E$12*E95/W95),2),ROUND(E95*$E$12*D96/W95,2))))</f>
        <v/>
      </c>
      <c r="H96" s="173" t="str">
        <f>IF(AND(A95="",A97=""),"",IF(A96="",ROUND(SUM($H$28:H95),2),IF(A96=$D$8,$H$27-ROUND(SUM($H$28:H95),2),ROUND($H$27/$D$8,2))))</f>
        <v/>
      </c>
      <c r="I96" s="173" t="str">
        <f t="shared" si="26"/>
        <v/>
      </c>
      <c r="J96" s="173" t="str">
        <f t="shared" si="27"/>
        <v/>
      </c>
      <c r="K96" s="173" t="str">
        <f t="shared" si="40"/>
        <v/>
      </c>
      <c r="L96" s="173" t="str">
        <f t="shared" si="41"/>
        <v/>
      </c>
      <c r="M96" s="173" t="str">
        <f t="shared" si="31"/>
        <v/>
      </c>
      <c r="N96" s="173" t="str">
        <f t="shared" si="32"/>
        <v/>
      </c>
      <c r="O96" s="173" t="str">
        <f t="shared" si="33"/>
        <v/>
      </c>
      <c r="P96" s="173" t="str">
        <f t="shared" si="24"/>
        <v/>
      </c>
      <c r="Q96" s="173" t="str">
        <f t="shared" si="42"/>
        <v/>
      </c>
      <c r="R96" s="173" t="str">
        <f t="shared" si="29"/>
        <v/>
      </c>
      <c r="S96" s="176" t="str">
        <f>IF(A95=$D$8,XIRR(U$27:U95,C$27:C95),"")</f>
        <v/>
      </c>
      <c r="T96" s="173" t="str">
        <f t="shared" si="44"/>
        <v/>
      </c>
      <c r="U96" s="173">
        <f t="shared" si="52"/>
        <v>0</v>
      </c>
      <c r="V96" s="141" t="e">
        <f t="shared" ca="1" si="45"/>
        <v>#VALUE!</v>
      </c>
      <c r="W96" s="141" t="e">
        <f t="shared" ca="1" si="50"/>
        <v>#VALUE!</v>
      </c>
      <c r="X96" s="141" t="e">
        <f t="shared" ca="1" si="46"/>
        <v>#VALUE!</v>
      </c>
      <c r="Y96" s="177" t="e">
        <f t="shared" ca="1" si="38"/>
        <v>#VALUE!</v>
      </c>
      <c r="Z96" s="178" t="e">
        <f t="shared" ca="1" si="47"/>
        <v>#VALUE!</v>
      </c>
      <c r="AA96" s="141">
        <v>69</v>
      </c>
    </row>
    <row r="97" spans="1:30" x14ac:dyDescent="0.35">
      <c r="A97" s="175" t="str">
        <f t="shared" si="51"/>
        <v/>
      </c>
      <c r="B97" s="172">
        <f t="shared" ca="1" si="48"/>
        <v>47325</v>
      </c>
      <c r="C97" s="172" t="str">
        <f t="shared" ca="1" si="49"/>
        <v xml:space="preserve"> </v>
      </c>
      <c r="D97" s="175" t="str">
        <f t="shared" si="25"/>
        <v/>
      </c>
      <c r="E97" s="173" t="e">
        <f t="shared" ca="1" si="43"/>
        <v>#VALUE!</v>
      </c>
      <c r="F97" s="173" t="str">
        <f>IF(A96=$D$8,SUM(F$28:F96),IF(A96&gt;$D$8,"",G97+H97))</f>
        <v/>
      </c>
      <c r="G97" s="173" t="str">
        <f>IF(A96=$D$8,ROUND(SUM($G$28:G96),2),IF(A97&gt;$F$8,"",IF(W97&lt;&gt;W96,ROUND(SUM(Y97*$E$12*E96/W97,Z97*$E$12*E96/W96),2),ROUND(E96*$E$12*D97/W96,2))))</f>
        <v/>
      </c>
      <c r="H97" s="173" t="str">
        <f>IF(AND(A96="",A98=""),"",IF(A97="",ROUND(SUM($H$28:H96),2),IF(A97=$D$8,$H$27-ROUND(SUM($H$28:H96),2),ROUND($H$27/$D$8,2))))</f>
        <v/>
      </c>
      <c r="I97" s="173" t="str">
        <f t="shared" si="26"/>
        <v/>
      </c>
      <c r="J97" s="173" t="str">
        <f t="shared" si="27"/>
        <v/>
      </c>
      <c r="K97" s="173" t="str">
        <f t="shared" ref="K97:K99" si="53">IF(A96=$D$8,$K$27,"")</f>
        <v/>
      </c>
      <c r="L97" s="173" t="str">
        <f t="shared" si="41"/>
        <v/>
      </c>
      <c r="M97" s="173" t="str">
        <f t="shared" si="31"/>
        <v/>
      </c>
      <c r="N97" s="173" t="str">
        <f t="shared" si="32"/>
        <v/>
      </c>
      <c r="O97" s="173" t="str">
        <f t="shared" si="33"/>
        <v/>
      </c>
      <c r="P97" s="173" t="str">
        <f t="shared" si="24"/>
        <v/>
      </c>
      <c r="Q97" s="173" t="str">
        <f t="shared" si="42"/>
        <v/>
      </c>
      <c r="R97" s="173" t="str">
        <f t="shared" si="29"/>
        <v/>
      </c>
      <c r="S97" s="176" t="str">
        <f>IF(A96=$D$8,XIRR(U$27:U96,C$27:C96),"")</f>
        <v/>
      </c>
      <c r="T97" s="173" t="str">
        <f t="shared" si="44"/>
        <v/>
      </c>
      <c r="U97" s="173">
        <f t="shared" si="52"/>
        <v>0</v>
      </c>
      <c r="V97" s="141" t="e">
        <f t="shared" ca="1" si="45"/>
        <v>#VALUE!</v>
      </c>
      <c r="W97" s="141" t="e">
        <f t="shared" ca="1" si="50"/>
        <v>#VALUE!</v>
      </c>
      <c r="X97" s="141" t="e">
        <f t="shared" ca="1" si="46"/>
        <v>#VALUE!</v>
      </c>
      <c r="Y97" s="177" t="e">
        <f t="shared" ca="1" si="38"/>
        <v>#VALUE!</v>
      </c>
      <c r="Z97" s="178" t="e">
        <f t="shared" ca="1" si="47"/>
        <v>#VALUE!</v>
      </c>
      <c r="AA97" s="141">
        <v>70</v>
      </c>
    </row>
    <row r="98" spans="1:30" x14ac:dyDescent="0.35">
      <c r="A98" s="175" t="str">
        <f t="shared" si="51"/>
        <v/>
      </c>
      <c r="B98" s="172">
        <f t="shared" ca="1" si="48"/>
        <v>47356</v>
      </c>
      <c r="C98" s="172" t="str">
        <f t="shared" ca="1" si="49"/>
        <v xml:space="preserve"> </v>
      </c>
      <c r="D98" s="175" t="str">
        <f t="shared" si="25"/>
        <v/>
      </c>
      <c r="E98" s="173" t="e">
        <f t="shared" ca="1" si="43"/>
        <v>#VALUE!</v>
      </c>
      <c r="F98" s="173" t="str">
        <f>IF(A97=$D$8,SUM(F$28:F97),IF(A97&gt;$D$8,"",G98+H98))</f>
        <v/>
      </c>
      <c r="G98" s="173" t="str">
        <f>IF(A97=$D$8,ROUND(SUM($G$28:G97),2),IF(A98&gt;$F$8,"",IF(W98&lt;&gt;W97,ROUND(SUM(Y98*$E$12*E97/W98,Z98*$E$12*E97/W97),2),ROUND(E97*$E$12*D98/W97,2))))</f>
        <v/>
      </c>
      <c r="H98" s="173" t="str">
        <f>IF(AND(A97="",A99=""),"",IF(A98="",ROUND(SUM($H$28:H97),2),IF(A98=$D$8,$H$27-ROUND(SUM($H$28:H97),2),ROUND($H$27/$D$8,2))))</f>
        <v/>
      </c>
      <c r="I98" s="173" t="str">
        <f t="shared" si="26"/>
        <v/>
      </c>
      <c r="J98" s="173" t="str">
        <f t="shared" si="27"/>
        <v/>
      </c>
      <c r="K98" s="173" t="str">
        <f t="shared" si="53"/>
        <v/>
      </c>
      <c r="L98" s="173" t="str">
        <f t="shared" si="41"/>
        <v/>
      </c>
      <c r="M98" s="173" t="str">
        <f t="shared" si="31"/>
        <v/>
      </c>
      <c r="N98" s="173" t="str">
        <f t="shared" si="32"/>
        <v/>
      </c>
      <c r="O98" s="173" t="str">
        <f t="shared" si="33"/>
        <v/>
      </c>
      <c r="P98" s="173" t="str">
        <f t="shared" si="24"/>
        <v/>
      </c>
      <c r="Q98" s="173" t="str">
        <f t="shared" si="42"/>
        <v/>
      </c>
      <c r="R98" s="173" t="str">
        <f t="shared" si="29"/>
        <v/>
      </c>
      <c r="S98" s="176" t="str">
        <f>IF(A97=$D$8,XIRR(U$27:U97,C$27:C97),"")</f>
        <v/>
      </c>
      <c r="T98" s="173" t="str">
        <f t="shared" si="44"/>
        <v/>
      </c>
      <c r="U98" s="173">
        <f t="shared" si="52"/>
        <v>0</v>
      </c>
      <c r="V98" s="141" t="e">
        <f t="shared" ca="1" si="45"/>
        <v>#VALUE!</v>
      </c>
      <c r="W98" s="141" t="e">
        <f t="shared" ca="1" si="50"/>
        <v>#VALUE!</v>
      </c>
      <c r="X98" s="141" t="e">
        <f t="shared" ca="1" si="46"/>
        <v>#VALUE!</v>
      </c>
      <c r="Y98" s="177" t="e">
        <f t="shared" ca="1" si="38"/>
        <v>#VALUE!</v>
      </c>
      <c r="Z98" s="178" t="e">
        <f t="shared" ca="1" si="47"/>
        <v>#VALUE!</v>
      </c>
      <c r="AA98" s="141">
        <v>71</v>
      </c>
    </row>
    <row r="99" spans="1:30" x14ac:dyDescent="0.35">
      <c r="A99" s="175" t="str">
        <f t="shared" si="51"/>
        <v/>
      </c>
      <c r="B99" s="172">
        <f t="shared" ca="1" si="48"/>
        <v>47387</v>
      </c>
      <c r="C99" s="172" t="str">
        <f t="shared" ca="1" si="49"/>
        <v xml:space="preserve"> </v>
      </c>
      <c r="D99" s="175" t="str">
        <f t="shared" si="25"/>
        <v/>
      </c>
      <c r="E99" s="173" t="e">
        <f t="shared" ca="1" si="43"/>
        <v>#VALUE!</v>
      </c>
      <c r="F99" s="173" t="str">
        <f>IF(A98=$D$8,SUM(F$28:F98),IF(A98&gt;$D$8,"",G99+H99))</f>
        <v/>
      </c>
      <c r="G99" s="173" t="str">
        <f>IF(A98=$D$8,ROUND(SUM($G$28:G98),2),IF(A99&gt;$F$8,"",IF(W99&lt;&gt;W98,ROUND(SUM(Y99*$E$12*E98/W99,Z99*$E$12*E98/W98),2),ROUND(E98*$E$12*D99/W98,2))))</f>
        <v/>
      </c>
      <c r="H99" s="173" t="str">
        <f>IF(AND(A98="",A100=""),"",IF(A99="",ROUND(SUM($H$28:H98),2),IF(A99=$D$8,$H$27-ROUND(SUM($H$28:H98),2),ROUND($H$27/$D$8,2))))</f>
        <v/>
      </c>
      <c r="I99" s="173" t="str">
        <f t="shared" si="26"/>
        <v/>
      </c>
      <c r="J99" s="173" t="str">
        <f t="shared" si="27"/>
        <v/>
      </c>
      <c r="K99" s="173" t="str">
        <f t="shared" si="53"/>
        <v/>
      </c>
      <c r="L99" s="173" t="str">
        <f t="shared" si="41"/>
        <v/>
      </c>
      <c r="M99" s="173" t="str">
        <f t="shared" si="31"/>
        <v/>
      </c>
      <c r="N99" s="173" t="str">
        <f t="shared" si="32"/>
        <v/>
      </c>
      <c r="O99" s="173" t="str">
        <f t="shared" si="33"/>
        <v/>
      </c>
      <c r="P99" s="173" t="str">
        <f t="shared" ref="P99:P162" si="54">IF(A98=$D$8,$P$27,"")</f>
        <v/>
      </c>
      <c r="Q99" s="173" t="str">
        <f t="shared" si="42"/>
        <v/>
      </c>
      <c r="R99" s="173" t="str">
        <f t="shared" si="29"/>
        <v/>
      </c>
      <c r="S99" s="176" t="str">
        <f>IF(A98=$D$8,XIRR(U$27:U98,C$27:C98),"")</f>
        <v/>
      </c>
      <c r="T99" s="173" t="str">
        <f t="shared" si="44"/>
        <v/>
      </c>
      <c r="U99" s="173">
        <f t="shared" si="52"/>
        <v>0</v>
      </c>
      <c r="V99" s="141" t="e">
        <f t="shared" ca="1" si="45"/>
        <v>#VALUE!</v>
      </c>
      <c r="W99" s="141" t="e">
        <f t="shared" ca="1" si="50"/>
        <v>#VALUE!</v>
      </c>
      <c r="X99" s="141" t="e">
        <f t="shared" ca="1" si="46"/>
        <v>#VALUE!</v>
      </c>
      <c r="Y99" s="177" t="e">
        <f t="shared" ca="1" si="38"/>
        <v>#VALUE!</v>
      </c>
      <c r="Z99" s="178" t="e">
        <f t="shared" ca="1" si="47"/>
        <v>#VALUE!</v>
      </c>
      <c r="AA99" s="141">
        <v>72</v>
      </c>
    </row>
    <row r="100" spans="1:30" x14ac:dyDescent="0.35">
      <c r="A100" s="175" t="str">
        <f t="shared" si="51"/>
        <v/>
      </c>
      <c r="B100" s="172">
        <f t="shared" ca="1" si="48"/>
        <v>47417</v>
      </c>
      <c r="C100" s="172" t="str">
        <f t="shared" ca="1" si="49"/>
        <v xml:space="preserve"> </v>
      </c>
      <c r="D100" s="175" t="str">
        <f t="shared" si="25"/>
        <v/>
      </c>
      <c r="E100" s="173" t="e">
        <f t="shared" ca="1" si="43"/>
        <v>#VALUE!</v>
      </c>
      <c r="F100" s="173" t="str">
        <f>IF(A99=$D$8,SUM(F$28:F99),IF(A99&gt;$D$8,"",G100+H100))</f>
        <v/>
      </c>
      <c r="G100" s="173" t="str">
        <f>IF(A99=$D$8,ROUND(SUM($G$28:G99),2),IF(A100&gt;$F$8,"",IF(W100&lt;&gt;W99,ROUND(SUM(Y100*$E$12*E99/W100,Z100*$E$12*E99/W99),2),ROUND(E99*$E$12*D100/W99,2))))</f>
        <v/>
      </c>
      <c r="H100" s="173" t="str">
        <f>IF(AND(A99="",A101=""),"",IF(A100="",ROUND(SUM($H$28:H99),2),IF(A100=$D$8,$H$27-ROUND(SUM($H$28:H99),2),ROUND($H$27/$D$8,2))))</f>
        <v/>
      </c>
      <c r="I100" s="173" t="str">
        <f t="shared" si="26"/>
        <v/>
      </c>
      <c r="J100" s="173" t="str">
        <f t="shared" si="27"/>
        <v/>
      </c>
      <c r="K100" s="173" t="str">
        <f>IF($F$8&gt;72,($R$14),IF(A99=$F$8,K88+K76+K64+K52+K40+K27,""))</f>
        <v/>
      </c>
      <c r="L100" s="173" t="str">
        <f t="shared" si="41"/>
        <v/>
      </c>
      <c r="M100" s="173" t="str">
        <f t="shared" si="31"/>
        <v/>
      </c>
      <c r="N100" s="173" t="str">
        <f t="shared" si="32"/>
        <v/>
      </c>
      <c r="O100" s="173" t="str">
        <f t="shared" si="33"/>
        <v/>
      </c>
      <c r="P100" s="173" t="str">
        <f t="shared" si="54"/>
        <v/>
      </c>
      <c r="Q100" s="173" t="str">
        <f>IF($F$8&gt;72,($S$8+$S$10),IF($A$99=$F$8,$Q$40+$Q$27+$Q$52+$Q$64+$Q$76+$Q$88,""))</f>
        <v/>
      </c>
      <c r="R100" s="173" t="str">
        <f t="shared" si="29"/>
        <v/>
      </c>
      <c r="S100" s="176" t="str">
        <f>IF(A99=$D$8,XIRR(U$27:U99,C$27:C99),"")</f>
        <v/>
      </c>
      <c r="T100" s="173" t="str">
        <f t="shared" si="44"/>
        <v/>
      </c>
      <c r="U100" s="173">
        <f t="shared" si="52"/>
        <v>0</v>
      </c>
      <c r="V100" s="141" t="e">
        <f t="shared" ca="1" si="45"/>
        <v>#VALUE!</v>
      </c>
      <c r="W100" s="141" t="e">
        <f t="shared" ca="1" si="50"/>
        <v>#VALUE!</v>
      </c>
      <c r="X100" s="141" t="e">
        <f t="shared" ca="1" si="46"/>
        <v>#VALUE!</v>
      </c>
      <c r="Y100" s="177" t="e">
        <f t="shared" ca="1" si="38"/>
        <v>#VALUE!</v>
      </c>
      <c r="Z100" s="178" t="e">
        <f t="shared" ca="1" si="47"/>
        <v>#VALUE!</v>
      </c>
      <c r="AA100" s="141">
        <v>73</v>
      </c>
    </row>
    <row r="101" spans="1:30" x14ac:dyDescent="0.35">
      <c r="A101" s="175" t="str">
        <f t="shared" si="51"/>
        <v/>
      </c>
      <c r="B101" s="172">
        <f t="shared" ca="1" si="48"/>
        <v>47448</v>
      </c>
      <c r="C101" s="172" t="str">
        <f t="shared" ca="1" si="49"/>
        <v xml:space="preserve"> </v>
      </c>
      <c r="D101" s="175" t="str">
        <f t="shared" si="25"/>
        <v/>
      </c>
      <c r="E101" s="173" t="e">
        <f t="shared" ca="1" si="43"/>
        <v>#VALUE!</v>
      </c>
      <c r="F101" s="173" t="str">
        <f>IF(A100=$D$8,SUM(F$28:F100),IF(A100&gt;$D$8,"",G101+H101))</f>
        <v/>
      </c>
      <c r="G101" s="173" t="str">
        <f>IF(A100=$D$8,ROUND(SUM($G$28:G100),2),IF(A101&gt;$F$8,"",IF(W101&lt;&gt;W100,ROUND(SUM(Y101*$E$12*E100/W101,Z101*$E$12*E100/W100),2),ROUND(E100*$E$12*D101/W100,2))))</f>
        <v/>
      </c>
      <c r="H101" s="173" t="str">
        <f>IF(AND(A100="",A102=""),"",IF(A101="",ROUND(SUM($H$28:H100),2),IF(A101=$D$8,$H$27-ROUND(SUM($H$28:H100),2),ROUND($H$27/$D$8,2))))</f>
        <v/>
      </c>
      <c r="I101" s="173" t="str">
        <f t="shared" si="26"/>
        <v/>
      </c>
      <c r="J101" s="173" t="str">
        <f t="shared" si="27"/>
        <v/>
      </c>
      <c r="K101" s="173" t="str">
        <f t="shared" ref="K101:K111" si="55">IF(A100=$D$8,$K$27,"")</f>
        <v/>
      </c>
      <c r="L101" s="173" t="str">
        <f t="shared" si="41"/>
        <v/>
      </c>
      <c r="M101" s="173" t="str">
        <f t="shared" si="31"/>
        <v/>
      </c>
      <c r="N101" s="173" t="str">
        <f t="shared" si="32"/>
        <v/>
      </c>
      <c r="O101" s="173" t="str">
        <f t="shared" si="33"/>
        <v/>
      </c>
      <c r="P101" s="173" t="str">
        <f t="shared" si="54"/>
        <v/>
      </c>
      <c r="Q101" s="173" t="str">
        <f t="shared" ref="Q101:Q111" si="56">IF(A100=$D$8,$Q$27,"")</f>
        <v/>
      </c>
      <c r="R101" s="173" t="str">
        <f t="shared" si="29"/>
        <v/>
      </c>
      <c r="S101" s="176" t="str">
        <f>IF(A100=$D$8,XIRR(U$27:U100,C$27:C100),"")</f>
        <v/>
      </c>
      <c r="T101" s="173" t="str">
        <f t="shared" si="44"/>
        <v/>
      </c>
      <c r="U101" s="173">
        <f t="shared" si="52"/>
        <v>0</v>
      </c>
      <c r="V101" s="141" t="e">
        <f t="shared" ca="1" si="45"/>
        <v>#VALUE!</v>
      </c>
      <c r="W101" s="141" t="e">
        <f t="shared" ca="1" si="50"/>
        <v>#VALUE!</v>
      </c>
      <c r="X101" s="141" t="e">
        <f t="shared" ca="1" si="46"/>
        <v>#VALUE!</v>
      </c>
      <c r="Y101" s="177" t="e">
        <f t="shared" ca="1" si="38"/>
        <v>#VALUE!</v>
      </c>
      <c r="Z101" s="178" t="e">
        <f t="shared" ca="1" si="47"/>
        <v>#VALUE!</v>
      </c>
      <c r="AA101" s="141">
        <v>74</v>
      </c>
    </row>
    <row r="102" spans="1:30" x14ac:dyDescent="0.35">
      <c r="A102" s="175" t="str">
        <f t="shared" si="51"/>
        <v/>
      </c>
      <c r="B102" s="172">
        <f t="shared" ca="1" si="48"/>
        <v>47478</v>
      </c>
      <c r="C102" s="172" t="str">
        <f t="shared" ca="1" si="49"/>
        <v xml:space="preserve"> </v>
      </c>
      <c r="D102" s="175" t="str">
        <f t="shared" si="25"/>
        <v/>
      </c>
      <c r="E102" s="173" t="e">
        <f t="shared" ca="1" si="43"/>
        <v>#VALUE!</v>
      </c>
      <c r="F102" s="173" t="str">
        <f>IF(A101=$D$8,SUM(F$28:F101),IF(A101&gt;$D$8,"",G102+H102))</f>
        <v/>
      </c>
      <c r="G102" s="173" t="str">
        <f>IF(A101=$D$8,ROUND(SUM($G$28:G101),2),IF(A102&gt;$F$8,"",IF(W102&lt;&gt;W101,ROUND(SUM(Y102*$E$12*E101/W102,Z102*$E$12*E101/W101),2),ROUND(E101*$E$12*D102/W101,2))))</f>
        <v/>
      </c>
      <c r="H102" s="173" t="str">
        <f>IF(AND(A101="",A103=""),"",IF(A102="",ROUND(SUM($H$28:H101),2),IF(A102=$D$8,$H$27-ROUND(SUM($H$28:H101),2),ROUND($H$27/$D$8,2))))</f>
        <v/>
      </c>
      <c r="I102" s="173" t="str">
        <f t="shared" si="26"/>
        <v/>
      </c>
      <c r="J102" s="173" t="str">
        <f t="shared" si="27"/>
        <v/>
      </c>
      <c r="K102" s="173" t="str">
        <f t="shared" si="55"/>
        <v/>
      </c>
      <c r="L102" s="173" t="str">
        <f t="shared" si="41"/>
        <v/>
      </c>
      <c r="M102" s="173" t="str">
        <f t="shared" si="31"/>
        <v/>
      </c>
      <c r="N102" s="173" t="str">
        <f t="shared" si="32"/>
        <v/>
      </c>
      <c r="O102" s="173" t="str">
        <f t="shared" si="33"/>
        <v/>
      </c>
      <c r="P102" s="173" t="str">
        <f t="shared" si="54"/>
        <v/>
      </c>
      <c r="Q102" s="173" t="str">
        <f t="shared" si="56"/>
        <v/>
      </c>
      <c r="R102" s="173" t="str">
        <f t="shared" si="29"/>
        <v/>
      </c>
      <c r="S102" s="176" t="str">
        <f>IF(A101=$D$8,XIRR(U$27:U101,C$27:C101),"")</f>
        <v/>
      </c>
      <c r="T102" s="173" t="str">
        <f t="shared" si="44"/>
        <v/>
      </c>
      <c r="U102" s="173">
        <f t="shared" si="52"/>
        <v>0</v>
      </c>
      <c r="V102" s="141" t="e">
        <f t="shared" ca="1" si="45"/>
        <v>#VALUE!</v>
      </c>
      <c r="W102" s="141" t="e">
        <f t="shared" ca="1" si="50"/>
        <v>#VALUE!</v>
      </c>
      <c r="X102" s="141" t="e">
        <f t="shared" ca="1" si="46"/>
        <v>#VALUE!</v>
      </c>
      <c r="Y102" s="177" t="e">
        <f t="shared" ca="1" si="38"/>
        <v>#VALUE!</v>
      </c>
      <c r="Z102" s="178" t="e">
        <f t="shared" ca="1" si="47"/>
        <v>#VALUE!</v>
      </c>
      <c r="AA102" s="141">
        <v>75</v>
      </c>
    </row>
    <row r="103" spans="1:30" x14ac:dyDescent="0.35">
      <c r="A103" s="175" t="str">
        <f t="shared" si="51"/>
        <v/>
      </c>
      <c r="B103" s="172">
        <f t="shared" ca="1" si="48"/>
        <v>47509</v>
      </c>
      <c r="C103" s="172" t="str">
        <f t="shared" ca="1" si="49"/>
        <v xml:space="preserve"> </v>
      </c>
      <c r="D103" s="175" t="str">
        <f t="shared" si="25"/>
        <v/>
      </c>
      <c r="E103" s="173" t="e">
        <f t="shared" ca="1" si="43"/>
        <v>#VALUE!</v>
      </c>
      <c r="F103" s="173" t="str">
        <f>IF(A102=$D$8,SUM(F$28:F102),IF(A102&gt;$D$8,"",G103+H103))</f>
        <v/>
      </c>
      <c r="G103" s="173" t="str">
        <f>IF(A102=$D$8,ROUND(SUM($G$28:G102),2),IF(A103&gt;$F$8,"",IF(W103&lt;&gt;W102,ROUND(SUM(Y103*$E$12*E102/W103,Z103*$E$12*E102/W102),2),ROUND(E102*$E$12*D103/W102,2))))</f>
        <v/>
      </c>
      <c r="H103" s="173" t="str">
        <f>IF(AND(A102="",A104=""),"",IF(A103="",ROUND(SUM($H$28:H102),2),IF(A103=$D$8,$H$27-ROUND(SUM($H$28:H102),2),ROUND($H$27/$D$8,2))))</f>
        <v/>
      </c>
      <c r="I103" s="173" t="str">
        <f t="shared" si="26"/>
        <v/>
      </c>
      <c r="J103" s="173" t="str">
        <f t="shared" si="27"/>
        <v/>
      </c>
      <c r="K103" s="173" t="str">
        <f t="shared" si="55"/>
        <v/>
      </c>
      <c r="L103" s="173" t="str">
        <f t="shared" si="41"/>
        <v/>
      </c>
      <c r="M103" s="173" t="str">
        <f t="shared" si="31"/>
        <v/>
      </c>
      <c r="N103" s="173" t="str">
        <f t="shared" si="32"/>
        <v/>
      </c>
      <c r="O103" s="173" t="str">
        <f t="shared" si="33"/>
        <v/>
      </c>
      <c r="P103" s="173" t="str">
        <f t="shared" si="54"/>
        <v/>
      </c>
      <c r="Q103" s="173" t="str">
        <f t="shared" si="56"/>
        <v/>
      </c>
      <c r="R103" s="173" t="str">
        <f t="shared" si="29"/>
        <v/>
      </c>
      <c r="S103" s="176" t="str">
        <f>IF(A102=$D$8,XIRR(U$27:U102,C$27:C102),"")</f>
        <v/>
      </c>
      <c r="T103" s="173" t="str">
        <f t="shared" si="44"/>
        <v/>
      </c>
      <c r="U103" s="173">
        <f t="shared" si="52"/>
        <v>0</v>
      </c>
      <c r="V103" s="141" t="e">
        <f t="shared" ca="1" si="45"/>
        <v>#VALUE!</v>
      </c>
      <c r="W103" s="141" t="e">
        <f t="shared" ca="1" si="50"/>
        <v>#VALUE!</v>
      </c>
      <c r="X103" s="141" t="e">
        <f t="shared" ca="1" si="46"/>
        <v>#VALUE!</v>
      </c>
      <c r="Y103" s="177" t="e">
        <f t="shared" ca="1" si="38"/>
        <v>#VALUE!</v>
      </c>
      <c r="Z103" s="178" t="e">
        <f t="shared" ca="1" si="47"/>
        <v>#VALUE!</v>
      </c>
      <c r="AA103" s="141">
        <v>76</v>
      </c>
    </row>
    <row r="104" spans="1:30" x14ac:dyDescent="0.35">
      <c r="A104" s="175" t="str">
        <f t="shared" si="51"/>
        <v/>
      </c>
      <c r="B104" s="172">
        <f t="shared" ca="1" si="48"/>
        <v>47540</v>
      </c>
      <c r="C104" s="172" t="str">
        <f t="shared" ca="1" si="49"/>
        <v xml:space="preserve"> </v>
      </c>
      <c r="D104" s="175" t="str">
        <f t="shared" si="25"/>
        <v/>
      </c>
      <c r="E104" s="173" t="e">
        <f t="shared" ca="1" si="43"/>
        <v>#VALUE!</v>
      </c>
      <c r="F104" s="173" t="str">
        <f>IF(A103=$D$8,SUM(F$28:F103),IF(A103&gt;$D$8,"",G104+H104))</f>
        <v/>
      </c>
      <c r="G104" s="173" t="str">
        <f>IF(A103=$D$8,ROUND(SUM($G$28:G103),2),IF(A104&gt;$F$8,"",IF(W104&lt;&gt;W103,ROUND(SUM(Y104*$E$12*E103/W104,Z104*$E$12*E103/W103),2),ROUND(E103*$E$12*D104/W103,2))))</f>
        <v/>
      </c>
      <c r="H104" s="173" t="str">
        <f>IF(AND(A103="",A105=""),"",IF(A104="",ROUND(SUM($H$28:H103),2),IF(A104=$D$8,$H$27-ROUND(SUM($H$28:H103),2),ROUND($H$27/$D$8,2))))</f>
        <v/>
      </c>
      <c r="I104" s="173" t="str">
        <f t="shared" si="26"/>
        <v/>
      </c>
      <c r="J104" s="173" t="str">
        <f t="shared" si="27"/>
        <v/>
      </c>
      <c r="K104" s="173" t="str">
        <f t="shared" si="55"/>
        <v/>
      </c>
      <c r="L104" s="173" t="str">
        <f t="shared" si="41"/>
        <v/>
      </c>
      <c r="M104" s="173" t="str">
        <f t="shared" si="31"/>
        <v/>
      </c>
      <c r="N104" s="173" t="str">
        <f t="shared" si="32"/>
        <v/>
      </c>
      <c r="O104" s="173" t="str">
        <f t="shared" si="33"/>
        <v/>
      </c>
      <c r="P104" s="173" t="str">
        <f t="shared" si="54"/>
        <v/>
      </c>
      <c r="Q104" s="173" t="str">
        <f t="shared" si="56"/>
        <v/>
      </c>
      <c r="R104" s="173" t="str">
        <f t="shared" si="29"/>
        <v/>
      </c>
      <c r="S104" s="176" t="str">
        <f>IF(A103=$D$8,XIRR(U$27:U103,C$27:C103),"")</f>
        <v/>
      </c>
      <c r="T104" s="173" t="str">
        <f t="shared" si="44"/>
        <v/>
      </c>
      <c r="U104" s="173">
        <f t="shared" si="52"/>
        <v>0</v>
      </c>
      <c r="V104" s="141" t="e">
        <f t="shared" ca="1" si="45"/>
        <v>#VALUE!</v>
      </c>
      <c r="W104" s="141" t="e">
        <f t="shared" ca="1" si="50"/>
        <v>#VALUE!</v>
      </c>
      <c r="X104" s="141" t="e">
        <f t="shared" ca="1" si="46"/>
        <v>#VALUE!</v>
      </c>
      <c r="Y104" s="177" t="e">
        <f t="shared" ca="1" si="38"/>
        <v>#VALUE!</v>
      </c>
      <c r="Z104" s="178" t="e">
        <f t="shared" ca="1" si="47"/>
        <v>#VALUE!</v>
      </c>
      <c r="AA104" s="141">
        <v>77</v>
      </c>
    </row>
    <row r="105" spans="1:30" x14ac:dyDescent="0.35">
      <c r="A105" s="175" t="str">
        <f t="shared" si="51"/>
        <v/>
      </c>
      <c r="B105" s="172">
        <f t="shared" ca="1" si="48"/>
        <v>47568</v>
      </c>
      <c r="C105" s="172" t="str">
        <f t="shared" ca="1" si="49"/>
        <v xml:space="preserve"> </v>
      </c>
      <c r="D105" s="175" t="str">
        <f t="shared" ref="D105:D168" si="57">IF(A105&gt;$D$8,"",C105-C104)</f>
        <v/>
      </c>
      <c r="E105" s="173" t="e">
        <f t="shared" ca="1" si="43"/>
        <v>#VALUE!</v>
      </c>
      <c r="F105" s="173" t="str">
        <f>IF(A104=$D$8,SUM(F$28:F104),IF(A104&gt;$D$8,"",G105+H105))</f>
        <v/>
      </c>
      <c r="G105" s="173" t="str">
        <f>IF(A104=$D$8,ROUND(SUM($G$28:G104),2),IF(A105&gt;$F$8,"",IF(W105&lt;&gt;W104,ROUND(SUM(Y105*$E$12*E104/W105,Z105*$E$12*E104/W104),2),ROUND(E104*$E$12*D105/W104,2))))</f>
        <v/>
      </c>
      <c r="H105" s="173" t="str">
        <f>IF(AND(A104="",A106=""),"",IF(A105="",ROUND(SUM($H$28:H104),2),IF(A105=$D$8,$H$27-ROUND(SUM($H$28:H104),2),ROUND($H$27/$D$8,2))))</f>
        <v/>
      </c>
      <c r="I105" s="173" t="str">
        <f t="shared" ref="I105:I168" si="58">IF(A104=$F$8,$I$27,"")</f>
        <v/>
      </c>
      <c r="J105" s="173" t="str">
        <f t="shared" ref="J105:J168" si="59">IF(A104=$F$8,$J$27,"")</f>
        <v/>
      </c>
      <c r="K105" s="173" t="str">
        <f t="shared" si="55"/>
        <v/>
      </c>
      <c r="L105" s="173" t="str">
        <f t="shared" ref="L105:L168" si="60">IF(A104=$F$8,$L$27,"")</f>
        <v/>
      </c>
      <c r="M105" s="173" t="str">
        <f t="shared" si="31"/>
        <v/>
      </c>
      <c r="N105" s="173" t="str">
        <f t="shared" si="32"/>
        <v/>
      </c>
      <c r="O105" s="173" t="str">
        <f t="shared" si="33"/>
        <v/>
      </c>
      <c r="P105" s="173" t="str">
        <f t="shared" si="54"/>
        <v/>
      </c>
      <c r="Q105" s="173" t="str">
        <f t="shared" si="56"/>
        <v/>
      </c>
      <c r="R105" s="173" t="str">
        <f t="shared" ref="R105:R168" si="61">IF(A104=$D$8,$R$27,"")</f>
        <v/>
      </c>
      <c r="S105" s="176" t="str">
        <f>IF(A104=$D$8,XIRR(U$27:U104,C$27:C104),"")</f>
        <v/>
      </c>
      <c r="T105" s="173" t="str">
        <f t="shared" si="44"/>
        <v/>
      </c>
      <c r="U105" s="173">
        <f t="shared" si="52"/>
        <v>0</v>
      </c>
      <c r="V105" s="141" t="e">
        <f t="shared" ca="1" si="45"/>
        <v>#VALUE!</v>
      </c>
      <c r="W105" s="141" t="e">
        <f t="shared" ca="1" si="50"/>
        <v>#VALUE!</v>
      </c>
      <c r="X105" s="141" t="e">
        <f t="shared" ca="1" si="46"/>
        <v>#VALUE!</v>
      </c>
      <c r="Y105" s="177" t="e">
        <f t="shared" ca="1" si="38"/>
        <v>#VALUE!</v>
      </c>
      <c r="Z105" s="178" t="e">
        <f t="shared" ca="1" si="47"/>
        <v>#VALUE!</v>
      </c>
      <c r="AA105" s="141">
        <v>78</v>
      </c>
    </row>
    <row r="106" spans="1:30" x14ac:dyDescent="0.35">
      <c r="A106" s="175" t="str">
        <f t="shared" si="51"/>
        <v/>
      </c>
      <c r="B106" s="172">
        <f t="shared" ca="1" si="48"/>
        <v>47599</v>
      </c>
      <c r="C106" s="172" t="str">
        <f t="shared" ca="1" si="49"/>
        <v xml:space="preserve"> </v>
      </c>
      <c r="D106" s="175" t="str">
        <f t="shared" si="57"/>
        <v/>
      </c>
      <c r="E106" s="173" t="e">
        <f t="shared" ca="1" si="43"/>
        <v>#VALUE!</v>
      </c>
      <c r="F106" s="173" t="str">
        <f>IF(A105=$D$8,SUM(F$28:F105),IF(A105&gt;$D$8,"",G106+H106))</f>
        <v/>
      </c>
      <c r="G106" s="173" t="str">
        <f>IF(A105=$D$8,ROUND(SUM($G$28:G105),2),IF(A106&gt;$F$8,"",IF(W106&lt;&gt;W105,ROUND(SUM(Y106*$E$12*E105/W106,Z106*$E$12*E105/W105),2),ROUND(E105*$E$12*D106/W105,2))))</f>
        <v/>
      </c>
      <c r="H106" s="173" t="str">
        <f>IF(AND(A105="",A107=""),"",IF(A106="",ROUND(SUM($H$28:H105),2),IF(A106=$D$8,$H$27-ROUND(SUM($H$28:H105),2),ROUND($H$27/$D$8,2))))</f>
        <v/>
      </c>
      <c r="I106" s="173" t="str">
        <f t="shared" si="58"/>
        <v/>
      </c>
      <c r="J106" s="173" t="str">
        <f t="shared" si="59"/>
        <v/>
      </c>
      <c r="K106" s="173" t="str">
        <f t="shared" si="55"/>
        <v/>
      </c>
      <c r="L106" s="173" t="str">
        <f t="shared" si="60"/>
        <v/>
      </c>
      <c r="M106" s="173" t="str">
        <f t="shared" ref="M106:M169" si="62">IF(A105=$F$8,$M$27,"")</f>
        <v/>
      </c>
      <c r="N106" s="173" t="str">
        <f t="shared" ref="N106:N169" si="63">IF(A105=$F$8,$N$27,"")</f>
        <v/>
      </c>
      <c r="O106" s="173" t="str">
        <f t="shared" ref="O106:O169" si="64">IF(A105=$F$8,$O$27,"")</f>
        <v/>
      </c>
      <c r="P106" s="173" t="str">
        <f t="shared" si="54"/>
        <v/>
      </c>
      <c r="Q106" s="173" t="str">
        <f t="shared" si="56"/>
        <v/>
      </c>
      <c r="R106" s="173" t="str">
        <f t="shared" si="61"/>
        <v/>
      </c>
      <c r="S106" s="176" t="str">
        <f>IF(A105=$D$8,XIRR(U$27:U105,C$27:C105),"")</f>
        <v/>
      </c>
      <c r="T106" s="173" t="str">
        <f t="shared" si="44"/>
        <v/>
      </c>
      <c r="U106" s="173">
        <f t="shared" si="52"/>
        <v>0</v>
      </c>
      <c r="V106" s="141" t="e">
        <f t="shared" ca="1" si="45"/>
        <v>#VALUE!</v>
      </c>
      <c r="W106" s="141" t="e">
        <f t="shared" ca="1" si="50"/>
        <v>#VALUE!</v>
      </c>
      <c r="X106" s="141" t="e">
        <f t="shared" ca="1" si="46"/>
        <v>#VALUE!</v>
      </c>
      <c r="Y106" s="177" t="e">
        <f t="shared" ca="1" si="38"/>
        <v>#VALUE!</v>
      </c>
      <c r="Z106" s="178" t="e">
        <f t="shared" ca="1" si="47"/>
        <v>#VALUE!</v>
      </c>
      <c r="AA106" s="141">
        <v>79</v>
      </c>
    </row>
    <row r="107" spans="1:30" x14ac:dyDescent="0.35">
      <c r="A107" s="175" t="str">
        <f t="shared" si="51"/>
        <v/>
      </c>
      <c r="B107" s="172">
        <f t="shared" ca="1" si="48"/>
        <v>47629</v>
      </c>
      <c r="C107" s="172" t="str">
        <f t="shared" ca="1" si="49"/>
        <v xml:space="preserve"> </v>
      </c>
      <c r="D107" s="175" t="str">
        <f t="shared" si="57"/>
        <v/>
      </c>
      <c r="E107" s="173" t="e">
        <f t="shared" ca="1" si="43"/>
        <v>#VALUE!</v>
      </c>
      <c r="F107" s="173" t="str">
        <f>IF(A106=$D$8,SUM(F$28:F106),IF(A106&gt;$D$8,"",G107+H107))</f>
        <v/>
      </c>
      <c r="G107" s="173" t="str">
        <f>IF(A106=$D$8,ROUND(SUM($G$28:G106),2),IF(A107&gt;$F$8,"",IF(W107&lt;&gt;W106,ROUND(SUM(Y107*$E$12*E106/W107,Z107*$E$12*E106/W106),2),ROUND(E106*$E$12*D107/W106,2))))</f>
        <v/>
      </c>
      <c r="H107" s="173" t="str">
        <f>IF(AND(A106="",A108=""),"",IF(A107="",ROUND(SUM($H$28:H106),2),IF(A107=$D$8,$H$27-ROUND(SUM($H$28:H106),2),ROUND($H$27/$D$8,2))))</f>
        <v/>
      </c>
      <c r="I107" s="173" t="str">
        <f t="shared" si="58"/>
        <v/>
      </c>
      <c r="J107" s="173" t="str">
        <f t="shared" si="59"/>
        <v/>
      </c>
      <c r="K107" s="173" t="str">
        <f t="shared" si="55"/>
        <v/>
      </c>
      <c r="L107" s="173" t="str">
        <f t="shared" si="60"/>
        <v/>
      </c>
      <c r="M107" s="173" t="str">
        <f t="shared" si="62"/>
        <v/>
      </c>
      <c r="N107" s="173" t="str">
        <f t="shared" si="63"/>
        <v/>
      </c>
      <c r="O107" s="173" t="str">
        <f t="shared" si="64"/>
        <v/>
      </c>
      <c r="P107" s="173" t="str">
        <f t="shared" si="54"/>
        <v/>
      </c>
      <c r="Q107" s="173" t="str">
        <f t="shared" si="56"/>
        <v/>
      </c>
      <c r="R107" s="173" t="str">
        <f t="shared" si="61"/>
        <v/>
      </c>
      <c r="S107" s="176" t="str">
        <f>IF(A106=$D$8,XIRR(U$27:U106,C$27:C106),"")</f>
        <v/>
      </c>
      <c r="T107" s="173" t="str">
        <f t="shared" si="44"/>
        <v/>
      </c>
      <c r="U107" s="173">
        <f t="shared" si="52"/>
        <v>0</v>
      </c>
      <c r="V107" s="141" t="e">
        <f t="shared" ca="1" si="45"/>
        <v>#VALUE!</v>
      </c>
      <c r="W107" s="141" t="e">
        <f t="shared" ca="1" si="50"/>
        <v>#VALUE!</v>
      </c>
      <c r="X107" s="141" t="e">
        <f t="shared" ca="1" si="46"/>
        <v>#VALUE!</v>
      </c>
      <c r="Y107" s="177" t="e">
        <f t="shared" ca="1" si="38"/>
        <v>#VALUE!</v>
      </c>
      <c r="Z107" s="178" t="e">
        <f t="shared" ca="1" si="47"/>
        <v>#VALUE!</v>
      </c>
      <c r="AA107" s="141">
        <v>80</v>
      </c>
    </row>
    <row r="108" spans="1:30" x14ac:dyDescent="0.35">
      <c r="A108" s="175" t="str">
        <f t="shared" si="51"/>
        <v/>
      </c>
      <c r="B108" s="172">
        <f t="shared" ca="1" si="48"/>
        <v>47660</v>
      </c>
      <c r="C108" s="172" t="str">
        <f t="shared" ca="1" si="49"/>
        <v xml:space="preserve"> </v>
      </c>
      <c r="D108" s="175" t="str">
        <f t="shared" si="57"/>
        <v/>
      </c>
      <c r="E108" s="173" t="e">
        <f t="shared" ca="1" si="43"/>
        <v>#VALUE!</v>
      </c>
      <c r="F108" s="173" t="str">
        <f>IF(A107=$D$8,SUM(F$28:F107),IF(A107&gt;$D$8,"",G108+H108))</f>
        <v/>
      </c>
      <c r="G108" s="173" t="str">
        <f>IF(A107=$D$8,ROUND(SUM($G$28:G107),2),IF(A108&gt;$F$8,"",IF(W108&lt;&gt;W107,ROUND(SUM(Y108*$E$12*E107/W108,Z108*$E$12*E107/W107),2),ROUND(E107*$E$12*D108/W107,2))))</f>
        <v/>
      </c>
      <c r="H108" s="173" t="str">
        <f>IF(AND(A107="",A109=""),"",IF(A108="",ROUND(SUM($H$28:H107),2),IF(A108=$D$8,$H$27-ROUND(SUM($H$28:H107),2),ROUND($H$27/$D$8,2))))</f>
        <v/>
      </c>
      <c r="I108" s="173" t="str">
        <f t="shared" si="58"/>
        <v/>
      </c>
      <c r="J108" s="173" t="str">
        <f t="shared" si="59"/>
        <v/>
      </c>
      <c r="K108" s="173" t="str">
        <f t="shared" si="55"/>
        <v/>
      </c>
      <c r="L108" s="173" t="str">
        <f t="shared" si="60"/>
        <v/>
      </c>
      <c r="M108" s="173" t="str">
        <f t="shared" si="62"/>
        <v/>
      </c>
      <c r="N108" s="173" t="str">
        <f t="shared" si="63"/>
        <v/>
      </c>
      <c r="O108" s="173" t="str">
        <f t="shared" si="64"/>
        <v/>
      </c>
      <c r="P108" s="173" t="str">
        <f t="shared" si="54"/>
        <v/>
      </c>
      <c r="Q108" s="173" t="str">
        <f t="shared" si="56"/>
        <v/>
      </c>
      <c r="R108" s="173" t="str">
        <f t="shared" si="61"/>
        <v/>
      </c>
      <c r="S108" s="176" t="str">
        <f>IF(A107=$D$8,XIRR(U$27:U107,C$27:C107),"")</f>
        <v/>
      </c>
      <c r="T108" s="173" t="str">
        <f t="shared" si="44"/>
        <v/>
      </c>
      <c r="U108" s="173">
        <f t="shared" si="52"/>
        <v>0</v>
      </c>
      <c r="V108" s="141" t="e">
        <f t="shared" ca="1" si="45"/>
        <v>#VALUE!</v>
      </c>
      <c r="W108" s="141" t="e">
        <f t="shared" ca="1" si="50"/>
        <v>#VALUE!</v>
      </c>
      <c r="X108" s="141" t="e">
        <f t="shared" ca="1" si="46"/>
        <v>#VALUE!</v>
      </c>
      <c r="Y108" s="177" t="e">
        <f t="shared" ca="1" si="38"/>
        <v>#VALUE!</v>
      </c>
      <c r="Z108" s="178" t="e">
        <f t="shared" ca="1" si="47"/>
        <v>#VALUE!</v>
      </c>
      <c r="AA108" s="141">
        <v>81</v>
      </c>
    </row>
    <row r="109" spans="1:30" x14ac:dyDescent="0.35">
      <c r="A109" s="175" t="str">
        <f t="shared" si="51"/>
        <v/>
      </c>
      <c r="B109" s="172">
        <f t="shared" ca="1" si="48"/>
        <v>47690</v>
      </c>
      <c r="C109" s="172" t="str">
        <f t="shared" ca="1" si="49"/>
        <v xml:space="preserve"> </v>
      </c>
      <c r="D109" s="175" t="str">
        <f t="shared" si="57"/>
        <v/>
      </c>
      <c r="E109" s="173" t="e">
        <f t="shared" ca="1" si="43"/>
        <v>#VALUE!</v>
      </c>
      <c r="F109" s="173" t="str">
        <f>IF(A108=$D$8,SUM(F$28:F108),IF(A108&gt;$D$8,"",G109+H109))</f>
        <v/>
      </c>
      <c r="G109" s="173" t="str">
        <f>IF(A108=$D$8,ROUND(SUM($G$28:G108),2),IF(A109&gt;$F$8,"",IF(W109&lt;&gt;W108,ROUND(SUM(Y109*$E$12*E108/W109,Z109*$E$12*E108/W108),2),ROUND(E108*$E$12*D109/W108,2))))</f>
        <v/>
      </c>
      <c r="H109" s="173" t="str">
        <f>IF(AND(A108="",A110=""),"",IF(A109="",ROUND(SUM($H$28:H108),2),IF(A109=$D$8,$H$27-ROUND(SUM($H$28:H108),2),ROUND($H$27/$D$8,2))))</f>
        <v/>
      </c>
      <c r="I109" s="173" t="str">
        <f t="shared" si="58"/>
        <v/>
      </c>
      <c r="J109" s="173" t="str">
        <f t="shared" si="59"/>
        <v/>
      </c>
      <c r="K109" s="173" t="str">
        <f t="shared" si="55"/>
        <v/>
      </c>
      <c r="L109" s="173" t="str">
        <f t="shared" si="60"/>
        <v/>
      </c>
      <c r="M109" s="173" t="str">
        <f t="shared" si="62"/>
        <v/>
      </c>
      <c r="N109" s="173" t="str">
        <f t="shared" si="63"/>
        <v/>
      </c>
      <c r="O109" s="173" t="str">
        <f t="shared" si="64"/>
        <v/>
      </c>
      <c r="P109" s="173" t="str">
        <f t="shared" si="54"/>
        <v/>
      </c>
      <c r="Q109" s="173" t="str">
        <f t="shared" si="56"/>
        <v/>
      </c>
      <c r="R109" s="173" t="str">
        <f t="shared" si="61"/>
        <v/>
      </c>
      <c r="S109" s="176" t="str">
        <f>IF(A108=$D$8,XIRR(U$27:U108,C$27:C108),"")</f>
        <v/>
      </c>
      <c r="T109" s="173" t="str">
        <f t="shared" si="44"/>
        <v/>
      </c>
      <c r="U109" s="173">
        <f t="shared" si="52"/>
        <v>0</v>
      </c>
      <c r="V109" s="141" t="e">
        <f t="shared" ca="1" si="45"/>
        <v>#VALUE!</v>
      </c>
      <c r="W109" s="141" t="e">
        <f t="shared" ca="1" si="50"/>
        <v>#VALUE!</v>
      </c>
      <c r="X109" s="141" t="e">
        <f t="shared" ca="1" si="46"/>
        <v>#VALUE!</v>
      </c>
      <c r="Y109" s="177" t="e">
        <f t="shared" ca="1" si="38"/>
        <v>#VALUE!</v>
      </c>
      <c r="Z109" s="178" t="e">
        <f t="shared" ca="1" si="47"/>
        <v>#VALUE!</v>
      </c>
      <c r="AA109" s="141">
        <v>82</v>
      </c>
    </row>
    <row r="110" spans="1:30" x14ac:dyDescent="0.35">
      <c r="A110" s="175" t="str">
        <f t="shared" si="51"/>
        <v/>
      </c>
      <c r="B110" s="172">
        <f t="shared" ca="1" si="48"/>
        <v>47721</v>
      </c>
      <c r="C110" s="172" t="str">
        <f t="shared" ca="1" si="49"/>
        <v xml:space="preserve"> </v>
      </c>
      <c r="D110" s="175" t="str">
        <f t="shared" si="57"/>
        <v/>
      </c>
      <c r="E110" s="173" t="e">
        <f t="shared" ca="1" si="43"/>
        <v>#VALUE!</v>
      </c>
      <c r="F110" s="173" t="str">
        <f>IF(A109=$D$8,SUM(F$28:F109),IF(A109&gt;$D$8,"",G110+H110))</f>
        <v/>
      </c>
      <c r="G110" s="173" t="str">
        <f>IF(A109=$D$8,ROUND(SUM($G$28:G109),2),IF(A110&gt;$F$8,"",IF(W110&lt;&gt;W109,ROUND(SUM(Y110*$E$12*E109/W110,Z110*$E$12*E109/W109),2),ROUND(E109*$E$12*D110/W109,2))))</f>
        <v/>
      </c>
      <c r="H110" s="173" t="str">
        <f>IF(AND(A109="",A111=""),"",IF(A110="",ROUND(SUM($H$28:H109),2),IF(A110=$D$8,$H$27-ROUND(SUM($H$28:H109),2),ROUND($H$27/$D$8,2))))</f>
        <v/>
      </c>
      <c r="I110" s="173" t="str">
        <f t="shared" si="58"/>
        <v/>
      </c>
      <c r="J110" s="173" t="str">
        <f t="shared" si="59"/>
        <v/>
      </c>
      <c r="K110" s="173" t="str">
        <f t="shared" si="55"/>
        <v/>
      </c>
      <c r="L110" s="173" t="str">
        <f t="shared" si="60"/>
        <v/>
      </c>
      <c r="M110" s="173" t="str">
        <f t="shared" si="62"/>
        <v/>
      </c>
      <c r="N110" s="173" t="str">
        <f t="shared" si="63"/>
        <v/>
      </c>
      <c r="O110" s="173" t="str">
        <f t="shared" si="64"/>
        <v/>
      </c>
      <c r="P110" s="173" t="str">
        <f t="shared" si="54"/>
        <v/>
      </c>
      <c r="Q110" s="173" t="str">
        <f t="shared" si="56"/>
        <v/>
      </c>
      <c r="R110" s="173" t="str">
        <f t="shared" si="61"/>
        <v/>
      </c>
      <c r="S110" s="176" t="str">
        <f>IF(A109=$D$8,XIRR(U$27:U109,C$27:C109),"")</f>
        <v/>
      </c>
      <c r="T110" s="173" t="str">
        <f t="shared" si="44"/>
        <v/>
      </c>
      <c r="U110" s="173">
        <f t="shared" si="52"/>
        <v>0</v>
      </c>
      <c r="V110" s="141" t="e">
        <f t="shared" ca="1" si="45"/>
        <v>#VALUE!</v>
      </c>
      <c r="W110" s="141" t="e">
        <f t="shared" ca="1" si="50"/>
        <v>#VALUE!</v>
      </c>
      <c r="X110" s="141" t="e">
        <f t="shared" ca="1" si="46"/>
        <v>#VALUE!</v>
      </c>
      <c r="Y110" s="177" t="e">
        <f t="shared" ca="1" si="38"/>
        <v>#VALUE!</v>
      </c>
      <c r="Z110" s="178" t="e">
        <f t="shared" ca="1" si="47"/>
        <v>#VALUE!</v>
      </c>
      <c r="AA110" s="141">
        <v>83</v>
      </c>
      <c r="AD110" s="179"/>
    </row>
    <row r="111" spans="1:30" x14ac:dyDescent="0.35">
      <c r="A111" s="175" t="str">
        <f t="shared" si="51"/>
        <v/>
      </c>
      <c r="B111" s="172">
        <f t="shared" ca="1" si="48"/>
        <v>47752</v>
      </c>
      <c r="C111" s="172" t="str">
        <f t="shared" ca="1" si="49"/>
        <v xml:space="preserve"> </v>
      </c>
      <c r="D111" s="175" t="str">
        <f t="shared" si="57"/>
        <v/>
      </c>
      <c r="E111" s="173" t="e">
        <f t="shared" ca="1" si="43"/>
        <v>#VALUE!</v>
      </c>
      <c r="F111" s="173" t="str">
        <f>IF(A110=$D$8,SUM(F$28:F110),IF(A110&gt;$D$8,"",G111+H111))</f>
        <v/>
      </c>
      <c r="G111" s="173" t="str">
        <f>IF(A110=$D$8,ROUND(SUM($G$28:G110),2),IF(A111&gt;$F$8,"",IF(W111&lt;&gt;W110,ROUND(SUM(Y111*$E$12*E110/W111,Z111*$E$12*E110/W110),2),ROUND(E110*$E$12*D111/W110,2))))</f>
        <v/>
      </c>
      <c r="H111" s="173" t="str">
        <f>IF(AND(A110="",A112=""),"",IF(A111="",ROUND(SUM($H$28:H110),2),IF(A111=$D$8,$H$27-ROUND(SUM($H$28:H110),2),ROUND($H$27/$D$8,2))))</f>
        <v/>
      </c>
      <c r="I111" s="173" t="str">
        <f t="shared" si="58"/>
        <v/>
      </c>
      <c r="J111" s="173" t="str">
        <f t="shared" si="59"/>
        <v/>
      </c>
      <c r="K111" s="173" t="str">
        <f t="shared" si="55"/>
        <v/>
      </c>
      <c r="L111" s="173" t="str">
        <f t="shared" si="60"/>
        <v/>
      </c>
      <c r="M111" s="173" t="str">
        <f t="shared" si="62"/>
        <v/>
      </c>
      <c r="N111" s="173" t="str">
        <f t="shared" si="63"/>
        <v/>
      </c>
      <c r="O111" s="173" t="str">
        <f t="shared" si="64"/>
        <v/>
      </c>
      <c r="P111" s="173" t="str">
        <f t="shared" si="54"/>
        <v/>
      </c>
      <c r="Q111" s="173" t="str">
        <f t="shared" si="56"/>
        <v/>
      </c>
      <c r="R111" s="173" t="str">
        <f t="shared" si="61"/>
        <v/>
      </c>
      <c r="S111" s="176" t="str">
        <f>IF(A110=$D$8,XIRR(U$27:U110,C$27:C110),"")</f>
        <v/>
      </c>
      <c r="T111" s="173" t="str">
        <f t="shared" si="44"/>
        <v/>
      </c>
      <c r="U111" s="173">
        <f t="shared" si="52"/>
        <v>0</v>
      </c>
      <c r="V111" s="141" t="e">
        <f t="shared" ca="1" si="45"/>
        <v>#VALUE!</v>
      </c>
      <c r="W111" s="141" t="e">
        <f t="shared" ca="1" si="50"/>
        <v>#VALUE!</v>
      </c>
      <c r="X111" s="141" t="e">
        <f t="shared" ca="1" si="46"/>
        <v>#VALUE!</v>
      </c>
      <c r="Y111" s="177" t="e">
        <f t="shared" ca="1" si="38"/>
        <v>#VALUE!</v>
      </c>
      <c r="Z111" s="178" t="e">
        <f t="shared" ca="1" si="47"/>
        <v>#VALUE!</v>
      </c>
      <c r="AA111" s="141">
        <v>84</v>
      </c>
    </row>
    <row r="112" spans="1:30" x14ac:dyDescent="0.35">
      <c r="A112" s="175" t="str">
        <f t="shared" si="51"/>
        <v/>
      </c>
      <c r="B112" s="172">
        <f t="shared" ca="1" si="48"/>
        <v>47782</v>
      </c>
      <c r="C112" s="172" t="str">
        <f t="shared" ca="1" si="49"/>
        <v xml:space="preserve"> </v>
      </c>
      <c r="D112" s="175" t="str">
        <f t="shared" si="57"/>
        <v/>
      </c>
      <c r="E112" s="173" t="e">
        <f t="shared" ca="1" si="43"/>
        <v>#VALUE!</v>
      </c>
      <c r="F112" s="173" t="str">
        <f>IF(A111=$D$8,SUM(F$28:F111),IF(A111&gt;$D$8,"",G112+H112))</f>
        <v/>
      </c>
      <c r="G112" s="173" t="str">
        <f>IF(A111=$D$8,ROUND(SUM($G$28:G111),2),IF(A112&gt;$F$8,"",IF(W112&lt;&gt;W111,ROUND(SUM(Y112*$E$12*E111/W112,Z112*$E$12*E111/W111),2),ROUND(E111*$E$12*D112/W111,2))))</f>
        <v/>
      </c>
      <c r="H112" s="173" t="str">
        <f>IF(AND(A111="",A113=""),"",IF(A112="",ROUND(SUM($H$28:H111),2),IF(A112=$D$8,$H$27-ROUND(SUM($H$28:H111),2),ROUND($H$27/$D$8,2))))</f>
        <v/>
      </c>
      <c r="I112" s="173" t="str">
        <f t="shared" si="58"/>
        <v/>
      </c>
      <c r="J112" s="173" t="str">
        <f t="shared" si="59"/>
        <v/>
      </c>
      <c r="K112" s="173" t="str">
        <f>IF($F$8&gt;84,($R$14),IF(A111=$F$8,K100+K88+K76+K64+K52+K40+K27,""))</f>
        <v/>
      </c>
      <c r="L112" s="173" t="str">
        <f t="shared" si="60"/>
        <v/>
      </c>
      <c r="M112" s="173" t="str">
        <f t="shared" si="62"/>
        <v/>
      </c>
      <c r="N112" s="173" t="str">
        <f t="shared" si="63"/>
        <v/>
      </c>
      <c r="O112" s="173" t="str">
        <f t="shared" si="64"/>
        <v/>
      </c>
      <c r="P112" s="173" t="str">
        <f t="shared" si="54"/>
        <v/>
      </c>
      <c r="Q112" s="173" t="str">
        <f>IF($F$8&gt;84,($S$8+$S$10),IF($A111=$F$8,$Q$40+$Q$27+$Q$52+$Q$64+$Q$76+$Q$88+$Q$100,""))</f>
        <v/>
      </c>
      <c r="R112" s="173" t="str">
        <f t="shared" si="61"/>
        <v/>
      </c>
      <c r="S112" s="176" t="str">
        <f>IF(A111=$D$8,XIRR(U$27:U111,C$27:C111),"")</f>
        <v/>
      </c>
      <c r="T112" s="173" t="str">
        <f t="shared" si="44"/>
        <v/>
      </c>
      <c r="U112" s="173">
        <f t="shared" si="52"/>
        <v>0</v>
      </c>
      <c r="V112" s="141" t="e">
        <f t="shared" ca="1" si="45"/>
        <v>#VALUE!</v>
      </c>
      <c r="W112" s="141" t="e">
        <f t="shared" ca="1" si="50"/>
        <v>#VALUE!</v>
      </c>
      <c r="X112" s="141" t="e">
        <f t="shared" ca="1" si="46"/>
        <v>#VALUE!</v>
      </c>
      <c r="Y112" s="177" t="e">
        <f t="shared" ref="Y112:Y175" ca="1" si="65">X112-1</f>
        <v>#VALUE!</v>
      </c>
      <c r="Z112" s="178" t="e">
        <f t="shared" ca="1" si="47"/>
        <v>#VALUE!</v>
      </c>
      <c r="AA112" s="141">
        <v>85</v>
      </c>
    </row>
    <row r="113" spans="1:27" x14ac:dyDescent="0.35">
      <c r="A113" s="175" t="str">
        <f t="shared" si="51"/>
        <v/>
      </c>
      <c r="B113" s="172">
        <f t="shared" ca="1" si="48"/>
        <v>47813</v>
      </c>
      <c r="C113" s="172" t="str">
        <f t="shared" ca="1" si="49"/>
        <v xml:space="preserve"> </v>
      </c>
      <c r="D113" s="175" t="str">
        <f t="shared" si="57"/>
        <v/>
      </c>
      <c r="E113" s="173" t="e">
        <f t="shared" ca="1" si="43"/>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58"/>
        <v/>
      </c>
      <c r="J113" s="173" t="str">
        <f t="shared" si="59"/>
        <v/>
      </c>
      <c r="K113" s="173" t="str">
        <f t="shared" ref="K113:K176" si="66">IF(A112=$D$8,$K$27,"")</f>
        <v/>
      </c>
      <c r="L113" s="173" t="str">
        <f t="shared" si="60"/>
        <v/>
      </c>
      <c r="M113" s="173" t="str">
        <f t="shared" si="62"/>
        <v/>
      </c>
      <c r="N113" s="173" t="str">
        <f t="shared" si="63"/>
        <v/>
      </c>
      <c r="O113" s="173" t="str">
        <f t="shared" si="64"/>
        <v/>
      </c>
      <c r="P113" s="173" t="str">
        <f t="shared" si="54"/>
        <v/>
      </c>
      <c r="Q113" s="173" t="str">
        <f t="shared" ref="Q113:Q123" si="67">IF(A112=$D$8,$Q$27,"")</f>
        <v/>
      </c>
      <c r="R113" s="173" t="str">
        <f t="shared" si="61"/>
        <v/>
      </c>
      <c r="S113" s="176" t="str">
        <f>IF(A112=$D$8,XIRR(U$27:U112,C$27:C112),"")</f>
        <v/>
      </c>
      <c r="T113" s="173" t="str">
        <f t="shared" si="44"/>
        <v/>
      </c>
      <c r="U113" s="173">
        <f t="shared" si="52"/>
        <v>0</v>
      </c>
      <c r="V113" s="141" t="e">
        <f t="shared" ca="1" si="45"/>
        <v>#VALUE!</v>
      </c>
      <c r="W113" s="141" t="e">
        <f t="shared" ca="1" si="50"/>
        <v>#VALUE!</v>
      </c>
      <c r="X113" s="141" t="e">
        <f t="shared" ca="1" si="46"/>
        <v>#VALUE!</v>
      </c>
      <c r="Y113" s="177" t="e">
        <f t="shared" ca="1" si="65"/>
        <v>#VALUE!</v>
      </c>
      <c r="Z113" s="178" t="e">
        <f t="shared" ca="1" si="47"/>
        <v>#VALUE!</v>
      </c>
      <c r="AA113" s="141">
        <v>86</v>
      </c>
    </row>
    <row r="114" spans="1:27" x14ac:dyDescent="0.35">
      <c r="A114" s="175" t="str">
        <f t="shared" si="51"/>
        <v/>
      </c>
      <c r="B114" s="172">
        <f t="shared" ca="1" si="48"/>
        <v>47843</v>
      </c>
      <c r="C114" s="172" t="str">
        <f t="shared" ca="1" si="49"/>
        <v xml:space="preserve"> </v>
      </c>
      <c r="D114" s="175" t="str">
        <f t="shared" si="57"/>
        <v/>
      </c>
      <c r="E114" s="173" t="e">
        <f t="shared" ca="1" si="43"/>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58"/>
        <v/>
      </c>
      <c r="J114" s="173" t="str">
        <f t="shared" si="59"/>
        <v/>
      </c>
      <c r="K114" s="173" t="str">
        <f t="shared" si="66"/>
        <v/>
      </c>
      <c r="L114" s="173" t="str">
        <f t="shared" si="60"/>
        <v/>
      </c>
      <c r="M114" s="173" t="str">
        <f t="shared" si="62"/>
        <v/>
      </c>
      <c r="N114" s="173" t="str">
        <f t="shared" si="63"/>
        <v/>
      </c>
      <c r="O114" s="173" t="str">
        <f t="shared" si="64"/>
        <v/>
      </c>
      <c r="P114" s="173" t="str">
        <f t="shared" si="54"/>
        <v/>
      </c>
      <c r="Q114" s="173" t="str">
        <f t="shared" si="67"/>
        <v/>
      </c>
      <c r="R114" s="173" t="str">
        <f t="shared" si="61"/>
        <v/>
      </c>
      <c r="S114" s="176" t="str">
        <f>IF(A113=$D$8,XIRR(U$27:U113,C$27:C113),"")</f>
        <v/>
      </c>
      <c r="T114" s="173" t="str">
        <f t="shared" si="44"/>
        <v/>
      </c>
      <c r="U114" s="173">
        <f t="shared" si="52"/>
        <v>0</v>
      </c>
      <c r="V114" s="141" t="e">
        <f t="shared" ca="1" si="45"/>
        <v>#VALUE!</v>
      </c>
      <c r="W114" s="141" t="e">
        <f t="shared" ca="1" si="50"/>
        <v>#VALUE!</v>
      </c>
      <c r="X114" s="141" t="e">
        <f t="shared" ca="1" si="46"/>
        <v>#VALUE!</v>
      </c>
      <c r="Y114" s="177" t="e">
        <f t="shared" ca="1" si="65"/>
        <v>#VALUE!</v>
      </c>
      <c r="Z114" s="178" t="e">
        <f t="shared" ca="1" si="47"/>
        <v>#VALUE!</v>
      </c>
      <c r="AA114" s="141">
        <v>87</v>
      </c>
    </row>
    <row r="115" spans="1:27" x14ac:dyDescent="0.35">
      <c r="A115" s="175" t="str">
        <f t="shared" si="51"/>
        <v/>
      </c>
      <c r="B115" s="172">
        <f t="shared" ca="1" si="48"/>
        <v>47874</v>
      </c>
      <c r="C115" s="172" t="str">
        <f t="shared" ca="1" si="49"/>
        <v xml:space="preserve"> </v>
      </c>
      <c r="D115" s="175" t="str">
        <f t="shared" si="57"/>
        <v/>
      </c>
      <c r="E115" s="173" t="e">
        <f t="shared" ca="1" si="43"/>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58"/>
        <v/>
      </c>
      <c r="J115" s="173" t="str">
        <f t="shared" si="59"/>
        <v/>
      </c>
      <c r="K115" s="173" t="str">
        <f t="shared" si="66"/>
        <v/>
      </c>
      <c r="L115" s="173" t="str">
        <f t="shared" si="60"/>
        <v/>
      </c>
      <c r="M115" s="173" t="str">
        <f t="shared" si="62"/>
        <v/>
      </c>
      <c r="N115" s="173" t="str">
        <f t="shared" si="63"/>
        <v/>
      </c>
      <c r="O115" s="173" t="str">
        <f t="shared" si="64"/>
        <v/>
      </c>
      <c r="P115" s="173" t="str">
        <f t="shared" si="54"/>
        <v/>
      </c>
      <c r="Q115" s="173" t="str">
        <f t="shared" si="67"/>
        <v/>
      </c>
      <c r="R115" s="173" t="str">
        <f t="shared" si="61"/>
        <v/>
      </c>
      <c r="S115" s="176" t="str">
        <f>IF(A114=$D$8,XIRR(U$27:U114,C$27:C114),"")</f>
        <v/>
      </c>
      <c r="T115" s="173" t="str">
        <f t="shared" si="44"/>
        <v/>
      </c>
      <c r="U115" s="173">
        <f t="shared" si="52"/>
        <v>0</v>
      </c>
      <c r="V115" s="141" t="e">
        <f t="shared" ca="1" si="45"/>
        <v>#VALUE!</v>
      </c>
      <c r="W115" s="141" t="e">
        <f t="shared" ca="1" si="50"/>
        <v>#VALUE!</v>
      </c>
      <c r="X115" s="141" t="e">
        <f t="shared" ca="1" si="46"/>
        <v>#VALUE!</v>
      </c>
      <c r="Y115" s="177" t="e">
        <f t="shared" ca="1" si="65"/>
        <v>#VALUE!</v>
      </c>
      <c r="Z115" s="178" t="e">
        <f t="shared" ca="1" si="47"/>
        <v>#VALUE!</v>
      </c>
      <c r="AA115" s="141">
        <v>88</v>
      </c>
    </row>
    <row r="116" spans="1:27" x14ac:dyDescent="0.35">
      <c r="A116" s="175" t="str">
        <f t="shared" si="51"/>
        <v/>
      </c>
      <c r="B116" s="172">
        <f t="shared" ca="1" si="48"/>
        <v>47905</v>
      </c>
      <c r="C116" s="172" t="str">
        <f t="shared" ca="1" si="49"/>
        <v xml:space="preserve"> </v>
      </c>
      <c r="D116" s="175" t="str">
        <f t="shared" si="57"/>
        <v/>
      </c>
      <c r="E116" s="173" t="e">
        <f t="shared" ca="1" si="43"/>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58"/>
        <v/>
      </c>
      <c r="J116" s="173" t="str">
        <f t="shared" si="59"/>
        <v/>
      </c>
      <c r="K116" s="173" t="str">
        <f t="shared" si="66"/>
        <v/>
      </c>
      <c r="L116" s="173" t="str">
        <f t="shared" si="60"/>
        <v/>
      </c>
      <c r="M116" s="173" t="str">
        <f t="shared" si="62"/>
        <v/>
      </c>
      <c r="N116" s="173" t="str">
        <f t="shared" si="63"/>
        <v/>
      </c>
      <c r="O116" s="173" t="str">
        <f t="shared" si="64"/>
        <v/>
      </c>
      <c r="P116" s="173" t="str">
        <f t="shared" si="54"/>
        <v/>
      </c>
      <c r="Q116" s="173" t="str">
        <f t="shared" si="67"/>
        <v/>
      </c>
      <c r="R116" s="173" t="str">
        <f t="shared" si="61"/>
        <v/>
      </c>
      <c r="S116" s="176" t="str">
        <f>IF(A115=$D$8,XIRR(U$27:U115,C$27:C115),"")</f>
        <v/>
      </c>
      <c r="T116" s="173" t="str">
        <f t="shared" si="44"/>
        <v/>
      </c>
      <c r="U116" s="173">
        <f t="shared" si="52"/>
        <v>0</v>
      </c>
      <c r="V116" s="141" t="e">
        <f t="shared" ca="1" si="45"/>
        <v>#VALUE!</v>
      </c>
      <c r="W116" s="141" t="e">
        <f t="shared" ca="1" si="50"/>
        <v>#VALUE!</v>
      </c>
      <c r="X116" s="141" t="e">
        <f t="shared" ca="1" si="46"/>
        <v>#VALUE!</v>
      </c>
      <c r="Y116" s="177" t="e">
        <f t="shared" ca="1" si="65"/>
        <v>#VALUE!</v>
      </c>
      <c r="Z116" s="178" t="e">
        <f t="shared" ca="1" si="47"/>
        <v>#VALUE!</v>
      </c>
      <c r="AA116" s="141">
        <v>89</v>
      </c>
    </row>
    <row r="117" spans="1:27" x14ac:dyDescent="0.35">
      <c r="A117" s="175" t="str">
        <f t="shared" si="51"/>
        <v/>
      </c>
      <c r="B117" s="172">
        <f t="shared" ca="1" si="48"/>
        <v>47933</v>
      </c>
      <c r="C117" s="172" t="str">
        <f t="shared" ca="1" si="49"/>
        <v xml:space="preserve"> </v>
      </c>
      <c r="D117" s="175" t="str">
        <f t="shared" si="57"/>
        <v/>
      </c>
      <c r="E117" s="173" t="e">
        <f t="shared" ca="1" si="43"/>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58"/>
        <v/>
      </c>
      <c r="J117" s="173" t="str">
        <f t="shared" si="59"/>
        <v/>
      </c>
      <c r="K117" s="173" t="str">
        <f t="shared" si="66"/>
        <v/>
      </c>
      <c r="L117" s="173" t="str">
        <f t="shared" si="60"/>
        <v/>
      </c>
      <c r="M117" s="173" t="str">
        <f t="shared" si="62"/>
        <v/>
      </c>
      <c r="N117" s="173" t="str">
        <f t="shared" si="63"/>
        <v/>
      </c>
      <c r="O117" s="173" t="str">
        <f t="shared" si="64"/>
        <v/>
      </c>
      <c r="P117" s="173" t="str">
        <f t="shared" si="54"/>
        <v/>
      </c>
      <c r="Q117" s="173" t="str">
        <f t="shared" si="67"/>
        <v/>
      </c>
      <c r="R117" s="173" t="str">
        <f t="shared" si="61"/>
        <v/>
      </c>
      <c r="S117" s="176" t="str">
        <f>IF(A116=$D$8,XIRR(U$27:U116,C$27:C116),"")</f>
        <v/>
      </c>
      <c r="T117" s="173" t="str">
        <f t="shared" si="44"/>
        <v/>
      </c>
      <c r="U117" s="173">
        <f t="shared" si="52"/>
        <v>0</v>
      </c>
      <c r="V117" s="141" t="e">
        <f t="shared" ca="1" si="45"/>
        <v>#VALUE!</v>
      </c>
      <c r="W117" s="141" t="e">
        <f t="shared" ca="1" si="50"/>
        <v>#VALUE!</v>
      </c>
      <c r="X117" s="141" t="e">
        <f t="shared" ca="1" si="46"/>
        <v>#VALUE!</v>
      </c>
      <c r="Y117" s="177" t="e">
        <f t="shared" ca="1" si="65"/>
        <v>#VALUE!</v>
      </c>
      <c r="Z117" s="178" t="e">
        <f t="shared" ca="1" si="47"/>
        <v>#VALUE!</v>
      </c>
      <c r="AA117" s="141">
        <v>90</v>
      </c>
    </row>
    <row r="118" spans="1:27" x14ac:dyDescent="0.35">
      <c r="A118" s="175" t="str">
        <f t="shared" si="51"/>
        <v/>
      </c>
      <c r="B118" s="172">
        <f t="shared" ca="1" si="48"/>
        <v>47964</v>
      </c>
      <c r="C118" s="172" t="str">
        <f t="shared" ca="1" si="49"/>
        <v xml:space="preserve"> </v>
      </c>
      <c r="D118" s="175" t="str">
        <f t="shared" si="57"/>
        <v/>
      </c>
      <c r="E118" s="173" t="e">
        <f t="shared" ca="1" si="43"/>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58"/>
        <v/>
      </c>
      <c r="J118" s="173" t="str">
        <f t="shared" si="59"/>
        <v/>
      </c>
      <c r="K118" s="173" t="str">
        <f t="shared" si="66"/>
        <v/>
      </c>
      <c r="L118" s="173" t="str">
        <f t="shared" si="60"/>
        <v/>
      </c>
      <c r="M118" s="173" t="str">
        <f t="shared" si="62"/>
        <v/>
      </c>
      <c r="N118" s="173" t="str">
        <f t="shared" si="63"/>
        <v/>
      </c>
      <c r="O118" s="173" t="str">
        <f t="shared" si="64"/>
        <v/>
      </c>
      <c r="P118" s="173" t="str">
        <f t="shared" si="54"/>
        <v/>
      </c>
      <c r="Q118" s="173" t="str">
        <f t="shared" si="67"/>
        <v/>
      </c>
      <c r="R118" s="173" t="str">
        <f t="shared" si="61"/>
        <v/>
      </c>
      <c r="S118" s="176" t="str">
        <f>IF(A117=$D$8,XIRR(U$27:U117,C$27:C117),"")</f>
        <v/>
      </c>
      <c r="T118" s="173" t="str">
        <f t="shared" si="44"/>
        <v/>
      </c>
      <c r="U118" s="173">
        <f t="shared" si="52"/>
        <v>0</v>
      </c>
      <c r="V118" s="141" t="e">
        <f t="shared" ca="1" si="45"/>
        <v>#VALUE!</v>
      </c>
      <c r="W118" s="141" t="e">
        <f t="shared" ca="1" si="50"/>
        <v>#VALUE!</v>
      </c>
      <c r="X118" s="141" t="e">
        <f t="shared" ca="1" si="46"/>
        <v>#VALUE!</v>
      </c>
      <c r="Y118" s="177" t="e">
        <f t="shared" ca="1" si="65"/>
        <v>#VALUE!</v>
      </c>
      <c r="Z118" s="178" t="e">
        <f t="shared" ca="1" si="47"/>
        <v>#VALUE!</v>
      </c>
      <c r="AA118" s="141">
        <v>91</v>
      </c>
    </row>
    <row r="119" spans="1:27" x14ac:dyDescent="0.35">
      <c r="A119" s="175" t="str">
        <f t="shared" si="51"/>
        <v/>
      </c>
      <c r="B119" s="172">
        <f t="shared" ca="1" si="48"/>
        <v>47994</v>
      </c>
      <c r="C119" s="172" t="str">
        <f t="shared" ca="1" si="49"/>
        <v xml:space="preserve"> </v>
      </c>
      <c r="D119" s="175" t="str">
        <f t="shared" si="57"/>
        <v/>
      </c>
      <c r="E119" s="173" t="e">
        <f t="shared" ca="1" si="43"/>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58"/>
        <v/>
      </c>
      <c r="J119" s="173" t="str">
        <f t="shared" si="59"/>
        <v/>
      </c>
      <c r="K119" s="173" t="str">
        <f t="shared" si="66"/>
        <v/>
      </c>
      <c r="L119" s="173" t="str">
        <f t="shared" si="60"/>
        <v/>
      </c>
      <c r="M119" s="173" t="str">
        <f t="shared" si="62"/>
        <v/>
      </c>
      <c r="N119" s="173" t="str">
        <f t="shared" si="63"/>
        <v/>
      </c>
      <c r="O119" s="173" t="str">
        <f t="shared" si="64"/>
        <v/>
      </c>
      <c r="P119" s="173" t="str">
        <f t="shared" si="54"/>
        <v/>
      </c>
      <c r="Q119" s="173" t="str">
        <f t="shared" si="67"/>
        <v/>
      </c>
      <c r="R119" s="173" t="str">
        <f t="shared" si="61"/>
        <v/>
      </c>
      <c r="S119" s="176" t="str">
        <f>IF(A118=$D$8,XIRR(U$27:U118,C$27:C118),"")</f>
        <v/>
      </c>
      <c r="T119" s="173" t="str">
        <f t="shared" si="44"/>
        <v/>
      </c>
      <c r="U119" s="173">
        <f t="shared" si="52"/>
        <v>0</v>
      </c>
      <c r="V119" s="141" t="e">
        <f t="shared" ca="1" si="45"/>
        <v>#VALUE!</v>
      </c>
      <c r="W119" s="141" t="e">
        <f t="shared" ca="1" si="50"/>
        <v>#VALUE!</v>
      </c>
      <c r="X119" s="141" t="e">
        <f t="shared" ca="1" si="46"/>
        <v>#VALUE!</v>
      </c>
      <c r="Y119" s="177" t="e">
        <f t="shared" ca="1" si="65"/>
        <v>#VALUE!</v>
      </c>
      <c r="Z119" s="178" t="e">
        <f t="shared" ca="1" si="47"/>
        <v>#VALUE!</v>
      </c>
      <c r="AA119" s="141">
        <v>92</v>
      </c>
    </row>
    <row r="120" spans="1:27" x14ac:dyDescent="0.35">
      <c r="A120" s="175" t="str">
        <f t="shared" si="51"/>
        <v/>
      </c>
      <c r="B120" s="172">
        <f t="shared" ca="1" si="48"/>
        <v>48025</v>
      </c>
      <c r="C120" s="172" t="str">
        <f t="shared" ca="1" si="49"/>
        <v xml:space="preserve"> </v>
      </c>
      <c r="D120" s="175" t="str">
        <f t="shared" si="57"/>
        <v/>
      </c>
      <c r="E120" s="173" t="e">
        <f t="shared" ca="1" si="43"/>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58"/>
        <v/>
      </c>
      <c r="J120" s="173" t="str">
        <f t="shared" si="59"/>
        <v/>
      </c>
      <c r="K120" s="173" t="str">
        <f t="shared" si="66"/>
        <v/>
      </c>
      <c r="L120" s="173" t="str">
        <f t="shared" si="60"/>
        <v/>
      </c>
      <c r="M120" s="173" t="str">
        <f t="shared" si="62"/>
        <v/>
      </c>
      <c r="N120" s="173" t="str">
        <f t="shared" si="63"/>
        <v/>
      </c>
      <c r="O120" s="173" t="str">
        <f t="shared" si="64"/>
        <v/>
      </c>
      <c r="P120" s="173" t="str">
        <f t="shared" si="54"/>
        <v/>
      </c>
      <c r="Q120" s="173" t="str">
        <f t="shared" si="67"/>
        <v/>
      </c>
      <c r="R120" s="173" t="str">
        <f t="shared" si="61"/>
        <v/>
      </c>
      <c r="S120" s="176" t="str">
        <f>IF(A119=$D$8,XIRR(U$27:U119,C$27:C119),"")</f>
        <v/>
      </c>
      <c r="T120" s="173" t="str">
        <f t="shared" si="44"/>
        <v/>
      </c>
      <c r="U120" s="173">
        <f t="shared" si="52"/>
        <v>0</v>
      </c>
      <c r="V120" s="141" t="e">
        <f t="shared" ca="1" si="45"/>
        <v>#VALUE!</v>
      </c>
      <c r="W120" s="141" t="e">
        <f t="shared" ca="1" si="50"/>
        <v>#VALUE!</v>
      </c>
      <c r="X120" s="141" t="e">
        <f t="shared" ca="1" si="46"/>
        <v>#VALUE!</v>
      </c>
      <c r="Y120" s="177" t="e">
        <f t="shared" ca="1" si="65"/>
        <v>#VALUE!</v>
      </c>
      <c r="Z120" s="178" t="e">
        <f t="shared" ca="1" si="47"/>
        <v>#VALUE!</v>
      </c>
      <c r="AA120" s="141">
        <v>93</v>
      </c>
    </row>
    <row r="121" spans="1:27" x14ac:dyDescent="0.35">
      <c r="A121" s="175" t="str">
        <f t="shared" si="51"/>
        <v/>
      </c>
      <c r="B121" s="172">
        <f t="shared" ca="1" si="48"/>
        <v>48055</v>
      </c>
      <c r="C121" s="172" t="str">
        <f t="shared" ca="1" si="49"/>
        <v xml:space="preserve"> </v>
      </c>
      <c r="D121" s="175" t="str">
        <f t="shared" si="57"/>
        <v/>
      </c>
      <c r="E121" s="173" t="e">
        <f t="shared" ca="1" si="43"/>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58"/>
        <v/>
      </c>
      <c r="J121" s="173" t="str">
        <f t="shared" si="59"/>
        <v/>
      </c>
      <c r="K121" s="173" t="str">
        <f t="shared" si="66"/>
        <v/>
      </c>
      <c r="L121" s="173" t="str">
        <f t="shared" si="60"/>
        <v/>
      </c>
      <c r="M121" s="173" t="str">
        <f t="shared" si="62"/>
        <v/>
      </c>
      <c r="N121" s="173" t="str">
        <f t="shared" si="63"/>
        <v/>
      </c>
      <c r="O121" s="173" t="str">
        <f t="shared" si="64"/>
        <v/>
      </c>
      <c r="P121" s="173" t="str">
        <f t="shared" si="54"/>
        <v/>
      </c>
      <c r="Q121" s="173" t="str">
        <f t="shared" si="67"/>
        <v/>
      </c>
      <c r="R121" s="173" t="str">
        <f t="shared" si="61"/>
        <v/>
      </c>
      <c r="S121" s="176" t="str">
        <f>IF(A120=$D$8,XIRR(U$27:U120,C$27:C120),"")</f>
        <v/>
      </c>
      <c r="T121" s="173" t="str">
        <f t="shared" si="44"/>
        <v/>
      </c>
      <c r="U121" s="173">
        <f t="shared" si="52"/>
        <v>0</v>
      </c>
      <c r="V121" s="141" t="e">
        <f t="shared" ca="1" si="45"/>
        <v>#VALUE!</v>
      </c>
      <c r="W121" s="141" t="e">
        <f t="shared" ca="1" si="50"/>
        <v>#VALUE!</v>
      </c>
      <c r="X121" s="141" t="e">
        <f t="shared" ca="1" si="46"/>
        <v>#VALUE!</v>
      </c>
      <c r="Y121" s="177" t="e">
        <f t="shared" ca="1" si="65"/>
        <v>#VALUE!</v>
      </c>
      <c r="Z121" s="178" t="e">
        <f t="shared" ca="1" si="47"/>
        <v>#VALUE!</v>
      </c>
      <c r="AA121" s="141">
        <v>94</v>
      </c>
    </row>
    <row r="122" spans="1:27" x14ac:dyDescent="0.35">
      <c r="A122" s="175" t="str">
        <f t="shared" si="51"/>
        <v/>
      </c>
      <c r="B122" s="172">
        <f t="shared" ca="1" si="48"/>
        <v>48086</v>
      </c>
      <c r="C122" s="172" t="str">
        <f t="shared" ca="1" si="49"/>
        <v xml:space="preserve"> </v>
      </c>
      <c r="D122" s="175" t="str">
        <f t="shared" si="57"/>
        <v/>
      </c>
      <c r="E122" s="173" t="e">
        <f t="shared" ca="1" si="43"/>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58"/>
        <v/>
      </c>
      <c r="J122" s="173" t="str">
        <f t="shared" si="59"/>
        <v/>
      </c>
      <c r="K122" s="173" t="str">
        <f t="shared" si="66"/>
        <v/>
      </c>
      <c r="L122" s="173" t="str">
        <f t="shared" si="60"/>
        <v/>
      </c>
      <c r="M122" s="173" t="str">
        <f t="shared" si="62"/>
        <v/>
      </c>
      <c r="N122" s="173" t="str">
        <f t="shared" si="63"/>
        <v/>
      </c>
      <c r="O122" s="173" t="str">
        <f t="shared" si="64"/>
        <v/>
      </c>
      <c r="P122" s="173" t="str">
        <f t="shared" si="54"/>
        <v/>
      </c>
      <c r="Q122" s="173" t="str">
        <f t="shared" si="67"/>
        <v/>
      </c>
      <c r="R122" s="173" t="str">
        <f t="shared" si="61"/>
        <v/>
      </c>
      <c r="S122" s="176" t="str">
        <f>IF(A121=$D$8,XIRR(U$27:U121,C$27:C121),"")</f>
        <v/>
      </c>
      <c r="T122" s="173" t="str">
        <f t="shared" si="44"/>
        <v/>
      </c>
      <c r="U122" s="173">
        <f t="shared" si="52"/>
        <v>0</v>
      </c>
      <c r="V122" s="141" t="e">
        <f t="shared" ca="1" si="45"/>
        <v>#VALUE!</v>
      </c>
      <c r="W122" s="141" t="e">
        <f t="shared" ca="1" si="50"/>
        <v>#VALUE!</v>
      </c>
      <c r="X122" s="141" t="e">
        <f t="shared" ca="1" si="46"/>
        <v>#VALUE!</v>
      </c>
      <c r="Y122" s="177" t="e">
        <f t="shared" ca="1" si="65"/>
        <v>#VALUE!</v>
      </c>
      <c r="Z122" s="178" t="e">
        <f t="shared" ca="1" si="47"/>
        <v>#VALUE!</v>
      </c>
      <c r="AA122" s="141">
        <v>95</v>
      </c>
    </row>
    <row r="123" spans="1:27" x14ac:dyDescent="0.35">
      <c r="A123" s="175" t="str">
        <f t="shared" si="51"/>
        <v/>
      </c>
      <c r="B123" s="172">
        <f t="shared" ca="1" si="48"/>
        <v>48117</v>
      </c>
      <c r="C123" s="172" t="str">
        <f t="shared" ca="1" si="49"/>
        <v xml:space="preserve"> </v>
      </c>
      <c r="D123" s="175" t="str">
        <f t="shared" si="57"/>
        <v/>
      </c>
      <c r="E123" s="173" t="e">
        <f t="shared" ca="1" si="43"/>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58"/>
        <v/>
      </c>
      <c r="J123" s="173" t="str">
        <f t="shared" si="59"/>
        <v/>
      </c>
      <c r="K123" s="173" t="str">
        <f t="shared" si="66"/>
        <v/>
      </c>
      <c r="L123" s="173" t="str">
        <f t="shared" si="60"/>
        <v/>
      </c>
      <c r="M123" s="173" t="str">
        <f t="shared" si="62"/>
        <v/>
      </c>
      <c r="N123" s="173" t="str">
        <f t="shared" si="63"/>
        <v/>
      </c>
      <c r="O123" s="173" t="str">
        <f t="shared" si="64"/>
        <v/>
      </c>
      <c r="P123" s="173" t="str">
        <f t="shared" si="54"/>
        <v/>
      </c>
      <c r="Q123" s="173" t="str">
        <f t="shared" si="67"/>
        <v/>
      </c>
      <c r="R123" s="173" t="str">
        <f t="shared" si="61"/>
        <v/>
      </c>
      <c r="S123" s="176" t="str">
        <f>IF(A122=$D$8,XIRR(U$27:U122,C$27:C122),"")</f>
        <v/>
      </c>
      <c r="T123" s="173" t="str">
        <f t="shared" si="44"/>
        <v/>
      </c>
      <c r="U123" s="173">
        <f t="shared" si="52"/>
        <v>0</v>
      </c>
      <c r="V123" s="141" t="e">
        <f t="shared" ca="1" si="45"/>
        <v>#VALUE!</v>
      </c>
      <c r="W123" s="141" t="e">
        <f t="shared" ca="1" si="50"/>
        <v>#VALUE!</v>
      </c>
      <c r="X123" s="141" t="e">
        <f t="shared" ca="1" si="46"/>
        <v>#VALUE!</v>
      </c>
      <c r="Y123" s="177" t="e">
        <f t="shared" ca="1" si="65"/>
        <v>#VALUE!</v>
      </c>
      <c r="Z123" s="178" t="e">
        <f t="shared" ca="1" si="47"/>
        <v>#VALUE!</v>
      </c>
      <c r="AA123" s="141">
        <v>96</v>
      </c>
    </row>
    <row r="124" spans="1:27" x14ac:dyDescent="0.35">
      <c r="A124" s="175" t="str">
        <f t="shared" si="51"/>
        <v/>
      </c>
      <c r="B124" s="172">
        <f t="shared" ca="1" si="48"/>
        <v>48147</v>
      </c>
      <c r="C124" s="172" t="str">
        <f t="shared" ca="1" si="49"/>
        <v xml:space="preserve"> </v>
      </c>
      <c r="D124" s="175" t="str">
        <f t="shared" si="57"/>
        <v/>
      </c>
      <c r="E124" s="173" t="e">
        <f t="shared" ca="1" si="43"/>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58"/>
        <v/>
      </c>
      <c r="J124" s="173" t="str">
        <f t="shared" si="59"/>
        <v/>
      </c>
      <c r="K124" s="173" t="str">
        <f>IF($F$8&gt;96,($R$14),IF(A123=$F$8,K112+K100+K88+K76+K64+K52+K40+K27,""))</f>
        <v/>
      </c>
      <c r="L124" s="173" t="str">
        <f t="shared" si="60"/>
        <v/>
      </c>
      <c r="M124" s="173" t="str">
        <f t="shared" si="62"/>
        <v/>
      </c>
      <c r="N124" s="173" t="str">
        <f t="shared" si="63"/>
        <v/>
      </c>
      <c r="O124" s="173" t="str">
        <f t="shared" si="64"/>
        <v/>
      </c>
      <c r="P124" s="173" t="str">
        <f t="shared" si="54"/>
        <v/>
      </c>
      <c r="Q124" s="173" t="str">
        <f>IF($F$8&gt;96,($S$8+$S$10),IF($A123=$F$8,$Q$40+$Q$27+$Q$52+$Q$64+$Q$76+$Q$88+$Q$100+$Q$112,""))</f>
        <v/>
      </c>
      <c r="R124" s="173" t="str">
        <f t="shared" si="61"/>
        <v/>
      </c>
      <c r="S124" s="176" t="str">
        <f>IF(A123=$D$8,XIRR(U$27:U123,C$27:C123),"")</f>
        <v/>
      </c>
      <c r="T124" s="173" t="str">
        <f t="shared" si="44"/>
        <v/>
      </c>
      <c r="U124" s="173">
        <f t="shared" si="52"/>
        <v>0</v>
      </c>
      <c r="V124" s="141" t="e">
        <f t="shared" ca="1" si="45"/>
        <v>#VALUE!</v>
      </c>
      <c r="W124" s="141" t="e">
        <f t="shared" ca="1" si="50"/>
        <v>#VALUE!</v>
      </c>
      <c r="X124" s="141" t="e">
        <f t="shared" ca="1" si="46"/>
        <v>#VALUE!</v>
      </c>
      <c r="Y124" s="177" t="e">
        <f t="shared" ca="1" si="65"/>
        <v>#VALUE!</v>
      </c>
      <c r="Z124" s="178" t="e">
        <f t="shared" ca="1" si="47"/>
        <v>#VALUE!</v>
      </c>
      <c r="AA124" s="141">
        <v>97</v>
      </c>
    </row>
    <row r="125" spans="1:27" x14ac:dyDescent="0.35">
      <c r="A125" s="175" t="str">
        <f t="shared" si="51"/>
        <v/>
      </c>
      <c r="B125" s="172">
        <f t="shared" ca="1" si="48"/>
        <v>48178</v>
      </c>
      <c r="C125" s="172" t="str">
        <f t="shared" ca="1" si="49"/>
        <v xml:space="preserve"> </v>
      </c>
      <c r="D125" s="175" t="str">
        <f t="shared" si="57"/>
        <v/>
      </c>
      <c r="E125" s="173" t="e">
        <f t="shared" ca="1" si="43"/>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58"/>
        <v/>
      </c>
      <c r="J125" s="173" t="str">
        <f t="shared" si="59"/>
        <v/>
      </c>
      <c r="K125" s="173" t="str">
        <f t="shared" si="66"/>
        <v/>
      </c>
      <c r="L125" s="173" t="str">
        <f t="shared" si="60"/>
        <v/>
      </c>
      <c r="M125" s="173" t="str">
        <f t="shared" si="62"/>
        <v/>
      </c>
      <c r="N125" s="173" t="str">
        <f t="shared" si="63"/>
        <v/>
      </c>
      <c r="O125" s="173" t="str">
        <f t="shared" si="64"/>
        <v/>
      </c>
      <c r="P125" s="173" t="str">
        <f t="shared" si="54"/>
        <v/>
      </c>
      <c r="Q125" s="173" t="str">
        <f t="shared" ref="Q125:Q135" si="68">IF(A124=$D$8,$Q$27,"")</f>
        <v/>
      </c>
      <c r="R125" s="173" t="str">
        <f t="shared" si="61"/>
        <v/>
      </c>
      <c r="S125" s="176" t="str">
        <f>IF(A124=$D$8,XIRR(U$27:U124,C$27:C124),"")</f>
        <v/>
      </c>
      <c r="T125" s="173" t="str">
        <f t="shared" si="44"/>
        <v/>
      </c>
      <c r="U125" s="173">
        <f t="shared" si="52"/>
        <v>0</v>
      </c>
      <c r="V125" s="141" t="e">
        <f t="shared" ca="1" si="45"/>
        <v>#VALUE!</v>
      </c>
      <c r="W125" s="141" t="e">
        <f t="shared" ca="1" si="50"/>
        <v>#VALUE!</v>
      </c>
      <c r="X125" s="141" t="e">
        <f t="shared" ca="1" si="46"/>
        <v>#VALUE!</v>
      </c>
      <c r="Y125" s="177" t="e">
        <f t="shared" ca="1" si="65"/>
        <v>#VALUE!</v>
      </c>
      <c r="Z125" s="178" t="e">
        <f t="shared" ca="1" si="47"/>
        <v>#VALUE!</v>
      </c>
      <c r="AA125" s="141">
        <v>98</v>
      </c>
    </row>
    <row r="126" spans="1:27" x14ac:dyDescent="0.35">
      <c r="A126" s="175" t="str">
        <f t="shared" si="51"/>
        <v/>
      </c>
      <c r="B126" s="172">
        <f t="shared" ca="1" si="48"/>
        <v>48208</v>
      </c>
      <c r="C126" s="172" t="str">
        <f t="shared" ca="1" si="49"/>
        <v xml:space="preserve"> </v>
      </c>
      <c r="D126" s="175" t="str">
        <f t="shared" si="57"/>
        <v/>
      </c>
      <c r="E126" s="173" t="e">
        <f t="shared" ca="1" si="43"/>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58"/>
        <v/>
      </c>
      <c r="J126" s="173" t="str">
        <f t="shared" si="59"/>
        <v/>
      </c>
      <c r="K126" s="173" t="str">
        <f t="shared" si="66"/>
        <v/>
      </c>
      <c r="L126" s="173" t="str">
        <f t="shared" si="60"/>
        <v/>
      </c>
      <c r="M126" s="173" t="str">
        <f t="shared" si="62"/>
        <v/>
      </c>
      <c r="N126" s="173" t="str">
        <f t="shared" si="63"/>
        <v/>
      </c>
      <c r="O126" s="173" t="str">
        <f t="shared" si="64"/>
        <v/>
      </c>
      <c r="P126" s="173" t="str">
        <f t="shared" si="54"/>
        <v/>
      </c>
      <c r="Q126" s="173" t="str">
        <f t="shared" si="68"/>
        <v/>
      </c>
      <c r="R126" s="173" t="str">
        <f t="shared" si="61"/>
        <v/>
      </c>
      <c r="S126" s="176" t="str">
        <f>IF(A125=$D$8,XIRR(U$27:U125,C$27:C125),"")</f>
        <v/>
      </c>
      <c r="T126" s="173" t="str">
        <f t="shared" si="44"/>
        <v/>
      </c>
      <c r="U126" s="173">
        <f t="shared" si="52"/>
        <v>0</v>
      </c>
      <c r="V126" s="141" t="e">
        <f t="shared" ca="1" si="45"/>
        <v>#VALUE!</v>
      </c>
      <c r="W126" s="141" t="e">
        <f t="shared" ca="1" si="50"/>
        <v>#VALUE!</v>
      </c>
      <c r="X126" s="141" t="e">
        <f t="shared" ca="1" si="46"/>
        <v>#VALUE!</v>
      </c>
      <c r="Y126" s="177" t="e">
        <f t="shared" ca="1" si="65"/>
        <v>#VALUE!</v>
      </c>
      <c r="Z126" s="178" t="e">
        <f t="shared" ca="1" si="47"/>
        <v>#VALUE!</v>
      </c>
      <c r="AA126" s="141">
        <v>99</v>
      </c>
    </row>
    <row r="127" spans="1:27" x14ac:dyDescent="0.35">
      <c r="A127" s="175" t="str">
        <f t="shared" si="51"/>
        <v/>
      </c>
      <c r="B127" s="172">
        <f t="shared" ca="1" si="48"/>
        <v>48239</v>
      </c>
      <c r="C127" s="172" t="str">
        <f t="shared" ca="1" si="49"/>
        <v xml:space="preserve"> </v>
      </c>
      <c r="D127" s="175" t="str">
        <f t="shared" si="57"/>
        <v/>
      </c>
      <c r="E127" s="173" t="e">
        <f t="shared" ca="1" si="43"/>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58"/>
        <v/>
      </c>
      <c r="J127" s="173" t="str">
        <f t="shared" si="59"/>
        <v/>
      </c>
      <c r="K127" s="173" t="str">
        <f t="shared" si="66"/>
        <v/>
      </c>
      <c r="L127" s="173" t="str">
        <f t="shared" si="60"/>
        <v/>
      </c>
      <c r="M127" s="173" t="str">
        <f t="shared" si="62"/>
        <v/>
      </c>
      <c r="N127" s="173" t="str">
        <f t="shared" si="63"/>
        <v/>
      </c>
      <c r="O127" s="173" t="str">
        <f t="shared" si="64"/>
        <v/>
      </c>
      <c r="P127" s="173" t="str">
        <f t="shared" si="54"/>
        <v/>
      </c>
      <c r="Q127" s="173" t="str">
        <f t="shared" si="68"/>
        <v/>
      </c>
      <c r="R127" s="173" t="str">
        <f t="shared" si="61"/>
        <v/>
      </c>
      <c r="S127" s="176" t="str">
        <f>IF(A126=$D$8,XIRR(U$27:U126,C$27:C126),"")</f>
        <v/>
      </c>
      <c r="T127" s="173" t="str">
        <f t="shared" si="44"/>
        <v/>
      </c>
      <c r="U127" s="173">
        <f t="shared" si="52"/>
        <v>0</v>
      </c>
      <c r="V127" s="141" t="e">
        <f t="shared" ca="1" si="45"/>
        <v>#VALUE!</v>
      </c>
      <c r="W127" s="141" t="e">
        <f t="shared" ca="1" si="50"/>
        <v>#VALUE!</v>
      </c>
      <c r="X127" s="141" t="e">
        <f t="shared" ca="1" si="46"/>
        <v>#VALUE!</v>
      </c>
      <c r="Y127" s="177" t="e">
        <f t="shared" ca="1" si="65"/>
        <v>#VALUE!</v>
      </c>
      <c r="Z127" s="178" t="e">
        <f t="shared" ca="1" si="47"/>
        <v>#VALUE!</v>
      </c>
      <c r="AA127" s="141">
        <v>100</v>
      </c>
    </row>
    <row r="128" spans="1:27" x14ac:dyDescent="0.35">
      <c r="A128" s="175" t="str">
        <f t="shared" si="51"/>
        <v/>
      </c>
      <c r="B128" s="172">
        <f t="shared" ca="1" si="48"/>
        <v>48270</v>
      </c>
      <c r="C128" s="172" t="str">
        <f t="shared" ca="1" si="49"/>
        <v xml:space="preserve"> </v>
      </c>
      <c r="D128" s="175" t="str">
        <f t="shared" si="57"/>
        <v/>
      </c>
      <c r="E128" s="173" t="e">
        <f t="shared" ca="1" si="43"/>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58"/>
        <v/>
      </c>
      <c r="J128" s="173" t="str">
        <f t="shared" si="59"/>
        <v/>
      </c>
      <c r="K128" s="173" t="str">
        <f t="shared" si="66"/>
        <v/>
      </c>
      <c r="L128" s="173" t="str">
        <f t="shared" si="60"/>
        <v/>
      </c>
      <c r="M128" s="173" t="str">
        <f t="shared" si="62"/>
        <v/>
      </c>
      <c r="N128" s="173" t="str">
        <f t="shared" si="63"/>
        <v/>
      </c>
      <c r="O128" s="173" t="str">
        <f t="shared" si="64"/>
        <v/>
      </c>
      <c r="P128" s="173" t="str">
        <f t="shared" si="54"/>
        <v/>
      </c>
      <c r="Q128" s="173" t="str">
        <f t="shared" si="68"/>
        <v/>
      </c>
      <c r="R128" s="173" t="str">
        <f t="shared" si="61"/>
        <v/>
      </c>
      <c r="S128" s="176" t="str">
        <f>IF(A127=$D$8,XIRR(U$27:U127,C$27:C127),"")</f>
        <v/>
      </c>
      <c r="T128" s="173" t="str">
        <f t="shared" si="44"/>
        <v/>
      </c>
      <c r="U128" s="173">
        <f t="shared" si="52"/>
        <v>0</v>
      </c>
      <c r="V128" s="141" t="e">
        <f t="shared" ca="1" si="45"/>
        <v>#VALUE!</v>
      </c>
      <c r="W128" s="141" t="e">
        <f t="shared" ca="1" si="50"/>
        <v>#VALUE!</v>
      </c>
      <c r="X128" s="141" t="e">
        <f t="shared" ca="1" si="46"/>
        <v>#VALUE!</v>
      </c>
      <c r="Y128" s="177" t="e">
        <f t="shared" ca="1" si="65"/>
        <v>#VALUE!</v>
      </c>
      <c r="Z128" s="178" t="e">
        <f t="shared" ca="1" si="47"/>
        <v>#VALUE!</v>
      </c>
      <c r="AA128" s="141">
        <v>101</v>
      </c>
    </row>
    <row r="129" spans="1:27" x14ac:dyDescent="0.35">
      <c r="A129" s="175" t="str">
        <f t="shared" si="51"/>
        <v/>
      </c>
      <c r="B129" s="172">
        <f t="shared" ca="1" si="48"/>
        <v>48299</v>
      </c>
      <c r="C129" s="172" t="str">
        <f t="shared" ca="1" si="49"/>
        <v xml:space="preserve"> </v>
      </c>
      <c r="D129" s="175" t="str">
        <f t="shared" si="57"/>
        <v/>
      </c>
      <c r="E129" s="173" t="e">
        <f t="shared" ca="1" si="43"/>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58"/>
        <v/>
      </c>
      <c r="J129" s="173" t="str">
        <f t="shared" si="59"/>
        <v/>
      </c>
      <c r="K129" s="173" t="str">
        <f t="shared" si="66"/>
        <v/>
      </c>
      <c r="L129" s="173" t="str">
        <f t="shared" si="60"/>
        <v/>
      </c>
      <c r="M129" s="173" t="str">
        <f t="shared" si="62"/>
        <v/>
      </c>
      <c r="N129" s="173" t="str">
        <f t="shared" si="63"/>
        <v/>
      </c>
      <c r="O129" s="173" t="str">
        <f t="shared" si="64"/>
        <v/>
      </c>
      <c r="P129" s="173" t="str">
        <f t="shared" si="54"/>
        <v/>
      </c>
      <c r="Q129" s="173" t="str">
        <f t="shared" si="68"/>
        <v/>
      </c>
      <c r="R129" s="173" t="str">
        <f t="shared" si="61"/>
        <v/>
      </c>
      <c r="S129" s="176" t="str">
        <f>IF(A128=$D$8,XIRR(U$27:U128,C$27:C128),"")</f>
        <v/>
      </c>
      <c r="T129" s="173" t="str">
        <f t="shared" si="44"/>
        <v/>
      </c>
      <c r="U129" s="173">
        <f t="shared" si="52"/>
        <v>0</v>
      </c>
      <c r="V129" s="141" t="e">
        <f t="shared" ca="1" si="45"/>
        <v>#VALUE!</v>
      </c>
      <c r="W129" s="141" t="e">
        <f t="shared" ca="1" si="50"/>
        <v>#VALUE!</v>
      </c>
      <c r="X129" s="141" t="e">
        <f t="shared" ca="1" si="46"/>
        <v>#VALUE!</v>
      </c>
      <c r="Y129" s="177" t="e">
        <f t="shared" ca="1" si="65"/>
        <v>#VALUE!</v>
      </c>
      <c r="Z129" s="178" t="e">
        <f t="shared" ca="1" si="47"/>
        <v>#VALUE!</v>
      </c>
      <c r="AA129" s="141">
        <v>102</v>
      </c>
    </row>
    <row r="130" spans="1:27" x14ac:dyDescent="0.35">
      <c r="A130" s="175" t="str">
        <f t="shared" si="51"/>
        <v/>
      </c>
      <c r="B130" s="172">
        <f t="shared" ca="1" si="48"/>
        <v>48330</v>
      </c>
      <c r="C130" s="172" t="str">
        <f t="shared" ca="1" si="49"/>
        <v xml:space="preserve"> </v>
      </c>
      <c r="D130" s="175" t="str">
        <f t="shared" si="57"/>
        <v/>
      </c>
      <c r="E130" s="173" t="e">
        <f t="shared" ca="1" si="43"/>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58"/>
        <v/>
      </c>
      <c r="J130" s="173" t="str">
        <f t="shared" si="59"/>
        <v/>
      </c>
      <c r="K130" s="173" t="str">
        <f t="shared" si="66"/>
        <v/>
      </c>
      <c r="L130" s="173" t="str">
        <f t="shared" si="60"/>
        <v/>
      </c>
      <c r="M130" s="173" t="str">
        <f t="shared" si="62"/>
        <v/>
      </c>
      <c r="N130" s="173" t="str">
        <f t="shared" si="63"/>
        <v/>
      </c>
      <c r="O130" s="173" t="str">
        <f t="shared" si="64"/>
        <v/>
      </c>
      <c r="P130" s="173" t="str">
        <f t="shared" si="54"/>
        <v/>
      </c>
      <c r="Q130" s="173" t="str">
        <f t="shared" si="68"/>
        <v/>
      </c>
      <c r="R130" s="173" t="str">
        <f t="shared" si="61"/>
        <v/>
      </c>
      <c r="S130" s="176" t="str">
        <f>IF(A129=$D$8,XIRR(U$27:U129,C$27:C129),"")</f>
        <v/>
      </c>
      <c r="T130" s="173" t="str">
        <f t="shared" si="44"/>
        <v/>
      </c>
      <c r="U130" s="173">
        <f t="shared" si="52"/>
        <v>0</v>
      </c>
      <c r="V130" s="141" t="e">
        <f t="shared" ca="1" si="45"/>
        <v>#VALUE!</v>
      </c>
      <c r="W130" s="141" t="e">
        <f t="shared" ca="1" si="50"/>
        <v>#VALUE!</v>
      </c>
      <c r="X130" s="141" t="e">
        <f t="shared" ca="1" si="46"/>
        <v>#VALUE!</v>
      </c>
      <c r="Y130" s="177" t="e">
        <f t="shared" ca="1" si="65"/>
        <v>#VALUE!</v>
      </c>
      <c r="Z130" s="178" t="e">
        <f t="shared" ca="1" si="47"/>
        <v>#VALUE!</v>
      </c>
      <c r="AA130" s="141">
        <v>103</v>
      </c>
    </row>
    <row r="131" spans="1:27" x14ac:dyDescent="0.35">
      <c r="A131" s="175" t="str">
        <f t="shared" si="51"/>
        <v/>
      </c>
      <c r="B131" s="172">
        <f t="shared" ca="1" si="48"/>
        <v>48360</v>
      </c>
      <c r="C131" s="172" t="str">
        <f t="shared" ca="1" si="49"/>
        <v xml:space="preserve"> </v>
      </c>
      <c r="D131" s="175" t="str">
        <f t="shared" si="57"/>
        <v/>
      </c>
      <c r="E131" s="173" t="e">
        <f t="shared" ca="1" si="43"/>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58"/>
        <v/>
      </c>
      <c r="J131" s="173" t="str">
        <f t="shared" si="59"/>
        <v/>
      </c>
      <c r="K131" s="173" t="str">
        <f t="shared" si="66"/>
        <v/>
      </c>
      <c r="L131" s="173" t="str">
        <f t="shared" si="60"/>
        <v/>
      </c>
      <c r="M131" s="173" t="str">
        <f t="shared" si="62"/>
        <v/>
      </c>
      <c r="N131" s="173" t="str">
        <f t="shared" si="63"/>
        <v/>
      </c>
      <c r="O131" s="173" t="str">
        <f t="shared" si="64"/>
        <v/>
      </c>
      <c r="P131" s="173" t="str">
        <f t="shared" si="54"/>
        <v/>
      </c>
      <c r="Q131" s="173" t="str">
        <f t="shared" si="68"/>
        <v/>
      </c>
      <c r="R131" s="173" t="str">
        <f t="shared" si="61"/>
        <v/>
      </c>
      <c r="S131" s="176" t="str">
        <f>IF(A130=$D$8,XIRR(U$27:U130,C$27:C130),"")</f>
        <v/>
      </c>
      <c r="T131" s="173" t="str">
        <f t="shared" si="44"/>
        <v/>
      </c>
      <c r="U131" s="173">
        <f t="shared" si="52"/>
        <v>0</v>
      </c>
      <c r="V131" s="141" t="e">
        <f t="shared" ca="1" si="45"/>
        <v>#VALUE!</v>
      </c>
      <c r="W131" s="141" t="e">
        <f t="shared" ca="1" si="50"/>
        <v>#VALUE!</v>
      </c>
      <c r="X131" s="141" t="e">
        <f t="shared" ca="1" si="46"/>
        <v>#VALUE!</v>
      </c>
      <c r="Y131" s="177" t="e">
        <f t="shared" ca="1" si="65"/>
        <v>#VALUE!</v>
      </c>
      <c r="Z131" s="178" t="e">
        <f t="shared" ca="1" si="47"/>
        <v>#VALUE!</v>
      </c>
      <c r="AA131" s="141">
        <v>104</v>
      </c>
    </row>
    <row r="132" spans="1:27" x14ac:dyDescent="0.35">
      <c r="A132" s="175" t="str">
        <f t="shared" si="51"/>
        <v/>
      </c>
      <c r="B132" s="172">
        <f t="shared" ca="1" si="48"/>
        <v>48391</v>
      </c>
      <c r="C132" s="172" t="str">
        <f t="shared" ca="1" si="49"/>
        <v xml:space="preserve"> </v>
      </c>
      <c r="D132" s="175" t="str">
        <f t="shared" si="57"/>
        <v/>
      </c>
      <c r="E132" s="173" t="e">
        <f t="shared" ca="1" si="43"/>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58"/>
        <v/>
      </c>
      <c r="J132" s="173" t="str">
        <f t="shared" si="59"/>
        <v/>
      </c>
      <c r="K132" s="173" t="str">
        <f t="shared" si="66"/>
        <v/>
      </c>
      <c r="L132" s="173" t="str">
        <f t="shared" si="60"/>
        <v/>
      </c>
      <c r="M132" s="173" t="str">
        <f t="shared" si="62"/>
        <v/>
      </c>
      <c r="N132" s="173" t="str">
        <f t="shared" si="63"/>
        <v/>
      </c>
      <c r="O132" s="173" t="str">
        <f t="shared" si="64"/>
        <v/>
      </c>
      <c r="P132" s="173" t="str">
        <f t="shared" si="54"/>
        <v/>
      </c>
      <c r="Q132" s="173" t="str">
        <f t="shared" si="68"/>
        <v/>
      </c>
      <c r="R132" s="173" t="str">
        <f t="shared" si="61"/>
        <v/>
      </c>
      <c r="S132" s="176" t="str">
        <f>IF(A131=$D$8,XIRR(U$27:U131,C$27:C131),"")</f>
        <v/>
      </c>
      <c r="T132" s="173" t="str">
        <f t="shared" si="44"/>
        <v/>
      </c>
      <c r="U132" s="173">
        <f t="shared" si="52"/>
        <v>0</v>
      </c>
      <c r="V132" s="141" t="e">
        <f t="shared" ca="1" si="45"/>
        <v>#VALUE!</v>
      </c>
      <c r="W132" s="141" t="e">
        <f t="shared" ca="1" si="50"/>
        <v>#VALUE!</v>
      </c>
      <c r="X132" s="141" t="e">
        <f t="shared" ca="1" si="46"/>
        <v>#VALUE!</v>
      </c>
      <c r="Y132" s="177" t="e">
        <f t="shared" ca="1" si="65"/>
        <v>#VALUE!</v>
      </c>
      <c r="Z132" s="178" t="e">
        <f t="shared" ca="1" si="47"/>
        <v>#VALUE!</v>
      </c>
      <c r="AA132" s="141">
        <v>105</v>
      </c>
    </row>
    <row r="133" spans="1:27" x14ac:dyDescent="0.35">
      <c r="A133" s="175" t="str">
        <f t="shared" si="51"/>
        <v/>
      </c>
      <c r="B133" s="172">
        <f t="shared" ca="1" si="48"/>
        <v>48421</v>
      </c>
      <c r="C133" s="172" t="str">
        <f t="shared" ca="1" si="49"/>
        <v xml:space="preserve"> </v>
      </c>
      <c r="D133" s="175" t="str">
        <f t="shared" si="57"/>
        <v/>
      </c>
      <c r="E133" s="173" t="e">
        <f t="shared" ca="1" si="43"/>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58"/>
        <v/>
      </c>
      <c r="J133" s="173" t="str">
        <f t="shared" si="59"/>
        <v/>
      </c>
      <c r="K133" s="173" t="str">
        <f t="shared" si="66"/>
        <v/>
      </c>
      <c r="L133" s="173" t="str">
        <f t="shared" si="60"/>
        <v/>
      </c>
      <c r="M133" s="173" t="str">
        <f t="shared" si="62"/>
        <v/>
      </c>
      <c r="N133" s="173" t="str">
        <f t="shared" si="63"/>
        <v/>
      </c>
      <c r="O133" s="173" t="str">
        <f t="shared" si="64"/>
        <v/>
      </c>
      <c r="P133" s="173" t="str">
        <f t="shared" si="54"/>
        <v/>
      </c>
      <c r="Q133" s="173" t="str">
        <f t="shared" si="68"/>
        <v/>
      </c>
      <c r="R133" s="173" t="str">
        <f t="shared" si="61"/>
        <v/>
      </c>
      <c r="S133" s="176" t="str">
        <f>IF(A132=$D$8,XIRR(U$27:U132,C$27:C132),"")</f>
        <v/>
      </c>
      <c r="T133" s="173" t="str">
        <f t="shared" si="44"/>
        <v/>
      </c>
      <c r="U133" s="173">
        <f t="shared" si="52"/>
        <v>0</v>
      </c>
      <c r="V133" s="141" t="e">
        <f t="shared" ca="1" si="45"/>
        <v>#VALUE!</v>
      </c>
      <c r="W133" s="141" t="e">
        <f t="shared" ca="1" si="50"/>
        <v>#VALUE!</v>
      </c>
      <c r="X133" s="141" t="e">
        <f t="shared" ca="1" si="46"/>
        <v>#VALUE!</v>
      </c>
      <c r="Y133" s="177" t="e">
        <f t="shared" ca="1" si="65"/>
        <v>#VALUE!</v>
      </c>
      <c r="Z133" s="178" t="e">
        <f t="shared" ca="1" si="47"/>
        <v>#VALUE!</v>
      </c>
      <c r="AA133" s="141">
        <v>106</v>
      </c>
    </row>
    <row r="134" spans="1:27" x14ac:dyDescent="0.35">
      <c r="A134" s="175" t="str">
        <f t="shared" si="51"/>
        <v/>
      </c>
      <c r="B134" s="172">
        <f t="shared" ca="1" si="48"/>
        <v>48452</v>
      </c>
      <c r="C134" s="172" t="str">
        <f t="shared" ca="1" si="49"/>
        <v xml:space="preserve"> </v>
      </c>
      <c r="D134" s="175" t="str">
        <f t="shared" si="57"/>
        <v/>
      </c>
      <c r="E134" s="173" t="e">
        <f t="shared" ca="1" si="43"/>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58"/>
        <v/>
      </c>
      <c r="J134" s="173" t="str">
        <f t="shared" si="59"/>
        <v/>
      </c>
      <c r="K134" s="173" t="str">
        <f t="shared" si="66"/>
        <v/>
      </c>
      <c r="L134" s="173" t="str">
        <f t="shared" si="60"/>
        <v/>
      </c>
      <c r="M134" s="173" t="str">
        <f t="shared" si="62"/>
        <v/>
      </c>
      <c r="N134" s="173" t="str">
        <f t="shared" si="63"/>
        <v/>
      </c>
      <c r="O134" s="173" t="str">
        <f t="shared" si="64"/>
        <v/>
      </c>
      <c r="P134" s="173" t="str">
        <f t="shared" si="54"/>
        <v/>
      </c>
      <c r="Q134" s="173" t="str">
        <f t="shared" si="68"/>
        <v/>
      </c>
      <c r="R134" s="173" t="str">
        <f t="shared" si="61"/>
        <v/>
      </c>
      <c r="S134" s="176" t="str">
        <f>IF(A133=$D$8,XIRR(U$27:U133,C$27:C133),"")</f>
        <v/>
      </c>
      <c r="T134" s="173" t="str">
        <f t="shared" si="44"/>
        <v/>
      </c>
      <c r="U134" s="173">
        <f t="shared" si="52"/>
        <v>0</v>
      </c>
      <c r="V134" s="141" t="e">
        <f t="shared" ca="1" si="45"/>
        <v>#VALUE!</v>
      </c>
      <c r="W134" s="141" t="e">
        <f t="shared" ca="1" si="50"/>
        <v>#VALUE!</v>
      </c>
      <c r="X134" s="141" t="e">
        <f t="shared" ca="1" si="46"/>
        <v>#VALUE!</v>
      </c>
      <c r="Y134" s="177" t="e">
        <f t="shared" ca="1" si="65"/>
        <v>#VALUE!</v>
      </c>
      <c r="Z134" s="178" t="e">
        <f t="shared" ca="1" si="47"/>
        <v>#VALUE!</v>
      </c>
      <c r="AA134" s="141">
        <v>107</v>
      </c>
    </row>
    <row r="135" spans="1:27" x14ac:dyDescent="0.35">
      <c r="A135" s="175" t="str">
        <f t="shared" si="51"/>
        <v/>
      </c>
      <c r="B135" s="172">
        <f t="shared" ca="1" si="48"/>
        <v>48483</v>
      </c>
      <c r="C135" s="172" t="str">
        <f t="shared" ca="1" si="49"/>
        <v xml:space="preserve"> </v>
      </c>
      <c r="D135" s="175" t="str">
        <f t="shared" si="57"/>
        <v/>
      </c>
      <c r="E135" s="173" t="e">
        <f t="shared" ca="1" si="43"/>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58"/>
        <v/>
      </c>
      <c r="J135" s="173" t="str">
        <f t="shared" si="59"/>
        <v/>
      </c>
      <c r="K135" s="173" t="str">
        <f t="shared" si="66"/>
        <v/>
      </c>
      <c r="L135" s="173" t="str">
        <f t="shared" si="60"/>
        <v/>
      </c>
      <c r="M135" s="173" t="str">
        <f t="shared" si="62"/>
        <v/>
      </c>
      <c r="N135" s="173" t="str">
        <f t="shared" si="63"/>
        <v/>
      </c>
      <c r="O135" s="173" t="str">
        <f t="shared" si="64"/>
        <v/>
      </c>
      <c r="P135" s="173" t="str">
        <f t="shared" si="54"/>
        <v/>
      </c>
      <c r="Q135" s="173" t="str">
        <f t="shared" si="68"/>
        <v/>
      </c>
      <c r="R135" s="173" t="str">
        <f t="shared" si="61"/>
        <v/>
      </c>
      <c r="S135" s="176" t="str">
        <f>IF(A134=$D$8,XIRR(U$27:U134,C$27:C134),"")</f>
        <v/>
      </c>
      <c r="T135" s="173" t="str">
        <f t="shared" si="44"/>
        <v/>
      </c>
      <c r="U135" s="173">
        <f t="shared" si="52"/>
        <v>0</v>
      </c>
      <c r="V135" s="141" t="e">
        <f t="shared" ca="1" si="45"/>
        <v>#VALUE!</v>
      </c>
      <c r="W135" s="141" t="e">
        <f t="shared" ca="1" si="50"/>
        <v>#VALUE!</v>
      </c>
      <c r="X135" s="141" t="e">
        <f t="shared" ca="1" si="46"/>
        <v>#VALUE!</v>
      </c>
      <c r="Y135" s="177" t="e">
        <f t="shared" ca="1" si="65"/>
        <v>#VALUE!</v>
      </c>
      <c r="Z135" s="178" t="e">
        <f t="shared" ca="1" si="47"/>
        <v>#VALUE!</v>
      </c>
      <c r="AA135" s="141">
        <v>108</v>
      </c>
    </row>
    <row r="136" spans="1:27" x14ac:dyDescent="0.35">
      <c r="A136" s="175" t="str">
        <f t="shared" si="51"/>
        <v/>
      </c>
      <c r="B136" s="172">
        <f t="shared" ca="1" si="48"/>
        <v>48513</v>
      </c>
      <c r="C136" s="172" t="str">
        <f t="shared" ca="1" si="49"/>
        <v xml:space="preserve"> </v>
      </c>
      <c r="D136" s="175" t="str">
        <f t="shared" si="57"/>
        <v/>
      </c>
      <c r="E136" s="173" t="e">
        <f t="shared" ca="1" si="43"/>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58"/>
        <v/>
      </c>
      <c r="J136" s="173" t="str">
        <f t="shared" si="59"/>
        <v/>
      </c>
      <c r="K136" s="173" t="str">
        <f>IF($F$8&gt;108,($R$14),IF(A135=$F$8,K124+K112+K100+K88+K76+K64+K52+K40+K27,""))</f>
        <v/>
      </c>
      <c r="L136" s="173" t="str">
        <f t="shared" si="60"/>
        <v/>
      </c>
      <c r="M136" s="173" t="str">
        <f t="shared" si="62"/>
        <v/>
      </c>
      <c r="N136" s="173" t="str">
        <f t="shared" si="63"/>
        <v/>
      </c>
      <c r="O136" s="173" t="str">
        <f t="shared" si="64"/>
        <v/>
      </c>
      <c r="P136" s="173" t="str">
        <f t="shared" si="54"/>
        <v/>
      </c>
      <c r="Q136" s="173" t="str">
        <f>IF($F$8&gt;108,($S$8+$S$10),IF($A135=$F$8,$Q$40+$Q$27+$Q$52+$Q$64+$Q$76+$Q$88+$Q$100+$Q$112+$Q$124,""))</f>
        <v/>
      </c>
      <c r="R136" s="173" t="str">
        <f t="shared" si="61"/>
        <v/>
      </c>
      <c r="S136" s="176" t="str">
        <f>IF(A135=$D$8,XIRR(U$27:U135,C$27:C135),"")</f>
        <v/>
      </c>
      <c r="T136" s="173" t="str">
        <f t="shared" si="44"/>
        <v/>
      </c>
      <c r="U136" s="173">
        <f t="shared" si="52"/>
        <v>0</v>
      </c>
      <c r="V136" s="141" t="e">
        <f t="shared" ca="1" si="45"/>
        <v>#VALUE!</v>
      </c>
      <c r="W136" s="141" t="e">
        <f t="shared" ca="1" si="50"/>
        <v>#VALUE!</v>
      </c>
      <c r="X136" s="141" t="e">
        <f t="shared" ca="1" si="46"/>
        <v>#VALUE!</v>
      </c>
      <c r="Y136" s="177" t="e">
        <f t="shared" ca="1" si="65"/>
        <v>#VALUE!</v>
      </c>
      <c r="Z136" s="178" t="e">
        <f t="shared" ca="1" si="47"/>
        <v>#VALUE!</v>
      </c>
      <c r="AA136" s="141">
        <v>109</v>
      </c>
    </row>
    <row r="137" spans="1:27" x14ac:dyDescent="0.35">
      <c r="A137" s="175" t="str">
        <f t="shared" si="51"/>
        <v/>
      </c>
      <c r="B137" s="172">
        <f t="shared" ca="1" si="48"/>
        <v>48544</v>
      </c>
      <c r="C137" s="172" t="str">
        <f t="shared" ca="1" si="49"/>
        <v xml:space="preserve"> </v>
      </c>
      <c r="D137" s="175" t="str">
        <f t="shared" si="57"/>
        <v/>
      </c>
      <c r="E137" s="173" t="e">
        <f t="shared" ca="1" si="43"/>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58"/>
        <v/>
      </c>
      <c r="J137" s="173" t="str">
        <f t="shared" si="59"/>
        <v/>
      </c>
      <c r="K137" s="173" t="str">
        <f t="shared" si="66"/>
        <v/>
      </c>
      <c r="L137" s="173" t="str">
        <f t="shared" si="60"/>
        <v/>
      </c>
      <c r="M137" s="173" t="str">
        <f t="shared" si="62"/>
        <v/>
      </c>
      <c r="N137" s="173" t="str">
        <f t="shared" si="63"/>
        <v/>
      </c>
      <c r="O137" s="173" t="str">
        <f t="shared" si="64"/>
        <v/>
      </c>
      <c r="P137" s="173" t="str">
        <f t="shared" si="54"/>
        <v/>
      </c>
      <c r="Q137" s="173" t="str">
        <f t="shared" ref="Q137:Q147" si="69">IF(A136=$D$8,$Q$27,"")</f>
        <v/>
      </c>
      <c r="R137" s="173" t="str">
        <f t="shared" si="61"/>
        <v/>
      </c>
      <c r="S137" s="176" t="str">
        <f>IF(A136=$D$8,XIRR(U$27:U136,C$27:C136),"")</f>
        <v/>
      </c>
      <c r="T137" s="173" t="str">
        <f t="shared" si="44"/>
        <v/>
      </c>
      <c r="U137" s="173">
        <f t="shared" si="52"/>
        <v>0</v>
      </c>
      <c r="V137" s="141" t="e">
        <f t="shared" ca="1" si="45"/>
        <v>#VALUE!</v>
      </c>
      <c r="W137" s="141" t="e">
        <f t="shared" ca="1" si="50"/>
        <v>#VALUE!</v>
      </c>
      <c r="X137" s="141" t="e">
        <f t="shared" ca="1" si="46"/>
        <v>#VALUE!</v>
      </c>
      <c r="Y137" s="177" t="e">
        <f t="shared" ca="1" si="65"/>
        <v>#VALUE!</v>
      </c>
      <c r="Z137" s="178" t="e">
        <f t="shared" ca="1" si="47"/>
        <v>#VALUE!</v>
      </c>
      <c r="AA137" s="141">
        <v>110</v>
      </c>
    </row>
    <row r="138" spans="1:27" x14ac:dyDescent="0.35">
      <c r="A138" s="175" t="str">
        <f t="shared" si="51"/>
        <v/>
      </c>
      <c r="B138" s="172">
        <f t="shared" ca="1" si="48"/>
        <v>48574</v>
      </c>
      <c r="C138" s="172" t="str">
        <f t="shared" ca="1" si="49"/>
        <v xml:space="preserve"> </v>
      </c>
      <c r="D138" s="175" t="str">
        <f t="shared" si="57"/>
        <v/>
      </c>
      <c r="E138" s="173" t="e">
        <f t="shared" ca="1" si="43"/>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58"/>
        <v/>
      </c>
      <c r="J138" s="173" t="str">
        <f t="shared" si="59"/>
        <v/>
      </c>
      <c r="K138" s="173" t="str">
        <f t="shared" si="66"/>
        <v/>
      </c>
      <c r="L138" s="173" t="str">
        <f t="shared" si="60"/>
        <v/>
      </c>
      <c r="M138" s="173" t="str">
        <f t="shared" si="62"/>
        <v/>
      </c>
      <c r="N138" s="173" t="str">
        <f t="shared" si="63"/>
        <v/>
      </c>
      <c r="O138" s="173" t="str">
        <f t="shared" si="64"/>
        <v/>
      </c>
      <c r="P138" s="173" t="str">
        <f t="shared" si="54"/>
        <v/>
      </c>
      <c r="Q138" s="173" t="str">
        <f t="shared" si="69"/>
        <v/>
      </c>
      <c r="R138" s="173" t="str">
        <f t="shared" si="61"/>
        <v/>
      </c>
      <c r="S138" s="176" t="str">
        <f>IF(A137=$D$8,XIRR(U$27:U137,C$27:C137),"")</f>
        <v/>
      </c>
      <c r="T138" s="173" t="str">
        <f t="shared" si="44"/>
        <v/>
      </c>
      <c r="U138" s="173">
        <f t="shared" si="52"/>
        <v>0</v>
      </c>
      <c r="V138" s="141" t="e">
        <f t="shared" ca="1" si="45"/>
        <v>#VALUE!</v>
      </c>
      <c r="W138" s="141" t="e">
        <f t="shared" ca="1" si="50"/>
        <v>#VALUE!</v>
      </c>
      <c r="X138" s="141" t="e">
        <f t="shared" ca="1" si="46"/>
        <v>#VALUE!</v>
      </c>
      <c r="Y138" s="177" t="e">
        <f t="shared" ca="1" si="65"/>
        <v>#VALUE!</v>
      </c>
      <c r="Z138" s="178" t="e">
        <f t="shared" ca="1" si="47"/>
        <v>#VALUE!</v>
      </c>
      <c r="AA138" s="141">
        <v>111</v>
      </c>
    </row>
    <row r="139" spans="1:27" x14ac:dyDescent="0.35">
      <c r="A139" s="175" t="str">
        <f t="shared" si="51"/>
        <v/>
      </c>
      <c r="B139" s="172">
        <f t="shared" ca="1" si="48"/>
        <v>48605</v>
      </c>
      <c r="C139" s="172" t="str">
        <f t="shared" ca="1" si="49"/>
        <v xml:space="preserve"> </v>
      </c>
      <c r="D139" s="175" t="str">
        <f t="shared" si="57"/>
        <v/>
      </c>
      <c r="E139" s="173" t="e">
        <f t="shared" ca="1" si="43"/>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58"/>
        <v/>
      </c>
      <c r="J139" s="173" t="str">
        <f t="shared" si="59"/>
        <v/>
      </c>
      <c r="K139" s="173" t="str">
        <f t="shared" si="66"/>
        <v/>
      </c>
      <c r="L139" s="173" t="str">
        <f t="shared" si="60"/>
        <v/>
      </c>
      <c r="M139" s="173" t="str">
        <f t="shared" si="62"/>
        <v/>
      </c>
      <c r="N139" s="173" t="str">
        <f t="shared" si="63"/>
        <v/>
      </c>
      <c r="O139" s="173" t="str">
        <f t="shared" si="64"/>
        <v/>
      </c>
      <c r="P139" s="173" t="str">
        <f t="shared" si="54"/>
        <v/>
      </c>
      <c r="Q139" s="173" t="str">
        <f t="shared" si="69"/>
        <v/>
      </c>
      <c r="R139" s="173" t="str">
        <f t="shared" si="61"/>
        <v/>
      </c>
      <c r="S139" s="176" t="str">
        <f>IF(A138=$D$8,XIRR(U$27:U138,C$27:C138),"")</f>
        <v/>
      </c>
      <c r="T139" s="173" t="str">
        <f t="shared" si="44"/>
        <v/>
      </c>
      <c r="U139" s="173">
        <f t="shared" si="52"/>
        <v>0</v>
      </c>
      <c r="V139" s="141" t="e">
        <f t="shared" ca="1" si="45"/>
        <v>#VALUE!</v>
      </c>
      <c r="W139" s="141" t="e">
        <f t="shared" ca="1" si="50"/>
        <v>#VALUE!</v>
      </c>
      <c r="X139" s="141" t="e">
        <f t="shared" ca="1" si="46"/>
        <v>#VALUE!</v>
      </c>
      <c r="Y139" s="177" t="e">
        <f t="shared" ca="1" si="65"/>
        <v>#VALUE!</v>
      </c>
      <c r="Z139" s="178" t="e">
        <f t="shared" ca="1" si="47"/>
        <v>#VALUE!</v>
      </c>
      <c r="AA139" s="141">
        <v>112</v>
      </c>
    </row>
    <row r="140" spans="1:27" x14ac:dyDescent="0.35">
      <c r="A140" s="175" t="str">
        <f t="shared" si="51"/>
        <v/>
      </c>
      <c r="B140" s="172">
        <f t="shared" ca="1" si="48"/>
        <v>48636</v>
      </c>
      <c r="C140" s="172" t="str">
        <f t="shared" ca="1" si="49"/>
        <v xml:space="preserve"> </v>
      </c>
      <c r="D140" s="175" t="str">
        <f t="shared" si="57"/>
        <v/>
      </c>
      <c r="E140" s="173" t="e">
        <f t="shared" ca="1" si="43"/>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58"/>
        <v/>
      </c>
      <c r="J140" s="173" t="str">
        <f t="shared" si="59"/>
        <v/>
      </c>
      <c r="K140" s="173" t="str">
        <f t="shared" si="66"/>
        <v/>
      </c>
      <c r="L140" s="173" t="str">
        <f t="shared" si="60"/>
        <v/>
      </c>
      <c r="M140" s="173" t="str">
        <f t="shared" si="62"/>
        <v/>
      </c>
      <c r="N140" s="173" t="str">
        <f t="shared" si="63"/>
        <v/>
      </c>
      <c r="O140" s="173" t="str">
        <f t="shared" si="64"/>
        <v/>
      </c>
      <c r="P140" s="173" t="str">
        <f t="shared" si="54"/>
        <v/>
      </c>
      <c r="Q140" s="173" t="str">
        <f t="shared" si="69"/>
        <v/>
      </c>
      <c r="R140" s="173" t="str">
        <f t="shared" si="61"/>
        <v/>
      </c>
      <c r="S140" s="176" t="str">
        <f>IF(A139=$D$8,XIRR(U$27:U139,C$27:C139),"")</f>
        <v/>
      </c>
      <c r="T140" s="173" t="str">
        <f t="shared" si="44"/>
        <v/>
      </c>
      <c r="U140" s="173">
        <f t="shared" si="52"/>
        <v>0</v>
      </c>
      <c r="V140" s="141" t="e">
        <f t="shared" ca="1" si="45"/>
        <v>#VALUE!</v>
      </c>
      <c r="W140" s="141" t="e">
        <f t="shared" ca="1" si="50"/>
        <v>#VALUE!</v>
      </c>
      <c r="X140" s="141" t="e">
        <f t="shared" ca="1" si="46"/>
        <v>#VALUE!</v>
      </c>
      <c r="Y140" s="177" t="e">
        <f t="shared" ca="1" si="65"/>
        <v>#VALUE!</v>
      </c>
      <c r="Z140" s="178" t="e">
        <f t="shared" ca="1" si="47"/>
        <v>#VALUE!</v>
      </c>
      <c r="AA140" s="141">
        <v>113</v>
      </c>
    </row>
    <row r="141" spans="1:27" x14ac:dyDescent="0.35">
      <c r="A141" s="175" t="str">
        <f t="shared" si="51"/>
        <v/>
      </c>
      <c r="B141" s="172">
        <f t="shared" ca="1" si="48"/>
        <v>48664</v>
      </c>
      <c r="C141" s="172" t="str">
        <f t="shared" ca="1" si="49"/>
        <v xml:space="preserve"> </v>
      </c>
      <c r="D141" s="175" t="str">
        <f t="shared" si="57"/>
        <v/>
      </c>
      <c r="E141" s="173" t="e">
        <f t="shared" ca="1" si="43"/>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58"/>
        <v/>
      </c>
      <c r="J141" s="173" t="str">
        <f t="shared" si="59"/>
        <v/>
      </c>
      <c r="K141" s="173" t="str">
        <f t="shared" si="66"/>
        <v/>
      </c>
      <c r="L141" s="173" t="str">
        <f t="shared" si="60"/>
        <v/>
      </c>
      <c r="M141" s="173" t="str">
        <f t="shared" si="62"/>
        <v/>
      </c>
      <c r="N141" s="173" t="str">
        <f t="shared" si="63"/>
        <v/>
      </c>
      <c r="O141" s="173" t="str">
        <f t="shared" si="64"/>
        <v/>
      </c>
      <c r="P141" s="173" t="str">
        <f t="shared" si="54"/>
        <v/>
      </c>
      <c r="Q141" s="173" t="str">
        <f t="shared" si="69"/>
        <v/>
      </c>
      <c r="R141" s="173" t="str">
        <f t="shared" si="61"/>
        <v/>
      </c>
      <c r="S141" s="176" t="str">
        <f>IF(A140=$D$8,XIRR(U$27:U140,C$27:C140),"")</f>
        <v/>
      </c>
      <c r="T141" s="173" t="str">
        <f t="shared" si="44"/>
        <v/>
      </c>
      <c r="U141" s="173">
        <f t="shared" si="52"/>
        <v>0</v>
      </c>
      <c r="V141" s="141" t="e">
        <f t="shared" ca="1" si="45"/>
        <v>#VALUE!</v>
      </c>
      <c r="W141" s="141" t="e">
        <f t="shared" ca="1" si="50"/>
        <v>#VALUE!</v>
      </c>
      <c r="X141" s="141" t="e">
        <f t="shared" ca="1" si="46"/>
        <v>#VALUE!</v>
      </c>
      <c r="Y141" s="177" t="e">
        <f t="shared" ca="1" si="65"/>
        <v>#VALUE!</v>
      </c>
      <c r="Z141" s="178" t="e">
        <f t="shared" ca="1" si="47"/>
        <v>#VALUE!</v>
      </c>
      <c r="AA141" s="141">
        <v>114</v>
      </c>
    </row>
    <row r="142" spans="1:27" x14ac:dyDescent="0.35">
      <c r="A142" s="175" t="str">
        <f t="shared" si="51"/>
        <v/>
      </c>
      <c r="B142" s="172">
        <f t="shared" ca="1" si="48"/>
        <v>48695</v>
      </c>
      <c r="C142" s="172" t="str">
        <f t="shared" ca="1" si="49"/>
        <v xml:space="preserve"> </v>
      </c>
      <c r="D142" s="175" t="str">
        <f t="shared" si="57"/>
        <v/>
      </c>
      <c r="E142" s="173" t="e">
        <f t="shared" ca="1" si="43"/>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58"/>
        <v/>
      </c>
      <c r="J142" s="173" t="str">
        <f t="shared" si="59"/>
        <v/>
      </c>
      <c r="K142" s="173" t="str">
        <f t="shared" si="66"/>
        <v/>
      </c>
      <c r="L142" s="173" t="str">
        <f t="shared" si="60"/>
        <v/>
      </c>
      <c r="M142" s="173" t="str">
        <f t="shared" si="62"/>
        <v/>
      </c>
      <c r="N142" s="173" t="str">
        <f t="shared" si="63"/>
        <v/>
      </c>
      <c r="O142" s="173" t="str">
        <f t="shared" si="64"/>
        <v/>
      </c>
      <c r="P142" s="173" t="str">
        <f t="shared" si="54"/>
        <v/>
      </c>
      <c r="Q142" s="173" t="str">
        <f t="shared" si="69"/>
        <v/>
      </c>
      <c r="R142" s="173" t="str">
        <f t="shared" si="61"/>
        <v/>
      </c>
      <c r="S142" s="176" t="str">
        <f>IF(A141=$D$8,XIRR(U$27:U141,C$27:C141),"")</f>
        <v/>
      </c>
      <c r="T142" s="173" t="str">
        <f t="shared" si="44"/>
        <v/>
      </c>
      <c r="U142" s="173">
        <f t="shared" si="52"/>
        <v>0</v>
      </c>
      <c r="V142" s="141" t="e">
        <f t="shared" ca="1" si="45"/>
        <v>#VALUE!</v>
      </c>
      <c r="W142" s="141" t="e">
        <f t="shared" ca="1" si="50"/>
        <v>#VALUE!</v>
      </c>
      <c r="X142" s="141" t="e">
        <f t="shared" ca="1" si="46"/>
        <v>#VALUE!</v>
      </c>
      <c r="Y142" s="177" t="e">
        <f t="shared" ca="1" si="65"/>
        <v>#VALUE!</v>
      </c>
      <c r="Z142" s="178" t="e">
        <f t="shared" ca="1" si="47"/>
        <v>#VALUE!</v>
      </c>
      <c r="AA142" s="141">
        <v>115</v>
      </c>
    </row>
    <row r="143" spans="1:27" x14ac:dyDescent="0.35">
      <c r="A143" s="175" t="str">
        <f t="shared" si="51"/>
        <v/>
      </c>
      <c r="B143" s="172">
        <f t="shared" ca="1" si="48"/>
        <v>48725</v>
      </c>
      <c r="C143" s="172" t="str">
        <f t="shared" ca="1" si="49"/>
        <v xml:space="preserve"> </v>
      </c>
      <c r="D143" s="175" t="str">
        <f t="shared" si="57"/>
        <v/>
      </c>
      <c r="E143" s="173" t="e">
        <f t="shared" ca="1" si="43"/>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58"/>
        <v/>
      </c>
      <c r="J143" s="173" t="str">
        <f t="shared" si="59"/>
        <v/>
      </c>
      <c r="K143" s="173" t="str">
        <f t="shared" si="66"/>
        <v/>
      </c>
      <c r="L143" s="173" t="str">
        <f t="shared" si="60"/>
        <v/>
      </c>
      <c r="M143" s="173" t="str">
        <f t="shared" si="62"/>
        <v/>
      </c>
      <c r="N143" s="173" t="str">
        <f t="shared" si="63"/>
        <v/>
      </c>
      <c r="O143" s="173" t="str">
        <f t="shared" si="64"/>
        <v/>
      </c>
      <c r="P143" s="173" t="str">
        <f t="shared" si="54"/>
        <v/>
      </c>
      <c r="Q143" s="173" t="str">
        <f t="shared" si="69"/>
        <v/>
      </c>
      <c r="R143" s="173" t="str">
        <f t="shared" si="61"/>
        <v/>
      </c>
      <c r="S143" s="176" t="str">
        <f>IF(A142=$D$8,XIRR(U$27:U142,C$27:C142),"")</f>
        <v/>
      </c>
      <c r="T143" s="173" t="str">
        <f t="shared" si="44"/>
        <v/>
      </c>
      <c r="U143" s="173">
        <f t="shared" si="52"/>
        <v>0</v>
      </c>
      <c r="V143" s="141" t="e">
        <f t="shared" ca="1" si="45"/>
        <v>#VALUE!</v>
      </c>
      <c r="W143" s="141" t="e">
        <f t="shared" ca="1" si="50"/>
        <v>#VALUE!</v>
      </c>
      <c r="X143" s="141" t="e">
        <f t="shared" ca="1" si="46"/>
        <v>#VALUE!</v>
      </c>
      <c r="Y143" s="177" t="e">
        <f t="shared" ca="1" si="65"/>
        <v>#VALUE!</v>
      </c>
      <c r="Z143" s="178" t="e">
        <f t="shared" ca="1" si="47"/>
        <v>#VALUE!</v>
      </c>
      <c r="AA143" s="141">
        <v>116</v>
      </c>
    </row>
    <row r="144" spans="1:27" x14ac:dyDescent="0.35">
      <c r="A144" s="175" t="str">
        <f t="shared" si="51"/>
        <v/>
      </c>
      <c r="B144" s="172">
        <f t="shared" ca="1" si="48"/>
        <v>48756</v>
      </c>
      <c r="C144" s="172" t="str">
        <f t="shared" ca="1" si="49"/>
        <v xml:space="preserve"> </v>
      </c>
      <c r="D144" s="175" t="str">
        <f t="shared" si="57"/>
        <v/>
      </c>
      <c r="E144" s="173" t="e">
        <f t="shared" ca="1" si="43"/>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58"/>
        <v/>
      </c>
      <c r="J144" s="173" t="str">
        <f t="shared" si="59"/>
        <v/>
      </c>
      <c r="K144" s="173" t="str">
        <f t="shared" si="66"/>
        <v/>
      </c>
      <c r="L144" s="173" t="str">
        <f t="shared" si="60"/>
        <v/>
      </c>
      <c r="M144" s="173" t="str">
        <f t="shared" si="62"/>
        <v/>
      </c>
      <c r="N144" s="173" t="str">
        <f t="shared" si="63"/>
        <v/>
      </c>
      <c r="O144" s="173" t="str">
        <f t="shared" si="64"/>
        <v/>
      </c>
      <c r="P144" s="173" t="str">
        <f t="shared" si="54"/>
        <v/>
      </c>
      <c r="Q144" s="173" t="str">
        <f t="shared" si="69"/>
        <v/>
      </c>
      <c r="R144" s="173" t="str">
        <f t="shared" si="61"/>
        <v/>
      </c>
      <c r="S144" s="176" t="str">
        <f>IF(A143=$D$8,XIRR(U$27:U143,C$27:C143),"")</f>
        <v/>
      </c>
      <c r="T144" s="173" t="str">
        <f t="shared" si="44"/>
        <v/>
      </c>
      <c r="U144" s="173">
        <f t="shared" si="52"/>
        <v>0</v>
      </c>
      <c r="V144" s="141" t="e">
        <f t="shared" ca="1" si="45"/>
        <v>#VALUE!</v>
      </c>
      <c r="W144" s="141" t="e">
        <f t="shared" ca="1" si="50"/>
        <v>#VALUE!</v>
      </c>
      <c r="X144" s="141" t="e">
        <f t="shared" ca="1" si="46"/>
        <v>#VALUE!</v>
      </c>
      <c r="Y144" s="177" t="e">
        <f t="shared" ca="1" si="65"/>
        <v>#VALUE!</v>
      </c>
      <c r="Z144" s="178" t="e">
        <f t="shared" ca="1" si="47"/>
        <v>#VALUE!</v>
      </c>
      <c r="AA144" s="141">
        <v>117</v>
      </c>
    </row>
    <row r="145" spans="1:27" x14ac:dyDescent="0.35">
      <c r="A145" s="175" t="str">
        <f t="shared" si="51"/>
        <v/>
      </c>
      <c r="B145" s="172">
        <f t="shared" ca="1" si="48"/>
        <v>48786</v>
      </c>
      <c r="C145" s="172" t="str">
        <f t="shared" ca="1" si="49"/>
        <v xml:space="preserve"> </v>
      </c>
      <c r="D145" s="175" t="str">
        <f t="shared" si="57"/>
        <v/>
      </c>
      <c r="E145" s="173" t="e">
        <f t="shared" ca="1" si="43"/>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58"/>
        <v/>
      </c>
      <c r="J145" s="173" t="str">
        <f t="shared" si="59"/>
        <v/>
      </c>
      <c r="K145" s="173" t="str">
        <f t="shared" si="66"/>
        <v/>
      </c>
      <c r="L145" s="173" t="str">
        <f t="shared" si="60"/>
        <v/>
      </c>
      <c r="M145" s="173" t="str">
        <f t="shared" si="62"/>
        <v/>
      </c>
      <c r="N145" s="173" t="str">
        <f t="shared" si="63"/>
        <v/>
      </c>
      <c r="O145" s="173" t="str">
        <f t="shared" si="64"/>
        <v/>
      </c>
      <c r="P145" s="173" t="str">
        <f t="shared" si="54"/>
        <v/>
      </c>
      <c r="Q145" s="173" t="str">
        <f t="shared" si="69"/>
        <v/>
      </c>
      <c r="R145" s="173" t="str">
        <f t="shared" si="61"/>
        <v/>
      </c>
      <c r="S145" s="176" t="str">
        <f>IF(A144=$D$8,XIRR(U$27:U144,C$27:C144),"")</f>
        <v/>
      </c>
      <c r="T145" s="173" t="str">
        <f t="shared" si="44"/>
        <v/>
      </c>
      <c r="U145" s="173">
        <f t="shared" si="52"/>
        <v>0</v>
      </c>
      <c r="V145" s="141" t="e">
        <f t="shared" ca="1" si="45"/>
        <v>#VALUE!</v>
      </c>
      <c r="W145" s="141" t="e">
        <f t="shared" ca="1" si="50"/>
        <v>#VALUE!</v>
      </c>
      <c r="X145" s="141" t="e">
        <f t="shared" ca="1" si="46"/>
        <v>#VALUE!</v>
      </c>
      <c r="Y145" s="177" t="e">
        <f t="shared" ca="1" si="65"/>
        <v>#VALUE!</v>
      </c>
      <c r="Z145" s="178" t="e">
        <f t="shared" ca="1" si="47"/>
        <v>#VALUE!</v>
      </c>
      <c r="AA145" s="141">
        <v>118</v>
      </c>
    </row>
    <row r="146" spans="1:27" x14ac:dyDescent="0.35">
      <c r="A146" s="175" t="str">
        <f t="shared" si="51"/>
        <v/>
      </c>
      <c r="B146" s="172">
        <f t="shared" ca="1" si="48"/>
        <v>48817</v>
      </c>
      <c r="C146" s="172" t="str">
        <f t="shared" ca="1" si="49"/>
        <v xml:space="preserve"> </v>
      </c>
      <c r="D146" s="175" t="str">
        <f t="shared" si="57"/>
        <v/>
      </c>
      <c r="E146" s="173" t="e">
        <f t="shared" ca="1" si="43"/>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58"/>
        <v/>
      </c>
      <c r="J146" s="173" t="str">
        <f t="shared" si="59"/>
        <v/>
      </c>
      <c r="K146" s="173" t="str">
        <f t="shared" si="66"/>
        <v/>
      </c>
      <c r="L146" s="173" t="str">
        <f t="shared" si="60"/>
        <v/>
      </c>
      <c r="M146" s="173" t="str">
        <f t="shared" si="62"/>
        <v/>
      </c>
      <c r="N146" s="173" t="str">
        <f t="shared" si="63"/>
        <v/>
      </c>
      <c r="O146" s="173" t="str">
        <f t="shared" si="64"/>
        <v/>
      </c>
      <c r="P146" s="173" t="str">
        <f t="shared" si="54"/>
        <v/>
      </c>
      <c r="Q146" s="173" t="str">
        <f t="shared" si="69"/>
        <v/>
      </c>
      <c r="R146" s="173" t="str">
        <f t="shared" si="61"/>
        <v/>
      </c>
      <c r="S146" s="176" t="str">
        <f>IF(A145=$D$8,XIRR(U$27:U145,C$27:C145),"")</f>
        <v/>
      </c>
      <c r="T146" s="173" t="str">
        <f t="shared" si="44"/>
        <v/>
      </c>
      <c r="U146" s="173">
        <f t="shared" si="52"/>
        <v>0</v>
      </c>
      <c r="V146" s="141" t="e">
        <f t="shared" ca="1" si="45"/>
        <v>#VALUE!</v>
      </c>
      <c r="W146" s="141" t="e">
        <f t="shared" ca="1" si="50"/>
        <v>#VALUE!</v>
      </c>
      <c r="X146" s="141" t="e">
        <f t="shared" ca="1" si="46"/>
        <v>#VALUE!</v>
      </c>
      <c r="Y146" s="177" t="e">
        <f t="shared" ca="1" si="65"/>
        <v>#VALUE!</v>
      </c>
      <c r="Z146" s="178" t="e">
        <f t="shared" ca="1" si="47"/>
        <v>#VALUE!</v>
      </c>
      <c r="AA146" s="141">
        <v>119</v>
      </c>
    </row>
    <row r="147" spans="1:27" x14ac:dyDescent="0.35">
      <c r="A147" s="175" t="str">
        <f t="shared" si="51"/>
        <v/>
      </c>
      <c r="B147" s="172">
        <f t="shared" ca="1" si="48"/>
        <v>48848</v>
      </c>
      <c r="C147" s="172" t="str">
        <f t="shared" ca="1" si="49"/>
        <v xml:space="preserve"> </v>
      </c>
      <c r="D147" s="175" t="str">
        <f t="shared" si="57"/>
        <v/>
      </c>
      <c r="E147" s="173" t="e">
        <f t="shared" ca="1" si="43"/>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58"/>
        <v/>
      </c>
      <c r="J147" s="173" t="str">
        <f t="shared" si="59"/>
        <v/>
      </c>
      <c r="K147" s="173" t="str">
        <f t="shared" si="66"/>
        <v/>
      </c>
      <c r="L147" s="173" t="str">
        <f t="shared" si="60"/>
        <v/>
      </c>
      <c r="M147" s="173" t="str">
        <f t="shared" si="62"/>
        <v/>
      </c>
      <c r="N147" s="173" t="str">
        <f t="shared" si="63"/>
        <v/>
      </c>
      <c r="O147" s="173" t="str">
        <f t="shared" si="64"/>
        <v/>
      </c>
      <c r="P147" s="173" t="str">
        <f t="shared" si="54"/>
        <v/>
      </c>
      <c r="Q147" s="173" t="str">
        <f t="shared" si="69"/>
        <v/>
      </c>
      <c r="R147" s="173" t="str">
        <f t="shared" si="61"/>
        <v/>
      </c>
      <c r="S147" s="176" t="str">
        <f>IF(A146=$D$8,XIRR(U$27:U146,C$27:C146),"")</f>
        <v/>
      </c>
      <c r="T147" s="173" t="str">
        <f t="shared" si="44"/>
        <v/>
      </c>
      <c r="U147" s="173">
        <f t="shared" si="52"/>
        <v>0</v>
      </c>
      <c r="V147" s="141" t="e">
        <f t="shared" ca="1" si="45"/>
        <v>#VALUE!</v>
      </c>
      <c r="W147" s="141" t="e">
        <f t="shared" ca="1" si="50"/>
        <v>#VALUE!</v>
      </c>
      <c r="X147" s="141" t="e">
        <f t="shared" ca="1" si="46"/>
        <v>#VALUE!</v>
      </c>
      <c r="Y147" s="177" t="e">
        <f t="shared" ca="1" si="65"/>
        <v>#VALUE!</v>
      </c>
      <c r="Z147" s="178" t="e">
        <f t="shared" ca="1" si="47"/>
        <v>#VALUE!</v>
      </c>
      <c r="AA147" s="141">
        <v>120</v>
      </c>
    </row>
    <row r="148" spans="1:27" x14ac:dyDescent="0.35">
      <c r="A148" s="175" t="str">
        <f t="shared" si="51"/>
        <v/>
      </c>
      <c r="B148" s="172">
        <f t="shared" ca="1" si="48"/>
        <v>48878</v>
      </c>
      <c r="C148" s="172" t="str">
        <f t="shared" ca="1" si="49"/>
        <v xml:space="preserve"> </v>
      </c>
      <c r="D148" s="175" t="str">
        <f t="shared" si="57"/>
        <v/>
      </c>
      <c r="E148" s="173" t="e">
        <f t="shared" ca="1" si="43"/>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58"/>
        <v/>
      </c>
      <c r="J148" s="173" t="str">
        <f t="shared" si="59"/>
        <v/>
      </c>
      <c r="K148" s="173" t="str">
        <f>IF($F$8&gt;120,($R$14),IF(A147=$F$8,K136+K124+K112+K100+K88+K76+K64+K52+K40+K27,""))</f>
        <v/>
      </c>
      <c r="L148" s="173" t="str">
        <f t="shared" si="60"/>
        <v/>
      </c>
      <c r="M148" s="173" t="str">
        <f t="shared" si="62"/>
        <v/>
      </c>
      <c r="N148" s="173" t="str">
        <f t="shared" si="63"/>
        <v/>
      </c>
      <c r="O148" s="173" t="str">
        <f t="shared" si="64"/>
        <v/>
      </c>
      <c r="P148" s="173" t="str">
        <f t="shared" si="54"/>
        <v/>
      </c>
      <c r="Q148" s="173" t="str">
        <f>IF($F$8&gt;120,($S$8+$S$10),IF($A147=$F$8,$Q$40+$Q$27+$Q$52+$Q$64+$Q$76+$Q$88+$Q$100+$Q$112+$Q$124+$Q$136,""))</f>
        <v/>
      </c>
      <c r="R148" s="173" t="str">
        <f t="shared" si="61"/>
        <v/>
      </c>
      <c r="S148" s="176" t="str">
        <f>IF(A147=$D$8,XIRR(U$27:U147,C$27:C147),"")</f>
        <v/>
      </c>
      <c r="T148" s="173" t="str">
        <f t="shared" si="44"/>
        <v/>
      </c>
      <c r="U148" s="173">
        <f t="shared" si="52"/>
        <v>0</v>
      </c>
      <c r="V148" s="141" t="e">
        <f t="shared" ca="1" si="45"/>
        <v>#VALUE!</v>
      </c>
      <c r="W148" s="141" t="e">
        <f t="shared" ca="1" si="50"/>
        <v>#VALUE!</v>
      </c>
      <c r="X148" s="141" t="e">
        <f t="shared" ca="1" si="46"/>
        <v>#VALUE!</v>
      </c>
      <c r="Y148" s="177" t="e">
        <f t="shared" ca="1" si="65"/>
        <v>#VALUE!</v>
      </c>
      <c r="Z148" s="178" t="e">
        <f t="shared" ca="1" si="47"/>
        <v>#VALUE!</v>
      </c>
      <c r="AA148" s="141">
        <v>121</v>
      </c>
    </row>
    <row r="149" spans="1:27" x14ac:dyDescent="0.35">
      <c r="A149" s="175" t="str">
        <f t="shared" si="51"/>
        <v/>
      </c>
      <c r="B149" s="172">
        <f t="shared" ca="1" si="48"/>
        <v>48909</v>
      </c>
      <c r="C149" s="172" t="str">
        <f t="shared" ca="1" si="49"/>
        <v xml:space="preserve"> </v>
      </c>
      <c r="D149" s="175" t="str">
        <f t="shared" si="57"/>
        <v/>
      </c>
      <c r="E149" s="173" t="e">
        <f t="shared" ca="1" si="43"/>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58"/>
        <v/>
      </c>
      <c r="J149" s="173" t="str">
        <f t="shared" si="59"/>
        <v/>
      </c>
      <c r="K149" s="173" t="str">
        <f t="shared" si="66"/>
        <v/>
      </c>
      <c r="L149" s="173" t="str">
        <f t="shared" si="60"/>
        <v/>
      </c>
      <c r="M149" s="173" t="str">
        <f t="shared" si="62"/>
        <v/>
      </c>
      <c r="N149" s="173" t="str">
        <f t="shared" si="63"/>
        <v/>
      </c>
      <c r="O149" s="173" t="str">
        <f t="shared" si="64"/>
        <v/>
      </c>
      <c r="P149" s="173" t="str">
        <f t="shared" si="54"/>
        <v/>
      </c>
      <c r="Q149" s="173" t="str">
        <f t="shared" ref="Q149:Q159" si="70">IF(A148=$D$8,$Q$27,"")</f>
        <v/>
      </c>
      <c r="R149" s="173" t="str">
        <f t="shared" si="61"/>
        <v/>
      </c>
      <c r="S149" s="176" t="str">
        <f>IF(A148=$D$8,XIRR(U$27:U148,C$27:C148),"")</f>
        <v/>
      </c>
      <c r="T149" s="173" t="str">
        <f t="shared" si="44"/>
        <v/>
      </c>
      <c r="U149" s="173">
        <f t="shared" si="52"/>
        <v>0</v>
      </c>
      <c r="V149" s="141" t="e">
        <f t="shared" ca="1" si="45"/>
        <v>#VALUE!</v>
      </c>
      <c r="W149" s="141" t="e">
        <f t="shared" ca="1" si="50"/>
        <v>#VALUE!</v>
      </c>
      <c r="X149" s="141" t="e">
        <f t="shared" ca="1" si="46"/>
        <v>#VALUE!</v>
      </c>
      <c r="Y149" s="177" t="e">
        <f t="shared" ca="1" si="65"/>
        <v>#VALUE!</v>
      </c>
      <c r="Z149" s="178" t="e">
        <f t="shared" ca="1" si="47"/>
        <v>#VALUE!</v>
      </c>
      <c r="AA149" s="141">
        <v>122</v>
      </c>
    </row>
    <row r="150" spans="1:27" x14ac:dyDescent="0.35">
      <c r="A150" s="175" t="str">
        <f t="shared" si="51"/>
        <v/>
      </c>
      <c r="B150" s="172">
        <f t="shared" ca="1" si="48"/>
        <v>48939</v>
      </c>
      <c r="C150" s="172" t="str">
        <f t="shared" ca="1" si="49"/>
        <v xml:space="preserve"> </v>
      </c>
      <c r="D150" s="175" t="str">
        <f t="shared" si="57"/>
        <v/>
      </c>
      <c r="E150" s="173" t="e">
        <f t="shared" ca="1" si="43"/>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58"/>
        <v/>
      </c>
      <c r="J150" s="173" t="str">
        <f t="shared" si="59"/>
        <v/>
      </c>
      <c r="K150" s="173" t="str">
        <f t="shared" si="66"/>
        <v/>
      </c>
      <c r="L150" s="173" t="str">
        <f t="shared" si="60"/>
        <v/>
      </c>
      <c r="M150" s="173" t="str">
        <f t="shared" si="62"/>
        <v/>
      </c>
      <c r="N150" s="173" t="str">
        <f t="shared" si="63"/>
        <v/>
      </c>
      <c r="O150" s="173" t="str">
        <f t="shared" si="64"/>
        <v/>
      </c>
      <c r="P150" s="173" t="str">
        <f t="shared" si="54"/>
        <v/>
      </c>
      <c r="Q150" s="173" t="str">
        <f t="shared" si="70"/>
        <v/>
      </c>
      <c r="R150" s="173" t="str">
        <f t="shared" si="61"/>
        <v/>
      </c>
      <c r="S150" s="176" t="str">
        <f>IF(A149=$D$8,XIRR(U$27:U149,C$27:C149),"")</f>
        <v/>
      </c>
      <c r="T150" s="173" t="str">
        <f t="shared" si="44"/>
        <v/>
      </c>
      <c r="U150" s="173">
        <f t="shared" si="52"/>
        <v>0</v>
      </c>
      <c r="V150" s="141" t="e">
        <f t="shared" ca="1" si="45"/>
        <v>#VALUE!</v>
      </c>
      <c r="W150" s="141" t="e">
        <f t="shared" ca="1" si="50"/>
        <v>#VALUE!</v>
      </c>
      <c r="X150" s="141" t="e">
        <f t="shared" ca="1" si="46"/>
        <v>#VALUE!</v>
      </c>
      <c r="Y150" s="177" t="e">
        <f t="shared" ca="1" si="65"/>
        <v>#VALUE!</v>
      </c>
      <c r="Z150" s="178" t="e">
        <f t="shared" ca="1" si="47"/>
        <v>#VALUE!</v>
      </c>
      <c r="AA150" s="141">
        <v>123</v>
      </c>
    </row>
    <row r="151" spans="1:27" x14ac:dyDescent="0.35">
      <c r="A151" s="175" t="str">
        <f t="shared" si="51"/>
        <v/>
      </c>
      <c r="B151" s="172">
        <f t="shared" ca="1" si="48"/>
        <v>48970</v>
      </c>
      <c r="C151" s="172" t="str">
        <f t="shared" ca="1" si="49"/>
        <v xml:space="preserve"> </v>
      </c>
      <c r="D151" s="175" t="str">
        <f t="shared" si="57"/>
        <v/>
      </c>
      <c r="E151" s="173" t="e">
        <f t="shared" ca="1" si="43"/>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58"/>
        <v/>
      </c>
      <c r="J151" s="173" t="str">
        <f t="shared" si="59"/>
        <v/>
      </c>
      <c r="K151" s="173" t="str">
        <f t="shared" si="66"/>
        <v/>
      </c>
      <c r="L151" s="173" t="str">
        <f t="shared" si="60"/>
        <v/>
      </c>
      <c r="M151" s="173" t="str">
        <f t="shared" si="62"/>
        <v/>
      </c>
      <c r="N151" s="173" t="str">
        <f t="shared" si="63"/>
        <v/>
      </c>
      <c r="O151" s="173" t="str">
        <f t="shared" si="64"/>
        <v/>
      </c>
      <c r="P151" s="173" t="str">
        <f t="shared" si="54"/>
        <v/>
      </c>
      <c r="Q151" s="173" t="str">
        <f t="shared" si="70"/>
        <v/>
      </c>
      <c r="R151" s="173" t="str">
        <f t="shared" si="61"/>
        <v/>
      </c>
      <c r="S151" s="176" t="str">
        <f>IF(A150=$D$8,XIRR(U$27:U150,C$27:C150),"")</f>
        <v/>
      </c>
      <c r="T151" s="173" t="str">
        <f t="shared" si="44"/>
        <v/>
      </c>
      <c r="U151" s="173">
        <f t="shared" si="52"/>
        <v>0</v>
      </c>
      <c r="V151" s="141" t="e">
        <f t="shared" ca="1" si="45"/>
        <v>#VALUE!</v>
      </c>
      <c r="W151" s="141" t="e">
        <f t="shared" ca="1" si="50"/>
        <v>#VALUE!</v>
      </c>
      <c r="X151" s="141" t="e">
        <f t="shared" ca="1" si="46"/>
        <v>#VALUE!</v>
      </c>
      <c r="Y151" s="177" t="e">
        <f t="shared" ca="1" si="65"/>
        <v>#VALUE!</v>
      </c>
      <c r="Z151" s="178" t="e">
        <f t="shared" ca="1" si="47"/>
        <v>#VALUE!</v>
      </c>
      <c r="AA151" s="141">
        <v>124</v>
      </c>
    </row>
    <row r="152" spans="1:27" x14ac:dyDescent="0.35">
      <c r="A152" s="175" t="str">
        <f t="shared" si="51"/>
        <v/>
      </c>
      <c r="B152" s="172">
        <f t="shared" ca="1" si="48"/>
        <v>49001</v>
      </c>
      <c r="C152" s="172" t="str">
        <f t="shared" ca="1" si="49"/>
        <v xml:space="preserve"> </v>
      </c>
      <c r="D152" s="175" t="str">
        <f t="shared" si="57"/>
        <v/>
      </c>
      <c r="E152" s="173" t="e">
        <f t="shared" ca="1" si="43"/>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58"/>
        <v/>
      </c>
      <c r="J152" s="173" t="str">
        <f t="shared" si="59"/>
        <v/>
      </c>
      <c r="K152" s="173" t="str">
        <f t="shared" si="66"/>
        <v/>
      </c>
      <c r="L152" s="173" t="str">
        <f t="shared" si="60"/>
        <v/>
      </c>
      <c r="M152" s="173" t="str">
        <f t="shared" si="62"/>
        <v/>
      </c>
      <c r="N152" s="173" t="str">
        <f t="shared" si="63"/>
        <v/>
      </c>
      <c r="O152" s="173" t="str">
        <f t="shared" si="64"/>
        <v/>
      </c>
      <c r="P152" s="173" t="str">
        <f t="shared" si="54"/>
        <v/>
      </c>
      <c r="Q152" s="173" t="str">
        <f t="shared" si="70"/>
        <v/>
      </c>
      <c r="R152" s="173" t="str">
        <f t="shared" si="61"/>
        <v/>
      </c>
      <c r="S152" s="176" t="str">
        <f>IF(A151=$D$8,XIRR(U$27:U151,C$27:C151),"")</f>
        <v/>
      </c>
      <c r="T152" s="173" t="str">
        <f t="shared" si="44"/>
        <v/>
      </c>
      <c r="U152" s="173">
        <f t="shared" si="52"/>
        <v>0</v>
      </c>
      <c r="V152" s="141" t="e">
        <f t="shared" ca="1" si="45"/>
        <v>#VALUE!</v>
      </c>
      <c r="W152" s="141" t="e">
        <f t="shared" ca="1" si="50"/>
        <v>#VALUE!</v>
      </c>
      <c r="X152" s="141" t="e">
        <f t="shared" ca="1" si="46"/>
        <v>#VALUE!</v>
      </c>
      <c r="Y152" s="177" t="e">
        <f t="shared" ca="1" si="65"/>
        <v>#VALUE!</v>
      </c>
      <c r="Z152" s="178" t="e">
        <f t="shared" ca="1" si="47"/>
        <v>#VALUE!</v>
      </c>
      <c r="AA152" s="141">
        <v>125</v>
      </c>
    </row>
    <row r="153" spans="1:27" x14ac:dyDescent="0.35">
      <c r="A153" s="175" t="str">
        <f t="shared" si="51"/>
        <v/>
      </c>
      <c r="B153" s="172">
        <f t="shared" ca="1" si="48"/>
        <v>49029</v>
      </c>
      <c r="C153" s="172" t="str">
        <f t="shared" ca="1" si="49"/>
        <v xml:space="preserve"> </v>
      </c>
      <c r="D153" s="175" t="str">
        <f t="shared" si="57"/>
        <v/>
      </c>
      <c r="E153" s="173" t="e">
        <f t="shared" ca="1" si="43"/>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58"/>
        <v/>
      </c>
      <c r="J153" s="173" t="str">
        <f t="shared" si="59"/>
        <v/>
      </c>
      <c r="K153" s="173" t="str">
        <f t="shared" si="66"/>
        <v/>
      </c>
      <c r="L153" s="173" t="str">
        <f t="shared" si="60"/>
        <v/>
      </c>
      <c r="M153" s="173" t="str">
        <f t="shared" si="62"/>
        <v/>
      </c>
      <c r="N153" s="173" t="str">
        <f t="shared" si="63"/>
        <v/>
      </c>
      <c r="O153" s="173" t="str">
        <f t="shared" si="64"/>
        <v/>
      </c>
      <c r="P153" s="173" t="str">
        <f t="shared" si="54"/>
        <v/>
      </c>
      <c r="Q153" s="173" t="str">
        <f t="shared" si="70"/>
        <v/>
      </c>
      <c r="R153" s="173" t="str">
        <f t="shared" si="61"/>
        <v/>
      </c>
      <c r="S153" s="176" t="str">
        <f>IF(A152=$D$8,XIRR(U$27:U152,C$27:C152),"")</f>
        <v/>
      </c>
      <c r="T153" s="173" t="str">
        <f t="shared" si="44"/>
        <v/>
      </c>
      <c r="U153" s="173">
        <f t="shared" si="52"/>
        <v>0</v>
      </c>
      <c r="V153" s="141" t="e">
        <f t="shared" ca="1" si="45"/>
        <v>#VALUE!</v>
      </c>
      <c r="W153" s="141" t="e">
        <f t="shared" ca="1" si="50"/>
        <v>#VALUE!</v>
      </c>
      <c r="X153" s="141" t="e">
        <f t="shared" ca="1" si="46"/>
        <v>#VALUE!</v>
      </c>
      <c r="Y153" s="177" t="e">
        <f t="shared" ca="1" si="65"/>
        <v>#VALUE!</v>
      </c>
      <c r="Z153" s="178" t="e">
        <f t="shared" ca="1" si="47"/>
        <v>#VALUE!</v>
      </c>
      <c r="AA153" s="141">
        <v>126</v>
      </c>
    </row>
    <row r="154" spans="1:27" x14ac:dyDescent="0.35">
      <c r="A154" s="175" t="str">
        <f t="shared" si="51"/>
        <v/>
      </c>
      <c r="B154" s="172">
        <f t="shared" ca="1" si="48"/>
        <v>49060</v>
      </c>
      <c r="C154" s="172" t="str">
        <f t="shared" ca="1" si="49"/>
        <v xml:space="preserve"> </v>
      </c>
      <c r="D154" s="175" t="str">
        <f t="shared" si="57"/>
        <v/>
      </c>
      <c r="E154" s="173" t="e">
        <f t="shared" ca="1" si="43"/>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58"/>
        <v/>
      </c>
      <c r="J154" s="173" t="str">
        <f t="shared" si="59"/>
        <v/>
      </c>
      <c r="K154" s="173" t="str">
        <f t="shared" si="66"/>
        <v/>
      </c>
      <c r="L154" s="173" t="str">
        <f t="shared" si="60"/>
        <v/>
      </c>
      <c r="M154" s="173" t="str">
        <f t="shared" si="62"/>
        <v/>
      </c>
      <c r="N154" s="173" t="str">
        <f t="shared" si="63"/>
        <v/>
      </c>
      <c r="O154" s="173" t="str">
        <f t="shared" si="64"/>
        <v/>
      </c>
      <c r="P154" s="173" t="str">
        <f t="shared" si="54"/>
        <v/>
      </c>
      <c r="Q154" s="173" t="str">
        <f t="shared" si="70"/>
        <v/>
      </c>
      <c r="R154" s="173" t="str">
        <f t="shared" si="61"/>
        <v/>
      </c>
      <c r="S154" s="176" t="str">
        <f>IF(A153=$D$8,XIRR(U$27:U153,C$27:C153),"")</f>
        <v/>
      </c>
      <c r="T154" s="173" t="str">
        <f t="shared" si="44"/>
        <v/>
      </c>
      <c r="U154" s="173">
        <f t="shared" si="52"/>
        <v>0</v>
      </c>
      <c r="V154" s="141" t="e">
        <f t="shared" ca="1" si="45"/>
        <v>#VALUE!</v>
      </c>
      <c r="W154" s="141" t="e">
        <f t="shared" ca="1" si="50"/>
        <v>#VALUE!</v>
      </c>
      <c r="X154" s="141" t="e">
        <f t="shared" ca="1" si="46"/>
        <v>#VALUE!</v>
      </c>
      <c r="Y154" s="177" t="e">
        <f t="shared" ca="1" si="65"/>
        <v>#VALUE!</v>
      </c>
      <c r="Z154" s="178" t="e">
        <f t="shared" ca="1" si="47"/>
        <v>#VALUE!</v>
      </c>
      <c r="AA154" s="141">
        <v>127</v>
      </c>
    </row>
    <row r="155" spans="1:27" x14ac:dyDescent="0.35">
      <c r="A155" s="175" t="str">
        <f t="shared" si="51"/>
        <v/>
      </c>
      <c r="B155" s="172">
        <f t="shared" ca="1" si="48"/>
        <v>49090</v>
      </c>
      <c r="C155" s="172" t="str">
        <f t="shared" ca="1" si="49"/>
        <v xml:space="preserve"> </v>
      </c>
      <c r="D155" s="175" t="str">
        <f t="shared" si="57"/>
        <v/>
      </c>
      <c r="E155" s="173" t="e">
        <f t="shared" ca="1" si="43"/>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58"/>
        <v/>
      </c>
      <c r="J155" s="173" t="str">
        <f t="shared" si="59"/>
        <v/>
      </c>
      <c r="K155" s="173" t="str">
        <f t="shared" si="66"/>
        <v/>
      </c>
      <c r="L155" s="173" t="str">
        <f t="shared" si="60"/>
        <v/>
      </c>
      <c r="M155" s="173" t="str">
        <f t="shared" si="62"/>
        <v/>
      </c>
      <c r="N155" s="173" t="str">
        <f t="shared" si="63"/>
        <v/>
      </c>
      <c r="O155" s="173" t="str">
        <f t="shared" si="64"/>
        <v/>
      </c>
      <c r="P155" s="173" t="str">
        <f t="shared" si="54"/>
        <v/>
      </c>
      <c r="Q155" s="173" t="str">
        <f t="shared" si="70"/>
        <v/>
      </c>
      <c r="R155" s="173" t="str">
        <f t="shared" si="61"/>
        <v/>
      </c>
      <c r="S155" s="176" t="str">
        <f>IF(A154=$D$8,XIRR(U$27:U154,C$27:C154),"")</f>
        <v/>
      </c>
      <c r="T155" s="173" t="str">
        <f t="shared" si="44"/>
        <v/>
      </c>
      <c r="U155" s="173">
        <f t="shared" si="52"/>
        <v>0</v>
      </c>
      <c r="V155" s="141" t="e">
        <f t="shared" ca="1" si="45"/>
        <v>#VALUE!</v>
      </c>
      <c r="W155" s="141" t="e">
        <f t="shared" ca="1" si="50"/>
        <v>#VALUE!</v>
      </c>
      <c r="X155" s="141" t="e">
        <f t="shared" ca="1" si="46"/>
        <v>#VALUE!</v>
      </c>
      <c r="Y155" s="177" t="e">
        <f t="shared" ca="1" si="65"/>
        <v>#VALUE!</v>
      </c>
      <c r="Z155" s="178" t="e">
        <f t="shared" ca="1" si="47"/>
        <v>#VALUE!</v>
      </c>
      <c r="AA155" s="141">
        <v>128</v>
      </c>
    </row>
    <row r="156" spans="1:27" x14ac:dyDescent="0.35">
      <c r="A156" s="175" t="str">
        <f t="shared" si="51"/>
        <v/>
      </c>
      <c r="B156" s="172">
        <f t="shared" ca="1" si="48"/>
        <v>49121</v>
      </c>
      <c r="C156" s="172" t="str">
        <f t="shared" ca="1" si="49"/>
        <v xml:space="preserve"> </v>
      </c>
      <c r="D156" s="175" t="str">
        <f t="shared" si="57"/>
        <v/>
      </c>
      <c r="E156" s="173" t="e">
        <f t="shared" ref="E156:E219" ca="1" si="71">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58"/>
        <v/>
      </c>
      <c r="J156" s="173" t="str">
        <f t="shared" si="59"/>
        <v/>
      </c>
      <c r="K156" s="173" t="str">
        <f t="shared" si="66"/>
        <v/>
      </c>
      <c r="L156" s="173" t="str">
        <f t="shared" si="60"/>
        <v/>
      </c>
      <c r="M156" s="173" t="str">
        <f t="shared" si="62"/>
        <v/>
      </c>
      <c r="N156" s="173" t="str">
        <f t="shared" si="63"/>
        <v/>
      </c>
      <c r="O156" s="173" t="str">
        <f t="shared" si="64"/>
        <v/>
      </c>
      <c r="P156" s="173" t="str">
        <f t="shared" si="54"/>
        <v/>
      </c>
      <c r="Q156" s="173" t="str">
        <f t="shared" si="70"/>
        <v/>
      </c>
      <c r="R156" s="173" t="str">
        <f t="shared" si="61"/>
        <v/>
      </c>
      <c r="S156" s="176" t="str">
        <f>IF(A155=$D$8,XIRR(U$27:U155,C$27:C155),"")</f>
        <v/>
      </c>
      <c r="T156" s="173" t="str">
        <f t="shared" ref="T156:T219" si="72">IF(A155=$D$8,G156+P156+H156+I156+J156+K156+L156+Q156+R156,"")</f>
        <v/>
      </c>
      <c r="U156" s="173">
        <f t="shared" si="52"/>
        <v>0</v>
      </c>
      <c r="V156" s="141" t="e">
        <f t="shared" ref="V156:V219" ca="1" si="73">IF(C156="","",YEAR(C156))</f>
        <v>#VALUE!</v>
      </c>
      <c r="W156" s="141" t="e">
        <f t="shared" ca="1" si="50"/>
        <v>#VALUE!</v>
      </c>
      <c r="X156" s="141" t="e">
        <f t="shared" ref="X156:X219" ca="1" si="74">IF(C156="","",DAY(C156))</f>
        <v>#VALUE!</v>
      </c>
      <c r="Y156" s="177" t="e">
        <f t="shared" ca="1" si="65"/>
        <v>#VALUE!</v>
      </c>
      <c r="Z156" s="178" t="e">
        <f t="shared" ref="Z156:Z219" ca="1" si="75">D156-Y156</f>
        <v>#VALUE!</v>
      </c>
      <c r="AA156" s="141">
        <v>129</v>
      </c>
    </row>
    <row r="157" spans="1:27" x14ac:dyDescent="0.35">
      <c r="A157" s="175" t="str">
        <f t="shared" si="51"/>
        <v/>
      </c>
      <c r="B157" s="172">
        <f t="shared" ref="B157:B220" ca="1" si="76">EDATE($B$27,AA157)</f>
        <v>49151</v>
      </c>
      <c r="C157" s="172" t="str">
        <f t="shared" ref="C157:C220" ca="1" si="77">IF(B157=$D$10,B157-1,(IF(B157&gt;$D$10," ",B157)))</f>
        <v xml:space="preserve"> </v>
      </c>
      <c r="D157" s="175" t="str">
        <f t="shared" si="57"/>
        <v/>
      </c>
      <c r="E157" s="173" t="e">
        <f t="shared" ca="1" si="71"/>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58"/>
        <v/>
      </c>
      <c r="J157" s="173" t="str">
        <f t="shared" si="59"/>
        <v/>
      </c>
      <c r="K157" s="173" t="str">
        <f t="shared" si="66"/>
        <v/>
      </c>
      <c r="L157" s="173" t="str">
        <f t="shared" si="60"/>
        <v/>
      </c>
      <c r="M157" s="173" t="str">
        <f t="shared" si="62"/>
        <v/>
      </c>
      <c r="N157" s="173" t="str">
        <f t="shared" si="63"/>
        <v/>
      </c>
      <c r="O157" s="173" t="str">
        <f t="shared" si="64"/>
        <v/>
      </c>
      <c r="P157" s="173" t="str">
        <f t="shared" si="54"/>
        <v/>
      </c>
      <c r="Q157" s="173" t="str">
        <f t="shared" si="70"/>
        <v/>
      </c>
      <c r="R157" s="173" t="str">
        <f t="shared" si="61"/>
        <v/>
      </c>
      <c r="S157" s="176" t="str">
        <f>IF(A156=$D$8,XIRR(U$27:U156,C$27:C156),"")</f>
        <v/>
      </c>
      <c r="T157" s="173" t="str">
        <f t="shared" si="72"/>
        <v/>
      </c>
      <c r="U157" s="173">
        <f t="shared" si="52"/>
        <v>0</v>
      </c>
      <c r="V157" s="141" t="e">
        <f t="shared" ca="1" si="73"/>
        <v>#VALUE!</v>
      </c>
      <c r="W157" s="141" t="e">
        <f t="shared" ref="W157:W220" ca="1" si="78">IF(OR(V157=2024,V157=2028,V157=2016,V157=2020,V157=2024,V157=2028,V157=2032,V157=2036,V157=2040),366,365)</f>
        <v>#VALUE!</v>
      </c>
      <c r="X157" s="141" t="e">
        <f t="shared" ca="1" si="74"/>
        <v>#VALUE!</v>
      </c>
      <c r="Y157" s="177" t="e">
        <f t="shared" ca="1" si="65"/>
        <v>#VALUE!</v>
      </c>
      <c r="Z157" s="178" t="e">
        <f t="shared" ca="1" si="75"/>
        <v>#VALUE!</v>
      </c>
      <c r="AA157" s="141">
        <v>130</v>
      </c>
    </row>
    <row r="158" spans="1:27" x14ac:dyDescent="0.35">
      <c r="A158" s="175" t="str">
        <f t="shared" ref="A158:A221" si="79">IF(A157&lt;$D$8,A157+1,"")</f>
        <v/>
      </c>
      <c r="B158" s="172">
        <f t="shared" ca="1" si="76"/>
        <v>49182</v>
      </c>
      <c r="C158" s="172" t="str">
        <f t="shared" ca="1" si="77"/>
        <v xml:space="preserve"> </v>
      </c>
      <c r="D158" s="175" t="str">
        <f t="shared" si="57"/>
        <v/>
      </c>
      <c r="E158" s="173" t="e">
        <f t="shared" ca="1" si="71"/>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58"/>
        <v/>
      </c>
      <c r="J158" s="173" t="str">
        <f t="shared" si="59"/>
        <v/>
      </c>
      <c r="K158" s="173" t="str">
        <f t="shared" si="66"/>
        <v/>
      </c>
      <c r="L158" s="173" t="str">
        <f t="shared" si="60"/>
        <v/>
      </c>
      <c r="M158" s="173" t="str">
        <f t="shared" si="62"/>
        <v/>
      </c>
      <c r="N158" s="173" t="str">
        <f t="shared" si="63"/>
        <v/>
      </c>
      <c r="O158" s="173" t="str">
        <f t="shared" si="64"/>
        <v/>
      </c>
      <c r="P158" s="173" t="str">
        <f t="shared" si="54"/>
        <v/>
      </c>
      <c r="Q158" s="173" t="str">
        <f t="shared" si="70"/>
        <v/>
      </c>
      <c r="R158" s="173" t="str">
        <f t="shared" si="61"/>
        <v/>
      </c>
      <c r="S158" s="176" t="str">
        <f>IF(A157=$D$8,XIRR(U$27:U157,C$27:C157),"")</f>
        <v/>
      </c>
      <c r="T158" s="173" t="str">
        <f t="shared" si="72"/>
        <v/>
      </c>
      <c r="U158" s="173">
        <f t="shared" ref="U158:U221" si="80">SUM(G158:T158)</f>
        <v>0</v>
      </c>
      <c r="V158" s="141" t="e">
        <f t="shared" ca="1" si="73"/>
        <v>#VALUE!</v>
      </c>
      <c r="W158" s="141" t="e">
        <f t="shared" ca="1" si="78"/>
        <v>#VALUE!</v>
      </c>
      <c r="X158" s="141" t="e">
        <f t="shared" ca="1" si="74"/>
        <v>#VALUE!</v>
      </c>
      <c r="Y158" s="177" t="e">
        <f t="shared" ca="1" si="65"/>
        <v>#VALUE!</v>
      </c>
      <c r="Z158" s="178" t="e">
        <f t="shared" ca="1" si="75"/>
        <v>#VALUE!</v>
      </c>
      <c r="AA158" s="141">
        <v>131</v>
      </c>
    </row>
    <row r="159" spans="1:27" x14ac:dyDescent="0.35">
      <c r="A159" s="175" t="str">
        <f t="shared" si="79"/>
        <v/>
      </c>
      <c r="B159" s="172">
        <f t="shared" ca="1" si="76"/>
        <v>49213</v>
      </c>
      <c r="C159" s="172" t="str">
        <f t="shared" ca="1" si="77"/>
        <v xml:space="preserve"> </v>
      </c>
      <c r="D159" s="175" t="str">
        <f t="shared" si="57"/>
        <v/>
      </c>
      <c r="E159" s="173" t="e">
        <f t="shared" ca="1" si="71"/>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58"/>
        <v/>
      </c>
      <c r="J159" s="173" t="str">
        <f t="shared" si="59"/>
        <v/>
      </c>
      <c r="K159" s="173" t="str">
        <f t="shared" si="66"/>
        <v/>
      </c>
      <c r="L159" s="173" t="str">
        <f t="shared" si="60"/>
        <v/>
      </c>
      <c r="M159" s="173" t="str">
        <f t="shared" si="62"/>
        <v/>
      </c>
      <c r="N159" s="173" t="str">
        <f t="shared" si="63"/>
        <v/>
      </c>
      <c r="O159" s="173" t="str">
        <f t="shared" si="64"/>
        <v/>
      </c>
      <c r="P159" s="173" t="str">
        <f t="shared" si="54"/>
        <v/>
      </c>
      <c r="Q159" s="173" t="str">
        <f t="shared" si="70"/>
        <v/>
      </c>
      <c r="R159" s="173" t="str">
        <f t="shared" si="61"/>
        <v/>
      </c>
      <c r="S159" s="176" t="str">
        <f>IF(A158=$D$8,XIRR(U$27:U158,C$27:C158),"")</f>
        <v/>
      </c>
      <c r="T159" s="173" t="str">
        <f t="shared" si="72"/>
        <v/>
      </c>
      <c r="U159" s="173">
        <f t="shared" si="80"/>
        <v>0</v>
      </c>
      <c r="V159" s="141" t="e">
        <f t="shared" ca="1" si="73"/>
        <v>#VALUE!</v>
      </c>
      <c r="W159" s="141" t="e">
        <f t="shared" ca="1" si="78"/>
        <v>#VALUE!</v>
      </c>
      <c r="X159" s="141" t="e">
        <f t="shared" ca="1" si="74"/>
        <v>#VALUE!</v>
      </c>
      <c r="Y159" s="177" t="e">
        <f t="shared" ca="1" si="65"/>
        <v>#VALUE!</v>
      </c>
      <c r="Z159" s="178" t="e">
        <f t="shared" ca="1" si="75"/>
        <v>#VALUE!</v>
      </c>
      <c r="AA159" s="141">
        <v>132</v>
      </c>
    </row>
    <row r="160" spans="1:27" x14ac:dyDescent="0.35">
      <c r="A160" s="175" t="str">
        <f t="shared" si="79"/>
        <v/>
      </c>
      <c r="B160" s="172">
        <f t="shared" ca="1" si="76"/>
        <v>49243</v>
      </c>
      <c r="C160" s="172" t="str">
        <f t="shared" ca="1" si="77"/>
        <v xml:space="preserve"> </v>
      </c>
      <c r="D160" s="175" t="str">
        <f t="shared" si="57"/>
        <v/>
      </c>
      <c r="E160" s="173" t="e">
        <f t="shared" ca="1" si="71"/>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58"/>
        <v/>
      </c>
      <c r="J160" s="173" t="str">
        <f t="shared" si="59"/>
        <v/>
      </c>
      <c r="K160" s="173" t="str">
        <f>IF($F$8&gt;132,($R$14),IF(A159=$F$8,K148+K136+K124+K112+K100+K88+K76+K64+K52+K40+K27,""))</f>
        <v/>
      </c>
      <c r="L160" s="173" t="str">
        <f t="shared" si="60"/>
        <v/>
      </c>
      <c r="M160" s="173" t="str">
        <f t="shared" si="62"/>
        <v/>
      </c>
      <c r="N160" s="173" t="str">
        <f t="shared" si="63"/>
        <v/>
      </c>
      <c r="O160" s="173" t="str">
        <f t="shared" si="64"/>
        <v/>
      </c>
      <c r="P160" s="173" t="str">
        <f t="shared" si="54"/>
        <v/>
      </c>
      <c r="Q160" s="173" t="str">
        <f>IF($F$8&gt;132,($S$8+$S$10),IF($A159=$F$8,$Q$40+$Q$27+$Q$52+$Q$64+$Q$76+$Q$88+$Q$100+$Q$112+$Q$124+$Q$136+$Q$148,""))</f>
        <v/>
      </c>
      <c r="R160" s="173" t="str">
        <f t="shared" si="61"/>
        <v/>
      </c>
      <c r="S160" s="176" t="str">
        <f>IF(A159=$D$8,XIRR(U$27:U159,C$27:C159),"")</f>
        <v/>
      </c>
      <c r="T160" s="173" t="str">
        <f t="shared" si="72"/>
        <v/>
      </c>
      <c r="U160" s="173">
        <f t="shared" si="80"/>
        <v>0</v>
      </c>
      <c r="V160" s="141" t="e">
        <f t="shared" ca="1" si="73"/>
        <v>#VALUE!</v>
      </c>
      <c r="W160" s="141" t="e">
        <f t="shared" ca="1" si="78"/>
        <v>#VALUE!</v>
      </c>
      <c r="X160" s="141" t="e">
        <f t="shared" ca="1" si="74"/>
        <v>#VALUE!</v>
      </c>
      <c r="Y160" s="177" t="e">
        <f t="shared" ca="1" si="65"/>
        <v>#VALUE!</v>
      </c>
      <c r="Z160" s="178" t="e">
        <f t="shared" ca="1" si="75"/>
        <v>#VALUE!</v>
      </c>
      <c r="AA160" s="141">
        <v>133</v>
      </c>
    </row>
    <row r="161" spans="1:27" x14ac:dyDescent="0.35">
      <c r="A161" s="175" t="str">
        <f t="shared" si="79"/>
        <v/>
      </c>
      <c r="B161" s="172">
        <f t="shared" ca="1" si="76"/>
        <v>49274</v>
      </c>
      <c r="C161" s="172" t="str">
        <f t="shared" ca="1" si="77"/>
        <v xml:space="preserve"> </v>
      </c>
      <c r="D161" s="175" t="str">
        <f t="shared" si="57"/>
        <v/>
      </c>
      <c r="E161" s="173" t="e">
        <f t="shared" ca="1" si="71"/>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58"/>
        <v/>
      </c>
      <c r="J161" s="173" t="str">
        <f t="shared" si="59"/>
        <v/>
      </c>
      <c r="K161" s="173" t="str">
        <f t="shared" si="66"/>
        <v/>
      </c>
      <c r="L161" s="173" t="str">
        <f t="shared" si="60"/>
        <v/>
      </c>
      <c r="M161" s="173" t="str">
        <f t="shared" si="62"/>
        <v/>
      </c>
      <c r="N161" s="173" t="str">
        <f t="shared" si="63"/>
        <v/>
      </c>
      <c r="O161" s="173" t="str">
        <f t="shared" si="64"/>
        <v/>
      </c>
      <c r="P161" s="173" t="str">
        <f t="shared" si="54"/>
        <v/>
      </c>
      <c r="Q161" s="173" t="str">
        <f t="shared" ref="Q161:Q171" si="81">IF(A160=$D$8,$Q$27,"")</f>
        <v/>
      </c>
      <c r="R161" s="173" t="str">
        <f t="shared" si="61"/>
        <v/>
      </c>
      <c r="S161" s="176" t="str">
        <f>IF(A160=$D$8,XIRR(U$27:U160,C$27:C160),"")</f>
        <v/>
      </c>
      <c r="T161" s="173" t="str">
        <f t="shared" si="72"/>
        <v/>
      </c>
      <c r="U161" s="173">
        <f t="shared" si="80"/>
        <v>0</v>
      </c>
      <c r="V161" s="141" t="e">
        <f t="shared" ca="1" si="73"/>
        <v>#VALUE!</v>
      </c>
      <c r="W161" s="141" t="e">
        <f t="shared" ca="1" si="78"/>
        <v>#VALUE!</v>
      </c>
      <c r="X161" s="141" t="e">
        <f t="shared" ca="1" si="74"/>
        <v>#VALUE!</v>
      </c>
      <c r="Y161" s="177" t="e">
        <f t="shared" ca="1" si="65"/>
        <v>#VALUE!</v>
      </c>
      <c r="Z161" s="178" t="e">
        <f t="shared" ca="1" si="75"/>
        <v>#VALUE!</v>
      </c>
      <c r="AA161" s="141">
        <v>134</v>
      </c>
    </row>
    <row r="162" spans="1:27" x14ac:dyDescent="0.35">
      <c r="A162" s="175" t="str">
        <f t="shared" si="79"/>
        <v/>
      </c>
      <c r="B162" s="172">
        <f t="shared" ca="1" si="76"/>
        <v>49304</v>
      </c>
      <c r="C162" s="172" t="str">
        <f t="shared" ca="1" si="77"/>
        <v xml:space="preserve"> </v>
      </c>
      <c r="D162" s="175" t="str">
        <f t="shared" si="57"/>
        <v/>
      </c>
      <c r="E162" s="173" t="e">
        <f t="shared" ca="1" si="71"/>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58"/>
        <v/>
      </c>
      <c r="J162" s="173" t="str">
        <f t="shared" si="59"/>
        <v/>
      </c>
      <c r="K162" s="173" t="str">
        <f t="shared" si="66"/>
        <v/>
      </c>
      <c r="L162" s="173" t="str">
        <f t="shared" si="60"/>
        <v/>
      </c>
      <c r="M162" s="173" t="str">
        <f t="shared" si="62"/>
        <v/>
      </c>
      <c r="N162" s="173" t="str">
        <f t="shared" si="63"/>
        <v/>
      </c>
      <c r="O162" s="173" t="str">
        <f t="shared" si="64"/>
        <v/>
      </c>
      <c r="P162" s="173" t="str">
        <f t="shared" si="54"/>
        <v/>
      </c>
      <c r="Q162" s="173" t="str">
        <f t="shared" si="81"/>
        <v/>
      </c>
      <c r="R162" s="173" t="str">
        <f t="shared" si="61"/>
        <v/>
      </c>
      <c r="S162" s="176" t="str">
        <f>IF(A161=$D$8,XIRR(U$27:U161,C$27:C161),"")</f>
        <v/>
      </c>
      <c r="T162" s="173" t="str">
        <f t="shared" si="72"/>
        <v/>
      </c>
      <c r="U162" s="173">
        <f t="shared" si="80"/>
        <v>0</v>
      </c>
      <c r="V162" s="141" t="e">
        <f t="shared" ca="1" si="73"/>
        <v>#VALUE!</v>
      </c>
      <c r="W162" s="141" t="e">
        <f t="shared" ca="1" si="78"/>
        <v>#VALUE!</v>
      </c>
      <c r="X162" s="141" t="e">
        <f t="shared" ca="1" si="74"/>
        <v>#VALUE!</v>
      </c>
      <c r="Y162" s="177" t="e">
        <f t="shared" ca="1" si="65"/>
        <v>#VALUE!</v>
      </c>
      <c r="Z162" s="178" t="e">
        <f t="shared" ca="1" si="75"/>
        <v>#VALUE!</v>
      </c>
      <c r="AA162" s="141">
        <v>135</v>
      </c>
    </row>
    <row r="163" spans="1:27" x14ac:dyDescent="0.35">
      <c r="A163" s="175" t="str">
        <f t="shared" si="79"/>
        <v/>
      </c>
      <c r="B163" s="172">
        <f t="shared" ca="1" si="76"/>
        <v>49335</v>
      </c>
      <c r="C163" s="172" t="str">
        <f t="shared" ca="1" si="77"/>
        <v xml:space="preserve"> </v>
      </c>
      <c r="D163" s="175" t="str">
        <f t="shared" si="57"/>
        <v/>
      </c>
      <c r="E163" s="173" t="e">
        <f t="shared" ca="1" si="71"/>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58"/>
        <v/>
      </c>
      <c r="J163" s="173" t="str">
        <f t="shared" si="59"/>
        <v/>
      </c>
      <c r="K163" s="173" t="str">
        <f t="shared" si="66"/>
        <v/>
      </c>
      <c r="L163" s="173" t="str">
        <f t="shared" si="60"/>
        <v/>
      </c>
      <c r="M163" s="173" t="str">
        <f t="shared" si="62"/>
        <v/>
      </c>
      <c r="N163" s="173" t="str">
        <f t="shared" si="63"/>
        <v/>
      </c>
      <c r="O163" s="173" t="str">
        <f t="shared" si="64"/>
        <v/>
      </c>
      <c r="P163" s="173" t="str">
        <f t="shared" ref="P163:P226" si="82">IF(A162=$D$8,$P$27,"")</f>
        <v/>
      </c>
      <c r="Q163" s="173" t="str">
        <f t="shared" si="81"/>
        <v/>
      </c>
      <c r="R163" s="173" t="str">
        <f t="shared" si="61"/>
        <v/>
      </c>
      <c r="S163" s="176" t="str">
        <f>IF(A162=$D$8,XIRR(U$27:U162,C$27:C162),"")</f>
        <v/>
      </c>
      <c r="T163" s="173" t="str">
        <f t="shared" si="72"/>
        <v/>
      </c>
      <c r="U163" s="173">
        <f t="shared" si="80"/>
        <v>0</v>
      </c>
      <c r="V163" s="141" t="e">
        <f t="shared" ca="1" si="73"/>
        <v>#VALUE!</v>
      </c>
      <c r="W163" s="141" t="e">
        <f t="shared" ca="1" si="78"/>
        <v>#VALUE!</v>
      </c>
      <c r="X163" s="141" t="e">
        <f t="shared" ca="1" si="74"/>
        <v>#VALUE!</v>
      </c>
      <c r="Y163" s="177" t="e">
        <f t="shared" ca="1" si="65"/>
        <v>#VALUE!</v>
      </c>
      <c r="Z163" s="178" t="e">
        <f t="shared" ca="1" si="75"/>
        <v>#VALUE!</v>
      </c>
      <c r="AA163" s="141">
        <v>136</v>
      </c>
    </row>
    <row r="164" spans="1:27" x14ac:dyDescent="0.35">
      <c r="A164" s="175" t="str">
        <f t="shared" si="79"/>
        <v/>
      </c>
      <c r="B164" s="172">
        <f t="shared" ca="1" si="76"/>
        <v>49366</v>
      </c>
      <c r="C164" s="172" t="str">
        <f t="shared" ca="1" si="77"/>
        <v xml:space="preserve"> </v>
      </c>
      <c r="D164" s="175" t="str">
        <f t="shared" si="57"/>
        <v/>
      </c>
      <c r="E164" s="173" t="e">
        <f t="shared" ca="1" si="71"/>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58"/>
        <v/>
      </c>
      <c r="J164" s="173" t="str">
        <f t="shared" si="59"/>
        <v/>
      </c>
      <c r="K164" s="173" t="str">
        <f t="shared" si="66"/>
        <v/>
      </c>
      <c r="L164" s="173" t="str">
        <f t="shared" si="60"/>
        <v/>
      </c>
      <c r="M164" s="173" t="str">
        <f t="shared" si="62"/>
        <v/>
      </c>
      <c r="N164" s="173" t="str">
        <f t="shared" si="63"/>
        <v/>
      </c>
      <c r="O164" s="173" t="str">
        <f t="shared" si="64"/>
        <v/>
      </c>
      <c r="P164" s="173" t="str">
        <f t="shared" si="82"/>
        <v/>
      </c>
      <c r="Q164" s="173" t="str">
        <f t="shared" si="81"/>
        <v/>
      </c>
      <c r="R164" s="173" t="str">
        <f t="shared" si="61"/>
        <v/>
      </c>
      <c r="S164" s="176" t="str">
        <f>IF(A163=$D$8,XIRR(U$27:U163,C$27:C163),"")</f>
        <v/>
      </c>
      <c r="T164" s="173" t="str">
        <f t="shared" si="72"/>
        <v/>
      </c>
      <c r="U164" s="173">
        <f t="shared" si="80"/>
        <v>0</v>
      </c>
      <c r="V164" s="141" t="e">
        <f t="shared" ca="1" si="73"/>
        <v>#VALUE!</v>
      </c>
      <c r="W164" s="141" t="e">
        <f t="shared" ca="1" si="78"/>
        <v>#VALUE!</v>
      </c>
      <c r="X164" s="141" t="e">
        <f t="shared" ca="1" si="74"/>
        <v>#VALUE!</v>
      </c>
      <c r="Y164" s="177" t="e">
        <f t="shared" ca="1" si="65"/>
        <v>#VALUE!</v>
      </c>
      <c r="Z164" s="178" t="e">
        <f t="shared" ca="1" si="75"/>
        <v>#VALUE!</v>
      </c>
      <c r="AA164" s="141">
        <v>137</v>
      </c>
    </row>
    <row r="165" spans="1:27" x14ac:dyDescent="0.35">
      <c r="A165" s="175" t="str">
        <f t="shared" si="79"/>
        <v/>
      </c>
      <c r="B165" s="172">
        <f t="shared" ca="1" si="76"/>
        <v>49394</v>
      </c>
      <c r="C165" s="172" t="str">
        <f t="shared" ca="1" si="77"/>
        <v xml:space="preserve"> </v>
      </c>
      <c r="D165" s="175" t="str">
        <f t="shared" si="57"/>
        <v/>
      </c>
      <c r="E165" s="173" t="e">
        <f t="shared" ca="1" si="71"/>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58"/>
        <v/>
      </c>
      <c r="J165" s="173" t="str">
        <f t="shared" si="59"/>
        <v/>
      </c>
      <c r="K165" s="173" t="str">
        <f t="shared" si="66"/>
        <v/>
      </c>
      <c r="L165" s="173" t="str">
        <f t="shared" si="60"/>
        <v/>
      </c>
      <c r="M165" s="173" t="str">
        <f t="shared" si="62"/>
        <v/>
      </c>
      <c r="N165" s="173" t="str">
        <f t="shared" si="63"/>
        <v/>
      </c>
      <c r="O165" s="173" t="str">
        <f t="shared" si="64"/>
        <v/>
      </c>
      <c r="P165" s="173" t="str">
        <f t="shared" si="82"/>
        <v/>
      </c>
      <c r="Q165" s="173" t="str">
        <f t="shared" si="81"/>
        <v/>
      </c>
      <c r="R165" s="173" t="str">
        <f t="shared" si="61"/>
        <v/>
      </c>
      <c r="S165" s="176" t="str">
        <f>IF(A164=$D$8,XIRR(U$27:U164,C$27:C164),"")</f>
        <v/>
      </c>
      <c r="T165" s="173" t="str">
        <f t="shared" si="72"/>
        <v/>
      </c>
      <c r="U165" s="173">
        <f t="shared" si="80"/>
        <v>0</v>
      </c>
      <c r="V165" s="141" t="e">
        <f t="shared" ca="1" si="73"/>
        <v>#VALUE!</v>
      </c>
      <c r="W165" s="141" t="e">
        <f t="shared" ca="1" si="78"/>
        <v>#VALUE!</v>
      </c>
      <c r="X165" s="141" t="e">
        <f t="shared" ca="1" si="74"/>
        <v>#VALUE!</v>
      </c>
      <c r="Y165" s="177" t="e">
        <f t="shared" ca="1" si="65"/>
        <v>#VALUE!</v>
      </c>
      <c r="Z165" s="178" t="e">
        <f t="shared" ca="1" si="75"/>
        <v>#VALUE!</v>
      </c>
      <c r="AA165" s="141">
        <v>138</v>
      </c>
    </row>
    <row r="166" spans="1:27" x14ac:dyDescent="0.35">
      <c r="A166" s="175" t="str">
        <f t="shared" si="79"/>
        <v/>
      </c>
      <c r="B166" s="172">
        <f t="shared" ca="1" si="76"/>
        <v>49425</v>
      </c>
      <c r="C166" s="172" t="str">
        <f t="shared" ca="1" si="77"/>
        <v xml:space="preserve"> </v>
      </c>
      <c r="D166" s="175" t="str">
        <f t="shared" si="57"/>
        <v/>
      </c>
      <c r="E166" s="173" t="e">
        <f t="shared" ca="1" si="71"/>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58"/>
        <v/>
      </c>
      <c r="J166" s="173" t="str">
        <f t="shared" si="59"/>
        <v/>
      </c>
      <c r="K166" s="173" t="str">
        <f t="shared" si="66"/>
        <v/>
      </c>
      <c r="L166" s="173" t="str">
        <f t="shared" si="60"/>
        <v/>
      </c>
      <c r="M166" s="173" t="str">
        <f t="shared" si="62"/>
        <v/>
      </c>
      <c r="N166" s="173" t="str">
        <f t="shared" si="63"/>
        <v/>
      </c>
      <c r="O166" s="173" t="str">
        <f t="shared" si="64"/>
        <v/>
      </c>
      <c r="P166" s="173" t="str">
        <f t="shared" si="82"/>
        <v/>
      </c>
      <c r="Q166" s="173" t="str">
        <f t="shared" si="81"/>
        <v/>
      </c>
      <c r="R166" s="173" t="str">
        <f t="shared" si="61"/>
        <v/>
      </c>
      <c r="S166" s="176" t="str">
        <f>IF(A165=$D$8,XIRR(U$27:U165,C$27:C165),"")</f>
        <v/>
      </c>
      <c r="T166" s="173" t="str">
        <f t="shared" si="72"/>
        <v/>
      </c>
      <c r="U166" s="173">
        <f t="shared" si="80"/>
        <v>0</v>
      </c>
      <c r="V166" s="141" t="e">
        <f t="shared" ca="1" si="73"/>
        <v>#VALUE!</v>
      </c>
      <c r="W166" s="141" t="e">
        <f t="shared" ca="1" si="78"/>
        <v>#VALUE!</v>
      </c>
      <c r="X166" s="141" t="e">
        <f t="shared" ca="1" si="74"/>
        <v>#VALUE!</v>
      </c>
      <c r="Y166" s="177" t="e">
        <f t="shared" ca="1" si="65"/>
        <v>#VALUE!</v>
      </c>
      <c r="Z166" s="178" t="e">
        <f t="shared" ca="1" si="75"/>
        <v>#VALUE!</v>
      </c>
      <c r="AA166" s="141">
        <v>139</v>
      </c>
    </row>
    <row r="167" spans="1:27" x14ac:dyDescent="0.35">
      <c r="A167" s="175" t="str">
        <f t="shared" si="79"/>
        <v/>
      </c>
      <c r="B167" s="172">
        <f t="shared" ca="1" si="76"/>
        <v>49455</v>
      </c>
      <c r="C167" s="172" t="str">
        <f t="shared" ca="1" si="77"/>
        <v xml:space="preserve"> </v>
      </c>
      <c r="D167" s="175" t="str">
        <f t="shared" si="57"/>
        <v/>
      </c>
      <c r="E167" s="173" t="e">
        <f t="shared" ca="1" si="71"/>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58"/>
        <v/>
      </c>
      <c r="J167" s="173" t="str">
        <f t="shared" si="59"/>
        <v/>
      </c>
      <c r="K167" s="173" t="str">
        <f t="shared" si="66"/>
        <v/>
      </c>
      <c r="L167" s="173" t="str">
        <f t="shared" si="60"/>
        <v/>
      </c>
      <c r="M167" s="173" t="str">
        <f t="shared" si="62"/>
        <v/>
      </c>
      <c r="N167" s="173" t="str">
        <f t="shared" si="63"/>
        <v/>
      </c>
      <c r="O167" s="173" t="str">
        <f t="shared" si="64"/>
        <v/>
      </c>
      <c r="P167" s="173" t="str">
        <f t="shared" si="82"/>
        <v/>
      </c>
      <c r="Q167" s="173" t="str">
        <f t="shared" si="81"/>
        <v/>
      </c>
      <c r="R167" s="173" t="str">
        <f t="shared" si="61"/>
        <v/>
      </c>
      <c r="S167" s="176" t="str">
        <f>IF(A166=$D$8,XIRR(U$27:U166,C$27:C166),"")</f>
        <v/>
      </c>
      <c r="T167" s="173" t="str">
        <f t="shared" si="72"/>
        <v/>
      </c>
      <c r="U167" s="173">
        <f t="shared" si="80"/>
        <v>0</v>
      </c>
      <c r="V167" s="141" t="e">
        <f t="shared" ca="1" si="73"/>
        <v>#VALUE!</v>
      </c>
      <c r="W167" s="141" t="e">
        <f t="shared" ca="1" si="78"/>
        <v>#VALUE!</v>
      </c>
      <c r="X167" s="141" t="e">
        <f t="shared" ca="1" si="74"/>
        <v>#VALUE!</v>
      </c>
      <c r="Y167" s="177" t="e">
        <f t="shared" ca="1" si="65"/>
        <v>#VALUE!</v>
      </c>
      <c r="Z167" s="178" t="e">
        <f t="shared" ca="1" si="75"/>
        <v>#VALUE!</v>
      </c>
      <c r="AA167" s="141">
        <v>140</v>
      </c>
    </row>
    <row r="168" spans="1:27" x14ac:dyDescent="0.35">
      <c r="A168" s="175" t="str">
        <f t="shared" si="79"/>
        <v/>
      </c>
      <c r="B168" s="172">
        <f t="shared" ca="1" si="76"/>
        <v>49486</v>
      </c>
      <c r="C168" s="172" t="str">
        <f t="shared" ca="1" si="77"/>
        <v xml:space="preserve"> </v>
      </c>
      <c r="D168" s="175" t="str">
        <f t="shared" si="57"/>
        <v/>
      </c>
      <c r="E168" s="173" t="e">
        <f t="shared" ca="1" si="71"/>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58"/>
        <v/>
      </c>
      <c r="J168" s="173" t="str">
        <f t="shared" si="59"/>
        <v/>
      </c>
      <c r="K168" s="173" t="str">
        <f t="shared" si="66"/>
        <v/>
      </c>
      <c r="L168" s="173" t="str">
        <f t="shared" si="60"/>
        <v/>
      </c>
      <c r="M168" s="173" t="str">
        <f t="shared" si="62"/>
        <v/>
      </c>
      <c r="N168" s="173" t="str">
        <f t="shared" si="63"/>
        <v/>
      </c>
      <c r="O168" s="173" t="str">
        <f t="shared" si="64"/>
        <v/>
      </c>
      <c r="P168" s="173" t="str">
        <f t="shared" si="82"/>
        <v/>
      </c>
      <c r="Q168" s="173" t="str">
        <f t="shared" si="81"/>
        <v/>
      </c>
      <c r="R168" s="173" t="str">
        <f t="shared" si="61"/>
        <v/>
      </c>
      <c r="S168" s="176" t="str">
        <f>IF(A167=$D$8,XIRR(U$27:U167,C$27:C167),"")</f>
        <v/>
      </c>
      <c r="T168" s="173" t="str">
        <f t="shared" si="72"/>
        <v/>
      </c>
      <c r="U168" s="173">
        <f t="shared" si="80"/>
        <v>0</v>
      </c>
      <c r="V168" s="141" t="e">
        <f t="shared" ca="1" si="73"/>
        <v>#VALUE!</v>
      </c>
      <c r="W168" s="141" t="e">
        <f t="shared" ca="1" si="78"/>
        <v>#VALUE!</v>
      </c>
      <c r="X168" s="141" t="e">
        <f t="shared" ca="1" si="74"/>
        <v>#VALUE!</v>
      </c>
      <c r="Y168" s="177" t="e">
        <f t="shared" ca="1" si="65"/>
        <v>#VALUE!</v>
      </c>
      <c r="Z168" s="178" t="e">
        <f t="shared" ca="1" si="75"/>
        <v>#VALUE!</v>
      </c>
      <c r="AA168" s="141">
        <v>141</v>
      </c>
    </row>
    <row r="169" spans="1:27" x14ac:dyDescent="0.35">
      <c r="A169" s="175" t="str">
        <f t="shared" si="79"/>
        <v/>
      </c>
      <c r="B169" s="172">
        <f t="shared" ca="1" si="76"/>
        <v>49516</v>
      </c>
      <c r="C169" s="172" t="str">
        <f t="shared" ca="1" si="77"/>
        <v xml:space="preserve"> </v>
      </c>
      <c r="D169" s="175" t="str">
        <f t="shared" ref="D169:D232" si="83">IF(A169&gt;$D$8,"",C169-C168)</f>
        <v/>
      </c>
      <c r="E169" s="173" t="e">
        <f t="shared" ca="1" si="71"/>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84">IF(A168=$F$8,$I$27,"")</f>
        <v/>
      </c>
      <c r="J169" s="173" t="str">
        <f t="shared" ref="J169:J232" si="85">IF(A168=$F$8,$J$27,"")</f>
        <v/>
      </c>
      <c r="K169" s="173" t="str">
        <f t="shared" si="66"/>
        <v/>
      </c>
      <c r="L169" s="173" t="str">
        <f t="shared" ref="L169:L232" si="86">IF(A168=$F$8,$L$27,"")</f>
        <v/>
      </c>
      <c r="M169" s="173" t="str">
        <f t="shared" si="62"/>
        <v/>
      </c>
      <c r="N169" s="173" t="str">
        <f t="shared" si="63"/>
        <v/>
      </c>
      <c r="O169" s="173" t="str">
        <f t="shared" si="64"/>
        <v/>
      </c>
      <c r="P169" s="173" t="str">
        <f t="shared" si="82"/>
        <v/>
      </c>
      <c r="Q169" s="173" t="str">
        <f t="shared" si="81"/>
        <v/>
      </c>
      <c r="R169" s="173" t="str">
        <f t="shared" ref="R169:R232" si="87">IF(A168=$D$8,$R$27,"")</f>
        <v/>
      </c>
      <c r="S169" s="176" t="str">
        <f>IF(A168=$D$8,XIRR(U$27:U168,C$27:C168),"")</f>
        <v/>
      </c>
      <c r="T169" s="173" t="str">
        <f t="shared" si="72"/>
        <v/>
      </c>
      <c r="U169" s="173">
        <f t="shared" si="80"/>
        <v>0</v>
      </c>
      <c r="V169" s="141" t="e">
        <f t="shared" ca="1" si="73"/>
        <v>#VALUE!</v>
      </c>
      <c r="W169" s="141" t="e">
        <f t="shared" ca="1" si="78"/>
        <v>#VALUE!</v>
      </c>
      <c r="X169" s="141" t="e">
        <f t="shared" ca="1" si="74"/>
        <v>#VALUE!</v>
      </c>
      <c r="Y169" s="177" t="e">
        <f t="shared" ca="1" si="65"/>
        <v>#VALUE!</v>
      </c>
      <c r="Z169" s="178" t="e">
        <f t="shared" ca="1" si="75"/>
        <v>#VALUE!</v>
      </c>
      <c r="AA169" s="141">
        <v>142</v>
      </c>
    </row>
    <row r="170" spans="1:27" x14ac:dyDescent="0.35">
      <c r="A170" s="175" t="str">
        <f t="shared" si="79"/>
        <v/>
      </c>
      <c r="B170" s="172">
        <f t="shared" ca="1" si="76"/>
        <v>49547</v>
      </c>
      <c r="C170" s="172" t="str">
        <f t="shared" ca="1" si="77"/>
        <v xml:space="preserve"> </v>
      </c>
      <c r="D170" s="175" t="str">
        <f t="shared" si="83"/>
        <v/>
      </c>
      <c r="E170" s="173" t="e">
        <f t="shared" ca="1" si="71"/>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84"/>
        <v/>
      </c>
      <c r="J170" s="173" t="str">
        <f t="shared" si="85"/>
        <v/>
      </c>
      <c r="K170" s="173" t="str">
        <f t="shared" si="66"/>
        <v/>
      </c>
      <c r="L170" s="173" t="str">
        <f t="shared" si="86"/>
        <v/>
      </c>
      <c r="M170" s="173" t="str">
        <f t="shared" ref="M170:M233" si="88">IF(A169=$F$8,$M$27,"")</f>
        <v/>
      </c>
      <c r="N170" s="173" t="str">
        <f t="shared" ref="N170:N233" si="89">IF(A169=$F$8,$N$27,"")</f>
        <v/>
      </c>
      <c r="O170" s="173" t="str">
        <f t="shared" ref="O170:O233" si="90">IF(A169=$F$8,$O$27,"")</f>
        <v/>
      </c>
      <c r="P170" s="173" t="str">
        <f t="shared" si="82"/>
        <v/>
      </c>
      <c r="Q170" s="173" t="str">
        <f t="shared" si="81"/>
        <v/>
      </c>
      <c r="R170" s="173" t="str">
        <f t="shared" si="87"/>
        <v/>
      </c>
      <c r="S170" s="176" t="str">
        <f>IF(A169=$D$8,XIRR(U$27:U169,C$27:C169),"")</f>
        <v/>
      </c>
      <c r="T170" s="173" t="str">
        <f t="shared" si="72"/>
        <v/>
      </c>
      <c r="U170" s="173">
        <f t="shared" si="80"/>
        <v>0</v>
      </c>
      <c r="V170" s="141" t="e">
        <f t="shared" ca="1" si="73"/>
        <v>#VALUE!</v>
      </c>
      <c r="W170" s="141" t="e">
        <f t="shared" ca="1" si="78"/>
        <v>#VALUE!</v>
      </c>
      <c r="X170" s="141" t="e">
        <f t="shared" ca="1" si="74"/>
        <v>#VALUE!</v>
      </c>
      <c r="Y170" s="177" t="e">
        <f t="shared" ca="1" si="65"/>
        <v>#VALUE!</v>
      </c>
      <c r="Z170" s="178" t="e">
        <f t="shared" ca="1" si="75"/>
        <v>#VALUE!</v>
      </c>
      <c r="AA170" s="141">
        <v>143</v>
      </c>
    </row>
    <row r="171" spans="1:27" x14ac:dyDescent="0.35">
      <c r="A171" s="175" t="str">
        <f t="shared" si="79"/>
        <v/>
      </c>
      <c r="B171" s="172">
        <f t="shared" ca="1" si="76"/>
        <v>49578</v>
      </c>
      <c r="C171" s="172" t="str">
        <f t="shared" ca="1" si="77"/>
        <v xml:space="preserve"> </v>
      </c>
      <c r="D171" s="175" t="str">
        <f t="shared" si="83"/>
        <v/>
      </c>
      <c r="E171" s="173" t="e">
        <f t="shared" ca="1" si="71"/>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84"/>
        <v/>
      </c>
      <c r="J171" s="173" t="str">
        <f t="shared" si="85"/>
        <v/>
      </c>
      <c r="K171" s="173" t="str">
        <f t="shared" si="66"/>
        <v/>
      </c>
      <c r="L171" s="173" t="str">
        <f t="shared" si="86"/>
        <v/>
      </c>
      <c r="M171" s="173" t="str">
        <f t="shared" si="88"/>
        <v/>
      </c>
      <c r="N171" s="173" t="str">
        <f t="shared" si="89"/>
        <v/>
      </c>
      <c r="O171" s="173" t="str">
        <f t="shared" si="90"/>
        <v/>
      </c>
      <c r="P171" s="173" t="str">
        <f t="shared" si="82"/>
        <v/>
      </c>
      <c r="Q171" s="173" t="str">
        <f t="shared" si="81"/>
        <v/>
      </c>
      <c r="R171" s="173" t="str">
        <f t="shared" si="87"/>
        <v/>
      </c>
      <c r="S171" s="176" t="str">
        <f>IF(A170=$D$8,XIRR(U$27:U170,C$27:C170),"")</f>
        <v/>
      </c>
      <c r="T171" s="173" t="str">
        <f t="shared" si="72"/>
        <v/>
      </c>
      <c r="U171" s="173">
        <f t="shared" si="80"/>
        <v>0</v>
      </c>
      <c r="V171" s="141" t="e">
        <f t="shared" ca="1" si="73"/>
        <v>#VALUE!</v>
      </c>
      <c r="W171" s="141" t="e">
        <f t="shared" ca="1" si="78"/>
        <v>#VALUE!</v>
      </c>
      <c r="X171" s="141" t="e">
        <f t="shared" ca="1" si="74"/>
        <v>#VALUE!</v>
      </c>
      <c r="Y171" s="177" t="e">
        <f t="shared" ca="1" si="65"/>
        <v>#VALUE!</v>
      </c>
      <c r="Z171" s="178" t="e">
        <f t="shared" ca="1" si="75"/>
        <v>#VALUE!</v>
      </c>
      <c r="AA171" s="141">
        <v>144</v>
      </c>
    </row>
    <row r="172" spans="1:27" x14ac:dyDescent="0.35">
      <c r="A172" s="175" t="str">
        <f t="shared" si="79"/>
        <v/>
      </c>
      <c r="B172" s="172">
        <f t="shared" ca="1" si="76"/>
        <v>49608</v>
      </c>
      <c r="C172" s="172" t="str">
        <f t="shared" ca="1" si="77"/>
        <v xml:space="preserve"> </v>
      </c>
      <c r="D172" s="175" t="str">
        <f t="shared" si="83"/>
        <v/>
      </c>
      <c r="E172" s="173" t="e">
        <f t="shared" ca="1" si="71"/>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84"/>
        <v/>
      </c>
      <c r="J172" s="173" t="str">
        <f t="shared" si="85"/>
        <v/>
      </c>
      <c r="K172" s="173" t="str">
        <f>IF($F$8&gt;144,($R$14),IF(A171=$F$8,K160+K148+K136+K124+K112+K100+K88+K76+K64+K52+K40+K27,""))</f>
        <v/>
      </c>
      <c r="L172" s="173" t="str">
        <f t="shared" si="86"/>
        <v/>
      </c>
      <c r="M172" s="173" t="str">
        <f t="shared" si="88"/>
        <v/>
      </c>
      <c r="N172" s="173" t="str">
        <f t="shared" si="89"/>
        <v/>
      </c>
      <c r="O172" s="173" t="str">
        <f t="shared" si="90"/>
        <v/>
      </c>
      <c r="P172" s="173" t="str">
        <f t="shared" si="82"/>
        <v/>
      </c>
      <c r="Q172" s="173" t="str">
        <f>IF($F$8&gt;144,($S$8+$S$10),IF($A171=$F$8,$Q$40+$Q$27+$Q$52+$Q$64+$Q$76+$Q$88+$Q$100+$Q$112+$Q$124+$Q$136+$Q$148+$Q$160,""))</f>
        <v/>
      </c>
      <c r="R172" s="173" t="str">
        <f t="shared" si="87"/>
        <v/>
      </c>
      <c r="S172" s="176" t="str">
        <f>IF(A171=$D$8,XIRR(U$27:U171,C$27:C171),"")</f>
        <v/>
      </c>
      <c r="T172" s="173" t="str">
        <f t="shared" si="72"/>
        <v/>
      </c>
      <c r="U172" s="173">
        <f t="shared" si="80"/>
        <v>0</v>
      </c>
      <c r="V172" s="141" t="e">
        <f t="shared" ca="1" si="73"/>
        <v>#VALUE!</v>
      </c>
      <c r="W172" s="141" t="e">
        <f t="shared" ca="1" si="78"/>
        <v>#VALUE!</v>
      </c>
      <c r="X172" s="141" t="e">
        <f t="shared" ca="1" si="74"/>
        <v>#VALUE!</v>
      </c>
      <c r="Y172" s="177" t="e">
        <f t="shared" ca="1" si="65"/>
        <v>#VALUE!</v>
      </c>
      <c r="Z172" s="178" t="e">
        <f t="shared" ca="1" si="75"/>
        <v>#VALUE!</v>
      </c>
      <c r="AA172" s="141">
        <v>145</v>
      </c>
    </row>
    <row r="173" spans="1:27" x14ac:dyDescent="0.35">
      <c r="A173" s="175" t="str">
        <f t="shared" si="79"/>
        <v/>
      </c>
      <c r="B173" s="172">
        <f t="shared" ca="1" si="76"/>
        <v>49639</v>
      </c>
      <c r="C173" s="172" t="str">
        <f t="shared" ca="1" si="77"/>
        <v xml:space="preserve"> </v>
      </c>
      <c r="D173" s="175" t="str">
        <f t="shared" si="83"/>
        <v/>
      </c>
      <c r="E173" s="173" t="e">
        <f t="shared" ca="1" si="71"/>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84"/>
        <v/>
      </c>
      <c r="J173" s="173" t="str">
        <f t="shared" si="85"/>
        <v/>
      </c>
      <c r="K173" s="173" t="str">
        <f t="shared" si="66"/>
        <v/>
      </c>
      <c r="L173" s="173" t="str">
        <f t="shared" si="86"/>
        <v/>
      </c>
      <c r="M173" s="173" t="str">
        <f t="shared" si="88"/>
        <v/>
      </c>
      <c r="N173" s="173" t="str">
        <f t="shared" si="89"/>
        <v/>
      </c>
      <c r="O173" s="173" t="str">
        <f t="shared" si="90"/>
        <v/>
      </c>
      <c r="P173" s="173" t="str">
        <f t="shared" si="82"/>
        <v/>
      </c>
      <c r="Q173" s="173" t="str">
        <f t="shared" ref="Q173:Q183" si="91">IF(A172=$D$8,$Q$27,"")</f>
        <v/>
      </c>
      <c r="R173" s="173" t="str">
        <f t="shared" si="87"/>
        <v/>
      </c>
      <c r="S173" s="176" t="str">
        <f>IF(A172=$D$8,XIRR(U$27:U172,C$27:C172),"")</f>
        <v/>
      </c>
      <c r="T173" s="173" t="str">
        <f t="shared" si="72"/>
        <v/>
      </c>
      <c r="U173" s="173">
        <f t="shared" si="80"/>
        <v>0</v>
      </c>
      <c r="V173" s="141" t="e">
        <f t="shared" ca="1" si="73"/>
        <v>#VALUE!</v>
      </c>
      <c r="W173" s="141" t="e">
        <f t="shared" ca="1" si="78"/>
        <v>#VALUE!</v>
      </c>
      <c r="X173" s="141" t="e">
        <f t="shared" ca="1" si="74"/>
        <v>#VALUE!</v>
      </c>
      <c r="Y173" s="177" t="e">
        <f t="shared" ca="1" si="65"/>
        <v>#VALUE!</v>
      </c>
      <c r="Z173" s="178" t="e">
        <f t="shared" ca="1" si="75"/>
        <v>#VALUE!</v>
      </c>
      <c r="AA173" s="141">
        <v>146</v>
      </c>
    </row>
    <row r="174" spans="1:27" x14ac:dyDescent="0.35">
      <c r="A174" s="175" t="str">
        <f t="shared" si="79"/>
        <v/>
      </c>
      <c r="B174" s="172">
        <f t="shared" ca="1" si="76"/>
        <v>49669</v>
      </c>
      <c r="C174" s="172" t="str">
        <f t="shared" ca="1" si="77"/>
        <v xml:space="preserve"> </v>
      </c>
      <c r="D174" s="175" t="str">
        <f t="shared" si="83"/>
        <v/>
      </c>
      <c r="E174" s="173" t="e">
        <f t="shared" ca="1" si="71"/>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84"/>
        <v/>
      </c>
      <c r="J174" s="173" t="str">
        <f t="shared" si="85"/>
        <v/>
      </c>
      <c r="K174" s="173" t="str">
        <f t="shared" si="66"/>
        <v/>
      </c>
      <c r="L174" s="173" t="str">
        <f t="shared" si="86"/>
        <v/>
      </c>
      <c r="M174" s="173" t="str">
        <f t="shared" si="88"/>
        <v/>
      </c>
      <c r="N174" s="173" t="str">
        <f t="shared" si="89"/>
        <v/>
      </c>
      <c r="O174" s="173" t="str">
        <f t="shared" si="90"/>
        <v/>
      </c>
      <c r="P174" s="173" t="str">
        <f t="shared" si="82"/>
        <v/>
      </c>
      <c r="Q174" s="173" t="str">
        <f t="shared" si="91"/>
        <v/>
      </c>
      <c r="R174" s="173" t="str">
        <f t="shared" si="87"/>
        <v/>
      </c>
      <c r="S174" s="176" t="str">
        <f>IF(A173=$D$8,XIRR(U$27:U173,C$27:C173),"")</f>
        <v/>
      </c>
      <c r="T174" s="173" t="str">
        <f t="shared" si="72"/>
        <v/>
      </c>
      <c r="U174" s="173">
        <f t="shared" si="80"/>
        <v>0</v>
      </c>
      <c r="V174" s="141" t="e">
        <f t="shared" ca="1" si="73"/>
        <v>#VALUE!</v>
      </c>
      <c r="W174" s="141" t="e">
        <f t="shared" ca="1" si="78"/>
        <v>#VALUE!</v>
      </c>
      <c r="X174" s="141" t="e">
        <f t="shared" ca="1" si="74"/>
        <v>#VALUE!</v>
      </c>
      <c r="Y174" s="177" t="e">
        <f t="shared" ca="1" si="65"/>
        <v>#VALUE!</v>
      </c>
      <c r="Z174" s="178" t="e">
        <f t="shared" ca="1" si="75"/>
        <v>#VALUE!</v>
      </c>
      <c r="AA174" s="141">
        <v>147</v>
      </c>
    </row>
    <row r="175" spans="1:27" x14ac:dyDescent="0.35">
      <c r="A175" s="175" t="str">
        <f t="shared" si="79"/>
        <v/>
      </c>
      <c r="B175" s="172">
        <f t="shared" ca="1" si="76"/>
        <v>49700</v>
      </c>
      <c r="C175" s="172" t="str">
        <f t="shared" ca="1" si="77"/>
        <v xml:space="preserve"> </v>
      </c>
      <c r="D175" s="175" t="str">
        <f t="shared" si="83"/>
        <v/>
      </c>
      <c r="E175" s="173" t="e">
        <f t="shared" ca="1" si="71"/>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84"/>
        <v/>
      </c>
      <c r="J175" s="173" t="str">
        <f t="shared" si="85"/>
        <v/>
      </c>
      <c r="K175" s="173" t="str">
        <f t="shared" si="66"/>
        <v/>
      </c>
      <c r="L175" s="173" t="str">
        <f t="shared" si="86"/>
        <v/>
      </c>
      <c r="M175" s="173" t="str">
        <f t="shared" si="88"/>
        <v/>
      </c>
      <c r="N175" s="173" t="str">
        <f t="shared" si="89"/>
        <v/>
      </c>
      <c r="O175" s="173" t="str">
        <f t="shared" si="90"/>
        <v/>
      </c>
      <c r="P175" s="173" t="str">
        <f t="shared" si="82"/>
        <v/>
      </c>
      <c r="Q175" s="173" t="str">
        <f t="shared" si="91"/>
        <v/>
      </c>
      <c r="R175" s="173" t="str">
        <f t="shared" si="87"/>
        <v/>
      </c>
      <c r="S175" s="176" t="str">
        <f>IF(A174=$D$8,XIRR(U$27:U174,C$27:C174),"")</f>
        <v/>
      </c>
      <c r="T175" s="173" t="str">
        <f t="shared" si="72"/>
        <v/>
      </c>
      <c r="U175" s="173">
        <f t="shared" si="80"/>
        <v>0</v>
      </c>
      <c r="V175" s="141" t="e">
        <f t="shared" ca="1" si="73"/>
        <v>#VALUE!</v>
      </c>
      <c r="W175" s="141" t="e">
        <f t="shared" ca="1" si="78"/>
        <v>#VALUE!</v>
      </c>
      <c r="X175" s="141" t="e">
        <f t="shared" ca="1" si="74"/>
        <v>#VALUE!</v>
      </c>
      <c r="Y175" s="177" t="e">
        <f t="shared" ca="1" si="65"/>
        <v>#VALUE!</v>
      </c>
      <c r="Z175" s="178" t="e">
        <f t="shared" ca="1" si="75"/>
        <v>#VALUE!</v>
      </c>
      <c r="AA175" s="141">
        <v>148</v>
      </c>
    </row>
    <row r="176" spans="1:27" x14ac:dyDescent="0.35">
      <c r="A176" s="175" t="str">
        <f t="shared" si="79"/>
        <v/>
      </c>
      <c r="B176" s="172">
        <f t="shared" ca="1" si="76"/>
        <v>49731</v>
      </c>
      <c r="C176" s="172" t="str">
        <f t="shared" ca="1" si="77"/>
        <v xml:space="preserve"> </v>
      </c>
      <c r="D176" s="175" t="str">
        <f t="shared" si="83"/>
        <v/>
      </c>
      <c r="E176" s="173" t="e">
        <f t="shared" ca="1" si="71"/>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84"/>
        <v/>
      </c>
      <c r="J176" s="173" t="str">
        <f t="shared" si="85"/>
        <v/>
      </c>
      <c r="K176" s="173" t="str">
        <f t="shared" si="66"/>
        <v/>
      </c>
      <c r="L176" s="173" t="str">
        <f t="shared" si="86"/>
        <v/>
      </c>
      <c r="M176" s="173" t="str">
        <f t="shared" si="88"/>
        <v/>
      </c>
      <c r="N176" s="173" t="str">
        <f t="shared" si="89"/>
        <v/>
      </c>
      <c r="O176" s="173" t="str">
        <f t="shared" si="90"/>
        <v/>
      </c>
      <c r="P176" s="173" t="str">
        <f t="shared" si="82"/>
        <v/>
      </c>
      <c r="Q176" s="173" t="str">
        <f t="shared" si="91"/>
        <v/>
      </c>
      <c r="R176" s="173" t="str">
        <f t="shared" si="87"/>
        <v/>
      </c>
      <c r="S176" s="176" t="str">
        <f>IF(A175=$D$8,XIRR(U$27:U175,C$27:C175),"")</f>
        <v/>
      </c>
      <c r="T176" s="173" t="str">
        <f t="shared" si="72"/>
        <v/>
      </c>
      <c r="U176" s="173">
        <f t="shared" si="80"/>
        <v>0</v>
      </c>
      <c r="V176" s="141" t="e">
        <f t="shared" ca="1" si="73"/>
        <v>#VALUE!</v>
      </c>
      <c r="W176" s="141" t="e">
        <f t="shared" ca="1" si="78"/>
        <v>#VALUE!</v>
      </c>
      <c r="X176" s="141" t="e">
        <f t="shared" ca="1" si="74"/>
        <v>#VALUE!</v>
      </c>
      <c r="Y176" s="177" t="e">
        <f t="shared" ref="Y176:Y239" ca="1" si="92">X176-1</f>
        <v>#VALUE!</v>
      </c>
      <c r="Z176" s="178" t="e">
        <f t="shared" ca="1" si="75"/>
        <v>#VALUE!</v>
      </c>
      <c r="AA176" s="141">
        <v>149</v>
      </c>
    </row>
    <row r="177" spans="1:27" x14ac:dyDescent="0.35">
      <c r="A177" s="175" t="str">
        <f t="shared" si="79"/>
        <v/>
      </c>
      <c r="B177" s="172">
        <f t="shared" ca="1" si="76"/>
        <v>49760</v>
      </c>
      <c r="C177" s="172" t="str">
        <f t="shared" ca="1" si="77"/>
        <v xml:space="preserve"> </v>
      </c>
      <c r="D177" s="175" t="str">
        <f t="shared" si="83"/>
        <v/>
      </c>
      <c r="E177" s="173" t="e">
        <f t="shared" ca="1" si="71"/>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84"/>
        <v/>
      </c>
      <c r="J177" s="173" t="str">
        <f t="shared" si="85"/>
        <v/>
      </c>
      <c r="K177" s="173" t="str">
        <f t="shared" ref="K177:K240" si="93">IF(A176=$D$8,$K$27,"")</f>
        <v/>
      </c>
      <c r="L177" s="173" t="str">
        <f t="shared" si="86"/>
        <v/>
      </c>
      <c r="M177" s="173" t="str">
        <f t="shared" si="88"/>
        <v/>
      </c>
      <c r="N177" s="173" t="str">
        <f t="shared" si="89"/>
        <v/>
      </c>
      <c r="O177" s="173" t="str">
        <f t="shared" si="90"/>
        <v/>
      </c>
      <c r="P177" s="173" t="str">
        <f t="shared" si="82"/>
        <v/>
      </c>
      <c r="Q177" s="173" t="str">
        <f t="shared" si="91"/>
        <v/>
      </c>
      <c r="R177" s="173" t="str">
        <f t="shared" si="87"/>
        <v/>
      </c>
      <c r="S177" s="176" t="str">
        <f>IF(A176=$D$8,XIRR(U$27:U176,C$27:C176),"")</f>
        <v/>
      </c>
      <c r="T177" s="173" t="str">
        <f t="shared" si="72"/>
        <v/>
      </c>
      <c r="U177" s="173">
        <f t="shared" si="80"/>
        <v>0</v>
      </c>
      <c r="V177" s="141" t="e">
        <f t="shared" ca="1" si="73"/>
        <v>#VALUE!</v>
      </c>
      <c r="W177" s="141" t="e">
        <f t="shared" ca="1" si="78"/>
        <v>#VALUE!</v>
      </c>
      <c r="X177" s="141" t="e">
        <f t="shared" ca="1" si="74"/>
        <v>#VALUE!</v>
      </c>
      <c r="Y177" s="177" t="e">
        <f t="shared" ca="1" si="92"/>
        <v>#VALUE!</v>
      </c>
      <c r="Z177" s="178" t="e">
        <f t="shared" ca="1" si="75"/>
        <v>#VALUE!</v>
      </c>
      <c r="AA177" s="141">
        <v>150</v>
      </c>
    </row>
    <row r="178" spans="1:27" x14ac:dyDescent="0.35">
      <c r="A178" s="175" t="str">
        <f t="shared" si="79"/>
        <v/>
      </c>
      <c r="B178" s="172">
        <f t="shared" ca="1" si="76"/>
        <v>49791</v>
      </c>
      <c r="C178" s="172" t="str">
        <f t="shared" ca="1" si="77"/>
        <v xml:space="preserve"> </v>
      </c>
      <c r="D178" s="175" t="str">
        <f t="shared" si="83"/>
        <v/>
      </c>
      <c r="E178" s="173" t="e">
        <f t="shared" ca="1" si="71"/>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84"/>
        <v/>
      </c>
      <c r="J178" s="173" t="str">
        <f t="shared" si="85"/>
        <v/>
      </c>
      <c r="K178" s="173" t="str">
        <f t="shared" si="93"/>
        <v/>
      </c>
      <c r="L178" s="173" t="str">
        <f t="shared" si="86"/>
        <v/>
      </c>
      <c r="M178" s="173" t="str">
        <f t="shared" si="88"/>
        <v/>
      </c>
      <c r="N178" s="173" t="str">
        <f t="shared" si="89"/>
        <v/>
      </c>
      <c r="O178" s="173" t="str">
        <f t="shared" si="90"/>
        <v/>
      </c>
      <c r="P178" s="173" t="str">
        <f t="shared" si="82"/>
        <v/>
      </c>
      <c r="Q178" s="173" t="str">
        <f t="shared" si="91"/>
        <v/>
      </c>
      <c r="R178" s="173" t="str">
        <f t="shared" si="87"/>
        <v/>
      </c>
      <c r="S178" s="176" t="str">
        <f>IF(A177=$D$8,XIRR(U$27:U177,C$27:C177),"")</f>
        <v/>
      </c>
      <c r="T178" s="173" t="str">
        <f t="shared" si="72"/>
        <v/>
      </c>
      <c r="U178" s="173">
        <f t="shared" si="80"/>
        <v>0</v>
      </c>
      <c r="V178" s="141" t="e">
        <f t="shared" ca="1" si="73"/>
        <v>#VALUE!</v>
      </c>
      <c r="W178" s="141" t="e">
        <f t="shared" ca="1" si="78"/>
        <v>#VALUE!</v>
      </c>
      <c r="X178" s="141" t="e">
        <f t="shared" ca="1" si="74"/>
        <v>#VALUE!</v>
      </c>
      <c r="Y178" s="177" t="e">
        <f t="shared" ca="1" si="92"/>
        <v>#VALUE!</v>
      </c>
      <c r="Z178" s="178" t="e">
        <f t="shared" ca="1" si="75"/>
        <v>#VALUE!</v>
      </c>
      <c r="AA178" s="141">
        <v>151</v>
      </c>
    </row>
    <row r="179" spans="1:27" x14ac:dyDescent="0.35">
      <c r="A179" s="175" t="str">
        <f t="shared" si="79"/>
        <v/>
      </c>
      <c r="B179" s="172">
        <f t="shared" ca="1" si="76"/>
        <v>49821</v>
      </c>
      <c r="C179" s="172" t="str">
        <f t="shared" ca="1" si="77"/>
        <v xml:space="preserve"> </v>
      </c>
      <c r="D179" s="175" t="str">
        <f t="shared" si="83"/>
        <v/>
      </c>
      <c r="E179" s="173" t="e">
        <f t="shared" ca="1" si="71"/>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84"/>
        <v/>
      </c>
      <c r="J179" s="173" t="str">
        <f t="shared" si="85"/>
        <v/>
      </c>
      <c r="K179" s="173" t="str">
        <f t="shared" si="93"/>
        <v/>
      </c>
      <c r="L179" s="173" t="str">
        <f t="shared" si="86"/>
        <v/>
      </c>
      <c r="M179" s="173" t="str">
        <f t="shared" si="88"/>
        <v/>
      </c>
      <c r="N179" s="173" t="str">
        <f t="shared" si="89"/>
        <v/>
      </c>
      <c r="O179" s="173" t="str">
        <f t="shared" si="90"/>
        <v/>
      </c>
      <c r="P179" s="173" t="str">
        <f t="shared" si="82"/>
        <v/>
      </c>
      <c r="Q179" s="173" t="str">
        <f t="shared" si="91"/>
        <v/>
      </c>
      <c r="R179" s="173" t="str">
        <f t="shared" si="87"/>
        <v/>
      </c>
      <c r="S179" s="176" t="str">
        <f>IF(A178=$D$8,XIRR(U$27:U178,C$27:C178),"")</f>
        <v/>
      </c>
      <c r="T179" s="173" t="str">
        <f t="shared" si="72"/>
        <v/>
      </c>
      <c r="U179" s="173">
        <f t="shared" si="80"/>
        <v>0</v>
      </c>
      <c r="V179" s="141" t="e">
        <f t="shared" ca="1" si="73"/>
        <v>#VALUE!</v>
      </c>
      <c r="W179" s="141" t="e">
        <f t="shared" ca="1" si="78"/>
        <v>#VALUE!</v>
      </c>
      <c r="X179" s="141" t="e">
        <f t="shared" ca="1" si="74"/>
        <v>#VALUE!</v>
      </c>
      <c r="Y179" s="177" t="e">
        <f t="shared" ca="1" si="92"/>
        <v>#VALUE!</v>
      </c>
      <c r="Z179" s="178" t="e">
        <f t="shared" ca="1" si="75"/>
        <v>#VALUE!</v>
      </c>
      <c r="AA179" s="141">
        <v>152</v>
      </c>
    </row>
    <row r="180" spans="1:27" x14ac:dyDescent="0.35">
      <c r="A180" s="175" t="str">
        <f t="shared" si="79"/>
        <v/>
      </c>
      <c r="B180" s="172">
        <f t="shared" ca="1" si="76"/>
        <v>49852</v>
      </c>
      <c r="C180" s="172" t="str">
        <f t="shared" ca="1" si="77"/>
        <v xml:space="preserve"> </v>
      </c>
      <c r="D180" s="175" t="str">
        <f t="shared" si="83"/>
        <v/>
      </c>
      <c r="E180" s="173" t="e">
        <f t="shared" ca="1" si="71"/>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84"/>
        <v/>
      </c>
      <c r="J180" s="173" t="str">
        <f t="shared" si="85"/>
        <v/>
      </c>
      <c r="K180" s="173" t="str">
        <f t="shared" si="93"/>
        <v/>
      </c>
      <c r="L180" s="173" t="str">
        <f t="shared" si="86"/>
        <v/>
      </c>
      <c r="M180" s="173" t="str">
        <f t="shared" si="88"/>
        <v/>
      </c>
      <c r="N180" s="173" t="str">
        <f t="shared" si="89"/>
        <v/>
      </c>
      <c r="O180" s="173" t="str">
        <f t="shared" si="90"/>
        <v/>
      </c>
      <c r="P180" s="173" t="str">
        <f t="shared" si="82"/>
        <v/>
      </c>
      <c r="Q180" s="173" t="str">
        <f t="shared" si="91"/>
        <v/>
      </c>
      <c r="R180" s="173" t="str">
        <f t="shared" si="87"/>
        <v/>
      </c>
      <c r="S180" s="176" t="str">
        <f>IF(A179=$D$8,XIRR(U$27:U179,C$27:C179),"")</f>
        <v/>
      </c>
      <c r="T180" s="173" t="str">
        <f t="shared" si="72"/>
        <v/>
      </c>
      <c r="U180" s="173">
        <f t="shared" si="80"/>
        <v>0</v>
      </c>
      <c r="V180" s="141" t="e">
        <f t="shared" ca="1" si="73"/>
        <v>#VALUE!</v>
      </c>
      <c r="W180" s="141" t="e">
        <f t="shared" ca="1" si="78"/>
        <v>#VALUE!</v>
      </c>
      <c r="X180" s="141" t="e">
        <f t="shared" ca="1" si="74"/>
        <v>#VALUE!</v>
      </c>
      <c r="Y180" s="177" t="e">
        <f t="shared" ca="1" si="92"/>
        <v>#VALUE!</v>
      </c>
      <c r="Z180" s="178" t="e">
        <f t="shared" ca="1" si="75"/>
        <v>#VALUE!</v>
      </c>
      <c r="AA180" s="141">
        <v>153</v>
      </c>
    </row>
    <row r="181" spans="1:27" x14ac:dyDescent="0.35">
      <c r="A181" s="175" t="str">
        <f t="shared" si="79"/>
        <v/>
      </c>
      <c r="B181" s="172">
        <f t="shared" ca="1" si="76"/>
        <v>49882</v>
      </c>
      <c r="C181" s="172" t="str">
        <f t="shared" ca="1" si="77"/>
        <v xml:space="preserve"> </v>
      </c>
      <c r="D181" s="175" t="str">
        <f t="shared" si="83"/>
        <v/>
      </c>
      <c r="E181" s="173" t="e">
        <f t="shared" ca="1" si="71"/>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84"/>
        <v/>
      </c>
      <c r="J181" s="173" t="str">
        <f t="shared" si="85"/>
        <v/>
      </c>
      <c r="K181" s="173" t="str">
        <f t="shared" si="93"/>
        <v/>
      </c>
      <c r="L181" s="173" t="str">
        <f t="shared" si="86"/>
        <v/>
      </c>
      <c r="M181" s="173" t="str">
        <f t="shared" si="88"/>
        <v/>
      </c>
      <c r="N181" s="173" t="str">
        <f t="shared" si="89"/>
        <v/>
      </c>
      <c r="O181" s="173" t="str">
        <f t="shared" si="90"/>
        <v/>
      </c>
      <c r="P181" s="173" t="str">
        <f t="shared" si="82"/>
        <v/>
      </c>
      <c r="Q181" s="173" t="str">
        <f t="shared" si="91"/>
        <v/>
      </c>
      <c r="R181" s="173" t="str">
        <f t="shared" si="87"/>
        <v/>
      </c>
      <c r="S181" s="176" t="str">
        <f>IF(A180=$D$8,XIRR(U$27:U180,C$27:C180),"")</f>
        <v/>
      </c>
      <c r="T181" s="173" t="str">
        <f t="shared" si="72"/>
        <v/>
      </c>
      <c r="U181" s="173">
        <f t="shared" si="80"/>
        <v>0</v>
      </c>
      <c r="V181" s="141" t="e">
        <f t="shared" ca="1" si="73"/>
        <v>#VALUE!</v>
      </c>
      <c r="W181" s="141" t="e">
        <f t="shared" ca="1" si="78"/>
        <v>#VALUE!</v>
      </c>
      <c r="X181" s="141" t="e">
        <f t="shared" ca="1" si="74"/>
        <v>#VALUE!</v>
      </c>
      <c r="Y181" s="177" t="e">
        <f t="shared" ca="1" si="92"/>
        <v>#VALUE!</v>
      </c>
      <c r="Z181" s="178" t="e">
        <f t="shared" ca="1" si="75"/>
        <v>#VALUE!</v>
      </c>
      <c r="AA181" s="141">
        <v>154</v>
      </c>
    </row>
    <row r="182" spans="1:27" x14ac:dyDescent="0.35">
      <c r="A182" s="175" t="str">
        <f t="shared" si="79"/>
        <v/>
      </c>
      <c r="B182" s="172">
        <f t="shared" ca="1" si="76"/>
        <v>49913</v>
      </c>
      <c r="C182" s="172" t="str">
        <f t="shared" ca="1" si="77"/>
        <v xml:space="preserve"> </v>
      </c>
      <c r="D182" s="175" t="str">
        <f t="shared" si="83"/>
        <v/>
      </c>
      <c r="E182" s="173" t="e">
        <f t="shared" ca="1" si="71"/>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84"/>
        <v/>
      </c>
      <c r="J182" s="173" t="str">
        <f t="shared" si="85"/>
        <v/>
      </c>
      <c r="K182" s="173" t="str">
        <f t="shared" si="93"/>
        <v/>
      </c>
      <c r="L182" s="173" t="str">
        <f t="shared" si="86"/>
        <v/>
      </c>
      <c r="M182" s="173" t="str">
        <f t="shared" si="88"/>
        <v/>
      </c>
      <c r="N182" s="173" t="str">
        <f t="shared" si="89"/>
        <v/>
      </c>
      <c r="O182" s="173" t="str">
        <f t="shared" si="90"/>
        <v/>
      </c>
      <c r="P182" s="173" t="str">
        <f t="shared" si="82"/>
        <v/>
      </c>
      <c r="Q182" s="173" t="str">
        <f t="shared" si="91"/>
        <v/>
      </c>
      <c r="R182" s="173" t="str">
        <f t="shared" si="87"/>
        <v/>
      </c>
      <c r="S182" s="176" t="str">
        <f>IF(A181=$D$8,XIRR(U$27:U181,C$27:C181),"")</f>
        <v/>
      </c>
      <c r="T182" s="173" t="str">
        <f t="shared" si="72"/>
        <v/>
      </c>
      <c r="U182" s="173">
        <f t="shared" si="80"/>
        <v>0</v>
      </c>
      <c r="V182" s="141" t="e">
        <f t="shared" ca="1" si="73"/>
        <v>#VALUE!</v>
      </c>
      <c r="W182" s="141" t="e">
        <f t="shared" ca="1" si="78"/>
        <v>#VALUE!</v>
      </c>
      <c r="X182" s="141" t="e">
        <f t="shared" ca="1" si="74"/>
        <v>#VALUE!</v>
      </c>
      <c r="Y182" s="177" t="e">
        <f t="shared" ca="1" si="92"/>
        <v>#VALUE!</v>
      </c>
      <c r="Z182" s="178" t="e">
        <f t="shared" ca="1" si="75"/>
        <v>#VALUE!</v>
      </c>
      <c r="AA182" s="141">
        <v>155</v>
      </c>
    </row>
    <row r="183" spans="1:27" x14ac:dyDescent="0.35">
      <c r="A183" s="175" t="str">
        <f t="shared" si="79"/>
        <v/>
      </c>
      <c r="B183" s="172">
        <f t="shared" ca="1" si="76"/>
        <v>49944</v>
      </c>
      <c r="C183" s="172" t="str">
        <f t="shared" ca="1" si="77"/>
        <v xml:space="preserve"> </v>
      </c>
      <c r="D183" s="175" t="str">
        <f t="shared" si="83"/>
        <v/>
      </c>
      <c r="E183" s="173" t="e">
        <f t="shared" ca="1" si="71"/>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84"/>
        <v/>
      </c>
      <c r="J183" s="173" t="str">
        <f t="shared" si="85"/>
        <v/>
      </c>
      <c r="K183" s="173" t="str">
        <f t="shared" si="93"/>
        <v/>
      </c>
      <c r="L183" s="173" t="str">
        <f t="shared" si="86"/>
        <v/>
      </c>
      <c r="M183" s="173" t="str">
        <f t="shared" si="88"/>
        <v/>
      </c>
      <c r="N183" s="173" t="str">
        <f t="shared" si="89"/>
        <v/>
      </c>
      <c r="O183" s="173" t="str">
        <f t="shared" si="90"/>
        <v/>
      </c>
      <c r="P183" s="173" t="str">
        <f t="shared" si="82"/>
        <v/>
      </c>
      <c r="Q183" s="173" t="str">
        <f t="shared" si="91"/>
        <v/>
      </c>
      <c r="R183" s="173" t="str">
        <f t="shared" si="87"/>
        <v/>
      </c>
      <c r="S183" s="176" t="str">
        <f>IF(A182=$D$8,XIRR(U$27:U182,C$27:C182),"")</f>
        <v/>
      </c>
      <c r="T183" s="173" t="str">
        <f t="shared" si="72"/>
        <v/>
      </c>
      <c r="U183" s="173">
        <f t="shared" si="80"/>
        <v>0</v>
      </c>
      <c r="V183" s="141" t="e">
        <f t="shared" ca="1" si="73"/>
        <v>#VALUE!</v>
      </c>
      <c r="W183" s="141" t="e">
        <f t="shared" ca="1" si="78"/>
        <v>#VALUE!</v>
      </c>
      <c r="X183" s="141" t="e">
        <f t="shared" ca="1" si="74"/>
        <v>#VALUE!</v>
      </c>
      <c r="Y183" s="177" t="e">
        <f t="shared" ca="1" si="92"/>
        <v>#VALUE!</v>
      </c>
      <c r="Z183" s="178" t="e">
        <f t="shared" ca="1" si="75"/>
        <v>#VALUE!</v>
      </c>
      <c r="AA183" s="141">
        <v>156</v>
      </c>
    </row>
    <row r="184" spans="1:27" x14ac:dyDescent="0.35">
      <c r="A184" s="175" t="str">
        <f t="shared" si="79"/>
        <v/>
      </c>
      <c r="B184" s="172">
        <f t="shared" ca="1" si="76"/>
        <v>49974</v>
      </c>
      <c r="C184" s="172" t="str">
        <f t="shared" ca="1" si="77"/>
        <v xml:space="preserve"> </v>
      </c>
      <c r="D184" s="175" t="str">
        <f t="shared" si="83"/>
        <v/>
      </c>
      <c r="E184" s="173" t="e">
        <f t="shared" ca="1" si="71"/>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84"/>
        <v/>
      </c>
      <c r="J184" s="173" t="str">
        <f t="shared" si="85"/>
        <v/>
      </c>
      <c r="K184" s="173" t="str">
        <f>IF($F$8&gt;156,($R$14),IF(A183=$F$8,K172+K160+K148+K136+K124+K112+K100+K88+K76+K64+K52+K40+K27,""))</f>
        <v/>
      </c>
      <c r="L184" s="173" t="str">
        <f t="shared" si="86"/>
        <v/>
      </c>
      <c r="M184" s="173" t="str">
        <f t="shared" si="88"/>
        <v/>
      </c>
      <c r="N184" s="173" t="str">
        <f t="shared" si="89"/>
        <v/>
      </c>
      <c r="O184" s="173" t="str">
        <f t="shared" si="90"/>
        <v/>
      </c>
      <c r="P184" s="173" t="str">
        <f t="shared" si="82"/>
        <v/>
      </c>
      <c r="Q184" s="173" t="str">
        <f>IF($F$8&gt;156,($S$8+$S$10),IF($A183=$F$8,$Q$40+$Q$27+$Q$52+$Q$64+$Q$76+$Q$88+$Q$100+$Q$112+$Q$124+$Q$136+$Q$148+$Q$160+$Q$172,""))</f>
        <v/>
      </c>
      <c r="R184" s="173" t="str">
        <f t="shared" si="87"/>
        <v/>
      </c>
      <c r="S184" s="176" t="str">
        <f>IF(A183=$D$8,XIRR(U$27:U183,C$27:C183),"")</f>
        <v/>
      </c>
      <c r="T184" s="173" t="str">
        <f t="shared" si="72"/>
        <v/>
      </c>
      <c r="U184" s="173">
        <f t="shared" si="80"/>
        <v>0</v>
      </c>
      <c r="V184" s="141" t="e">
        <f t="shared" ca="1" si="73"/>
        <v>#VALUE!</v>
      </c>
      <c r="W184" s="141" t="e">
        <f t="shared" ca="1" si="78"/>
        <v>#VALUE!</v>
      </c>
      <c r="X184" s="141" t="e">
        <f t="shared" ca="1" si="74"/>
        <v>#VALUE!</v>
      </c>
      <c r="Y184" s="177" t="e">
        <f t="shared" ca="1" si="92"/>
        <v>#VALUE!</v>
      </c>
      <c r="Z184" s="178" t="e">
        <f t="shared" ca="1" si="75"/>
        <v>#VALUE!</v>
      </c>
      <c r="AA184" s="141">
        <v>157</v>
      </c>
    </row>
    <row r="185" spans="1:27" x14ac:dyDescent="0.35">
      <c r="A185" s="175" t="str">
        <f t="shared" si="79"/>
        <v/>
      </c>
      <c r="B185" s="172">
        <f t="shared" ca="1" si="76"/>
        <v>50005</v>
      </c>
      <c r="C185" s="172" t="str">
        <f t="shared" ca="1" si="77"/>
        <v xml:space="preserve"> </v>
      </c>
      <c r="D185" s="175" t="str">
        <f t="shared" si="83"/>
        <v/>
      </c>
      <c r="E185" s="173" t="e">
        <f t="shared" ca="1" si="71"/>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84"/>
        <v/>
      </c>
      <c r="J185" s="173" t="str">
        <f t="shared" si="85"/>
        <v/>
      </c>
      <c r="K185" s="173" t="str">
        <f t="shared" si="93"/>
        <v/>
      </c>
      <c r="L185" s="173" t="str">
        <f t="shared" si="86"/>
        <v/>
      </c>
      <c r="M185" s="173" t="str">
        <f t="shared" si="88"/>
        <v/>
      </c>
      <c r="N185" s="173" t="str">
        <f t="shared" si="89"/>
        <v/>
      </c>
      <c r="O185" s="173" t="str">
        <f t="shared" si="90"/>
        <v/>
      </c>
      <c r="P185" s="173" t="str">
        <f t="shared" si="82"/>
        <v/>
      </c>
      <c r="Q185" s="173" t="str">
        <f t="shared" ref="Q185:Q195" si="94">IF(A184=$D$8,$Q$27,"")</f>
        <v/>
      </c>
      <c r="R185" s="173" t="str">
        <f t="shared" si="87"/>
        <v/>
      </c>
      <c r="S185" s="176" t="str">
        <f>IF(A184=$D$8,XIRR(U$27:U184,C$27:C184),"")</f>
        <v/>
      </c>
      <c r="T185" s="173" t="str">
        <f t="shared" si="72"/>
        <v/>
      </c>
      <c r="U185" s="173">
        <f t="shared" si="80"/>
        <v>0</v>
      </c>
      <c r="V185" s="141" t="e">
        <f t="shared" ca="1" si="73"/>
        <v>#VALUE!</v>
      </c>
      <c r="W185" s="141" t="e">
        <f t="shared" ca="1" si="78"/>
        <v>#VALUE!</v>
      </c>
      <c r="X185" s="141" t="e">
        <f t="shared" ca="1" si="74"/>
        <v>#VALUE!</v>
      </c>
      <c r="Y185" s="177" t="e">
        <f t="shared" ca="1" si="92"/>
        <v>#VALUE!</v>
      </c>
      <c r="Z185" s="178" t="e">
        <f t="shared" ca="1" si="75"/>
        <v>#VALUE!</v>
      </c>
      <c r="AA185" s="141">
        <v>158</v>
      </c>
    </row>
    <row r="186" spans="1:27" x14ac:dyDescent="0.35">
      <c r="A186" s="175" t="str">
        <f t="shared" si="79"/>
        <v/>
      </c>
      <c r="B186" s="172">
        <f t="shared" ca="1" si="76"/>
        <v>50035</v>
      </c>
      <c r="C186" s="172" t="str">
        <f t="shared" ca="1" si="77"/>
        <v xml:space="preserve"> </v>
      </c>
      <c r="D186" s="175" t="str">
        <f t="shared" si="83"/>
        <v/>
      </c>
      <c r="E186" s="173" t="e">
        <f t="shared" ca="1" si="71"/>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84"/>
        <v/>
      </c>
      <c r="J186" s="173" t="str">
        <f t="shared" si="85"/>
        <v/>
      </c>
      <c r="K186" s="173" t="str">
        <f t="shared" si="93"/>
        <v/>
      </c>
      <c r="L186" s="173" t="str">
        <f t="shared" si="86"/>
        <v/>
      </c>
      <c r="M186" s="173" t="str">
        <f t="shared" si="88"/>
        <v/>
      </c>
      <c r="N186" s="173" t="str">
        <f t="shared" si="89"/>
        <v/>
      </c>
      <c r="O186" s="173" t="str">
        <f t="shared" si="90"/>
        <v/>
      </c>
      <c r="P186" s="173" t="str">
        <f t="shared" si="82"/>
        <v/>
      </c>
      <c r="Q186" s="173" t="str">
        <f t="shared" si="94"/>
        <v/>
      </c>
      <c r="R186" s="173" t="str">
        <f t="shared" si="87"/>
        <v/>
      </c>
      <c r="S186" s="176" t="str">
        <f>IF(A185=$D$8,XIRR(U$27:U185,C$27:C185),"")</f>
        <v/>
      </c>
      <c r="T186" s="173" t="str">
        <f t="shared" si="72"/>
        <v/>
      </c>
      <c r="U186" s="173">
        <f t="shared" si="80"/>
        <v>0</v>
      </c>
      <c r="V186" s="141" t="e">
        <f t="shared" ca="1" si="73"/>
        <v>#VALUE!</v>
      </c>
      <c r="W186" s="141" t="e">
        <f t="shared" ca="1" si="78"/>
        <v>#VALUE!</v>
      </c>
      <c r="X186" s="141" t="e">
        <f t="shared" ca="1" si="74"/>
        <v>#VALUE!</v>
      </c>
      <c r="Y186" s="177" t="e">
        <f t="shared" ca="1" si="92"/>
        <v>#VALUE!</v>
      </c>
      <c r="Z186" s="178" t="e">
        <f t="shared" ca="1" si="75"/>
        <v>#VALUE!</v>
      </c>
      <c r="AA186" s="141">
        <v>159</v>
      </c>
    </row>
    <row r="187" spans="1:27" x14ac:dyDescent="0.35">
      <c r="A187" s="175" t="str">
        <f t="shared" si="79"/>
        <v/>
      </c>
      <c r="B187" s="172">
        <f t="shared" ca="1" si="76"/>
        <v>50066</v>
      </c>
      <c r="C187" s="172" t="str">
        <f t="shared" ca="1" si="77"/>
        <v xml:space="preserve"> </v>
      </c>
      <c r="D187" s="175" t="str">
        <f t="shared" si="83"/>
        <v/>
      </c>
      <c r="E187" s="173" t="e">
        <f t="shared" ca="1" si="71"/>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84"/>
        <v/>
      </c>
      <c r="J187" s="173" t="str">
        <f t="shared" si="85"/>
        <v/>
      </c>
      <c r="K187" s="173" t="str">
        <f t="shared" si="93"/>
        <v/>
      </c>
      <c r="L187" s="173" t="str">
        <f t="shared" si="86"/>
        <v/>
      </c>
      <c r="M187" s="173" t="str">
        <f t="shared" si="88"/>
        <v/>
      </c>
      <c r="N187" s="173" t="str">
        <f t="shared" si="89"/>
        <v/>
      </c>
      <c r="O187" s="173" t="str">
        <f t="shared" si="90"/>
        <v/>
      </c>
      <c r="P187" s="173" t="str">
        <f t="shared" si="82"/>
        <v/>
      </c>
      <c r="Q187" s="173" t="str">
        <f t="shared" si="94"/>
        <v/>
      </c>
      <c r="R187" s="173" t="str">
        <f t="shared" si="87"/>
        <v/>
      </c>
      <c r="S187" s="176" t="str">
        <f>IF(A186=$D$8,XIRR(U$27:U186,C$27:C186),"")</f>
        <v/>
      </c>
      <c r="T187" s="173" t="str">
        <f t="shared" si="72"/>
        <v/>
      </c>
      <c r="U187" s="173">
        <f t="shared" si="80"/>
        <v>0</v>
      </c>
      <c r="V187" s="141" t="e">
        <f t="shared" ca="1" si="73"/>
        <v>#VALUE!</v>
      </c>
      <c r="W187" s="141" t="e">
        <f t="shared" ca="1" si="78"/>
        <v>#VALUE!</v>
      </c>
      <c r="X187" s="141" t="e">
        <f t="shared" ca="1" si="74"/>
        <v>#VALUE!</v>
      </c>
      <c r="Y187" s="177" t="e">
        <f t="shared" ca="1" si="92"/>
        <v>#VALUE!</v>
      </c>
      <c r="Z187" s="178" t="e">
        <f t="shared" ca="1" si="75"/>
        <v>#VALUE!</v>
      </c>
      <c r="AA187" s="141">
        <v>160</v>
      </c>
    </row>
    <row r="188" spans="1:27" x14ac:dyDescent="0.35">
      <c r="A188" s="175" t="str">
        <f t="shared" si="79"/>
        <v/>
      </c>
      <c r="B188" s="172">
        <f t="shared" ca="1" si="76"/>
        <v>50097</v>
      </c>
      <c r="C188" s="172" t="str">
        <f t="shared" ca="1" si="77"/>
        <v xml:space="preserve"> </v>
      </c>
      <c r="D188" s="175" t="str">
        <f t="shared" si="83"/>
        <v/>
      </c>
      <c r="E188" s="173" t="e">
        <f t="shared" ca="1" si="71"/>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84"/>
        <v/>
      </c>
      <c r="J188" s="173" t="str">
        <f t="shared" si="85"/>
        <v/>
      </c>
      <c r="K188" s="173" t="str">
        <f t="shared" si="93"/>
        <v/>
      </c>
      <c r="L188" s="173" t="str">
        <f t="shared" si="86"/>
        <v/>
      </c>
      <c r="M188" s="173" t="str">
        <f t="shared" si="88"/>
        <v/>
      </c>
      <c r="N188" s="173" t="str">
        <f t="shared" si="89"/>
        <v/>
      </c>
      <c r="O188" s="173" t="str">
        <f t="shared" si="90"/>
        <v/>
      </c>
      <c r="P188" s="173" t="str">
        <f t="shared" si="82"/>
        <v/>
      </c>
      <c r="Q188" s="173" t="str">
        <f t="shared" si="94"/>
        <v/>
      </c>
      <c r="R188" s="173" t="str">
        <f t="shared" si="87"/>
        <v/>
      </c>
      <c r="S188" s="176" t="str">
        <f>IF(A187=$D$8,XIRR(U$27:U187,C$27:C187),"")</f>
        <v/>
      </c>
      <c r="T188" s="173" t="str">
        <f t="shared" si="72"/>
        <v/>
      </c>
      <c r="U188" s="173">
        <f t="shared" si="80"/>
        <v>0</v>
      </c>
      <c r="V188" s="141" t="e">
        <f t="shared" ca="1" si="73"/>
        <v>#VALUE!</v>
      </c>
      <c r="W188" s="141" t="e">
        <f t="shared" ca="1" si="78"/>
        <v>#VALUE!</v>
      </c>
      <c r="X188" s="141" t="e">
        <f t="shared" ca="1" si="74"/>
        <v>#VALUE!</v>
      </c>
      <c r="Y188" s="177" t="e">
        <f t="shared" ca="1" si="92"/>
        <v>#VALUE!</v>
      </c>
      <c r="Z188" s="178" t="e">
        <f t="shared" ca="1" si="75"/>
        <v>#VALUE!</v>
      </c>
      <c r="AA188" s="141">
        <v>161</v>
      </c>
    </row>
    <row r="189" spans="1:27" x14ac:dyDescent="0.35">
      <c r="A189" s="175" t="str">
        <f t="shared" si="79"/>
        <v/>
      </c>
      <c r="B189" s="172">
        <f t="shared" ca="1" si="76"/>
        <v>50125</v>
      </c>
      <c r="C189" s="172" t="str">
        <f t="shared" ca="1" si="77"/>
        <v xml:space="preserve"> </v>
      </c>
      <c r="D189" s="175" t="str">
        <f t="shared" si="83"/>
        <v/>
      </c>
      <c r="E189" s="173" t="e">
        <f t="shared" ca="1" si="71"/>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84"/>
        <v/>
      </c>
      <c r="J189" s="173" t="str">
        <f t="shared" si="85"/>
        <v/>
      </c>
      <c r="K189" s="173" t="str">
        <f t="shared" si="93"/>
        <v/>
      </c>
      <c r="L189" s="173" t="str">
        <f t="shared" si="86"/>
        <v/>
      </c>
      <c r="M189" s="173" t="str">
        <f t="shared" si="88"/>
        <v/>
      </c>
      <c r="N189" s="173" t="str">
        <f t="shared" si="89"/>
        <v/>
      </c>
      <c r="O189" s="173" t="str">
        <f t="shared" si="90"/>
        <v/>
      </c>
      <c r="P189" s="173" t="str">
        <f t="shared" si="82"/>
        <v/>
      </c>
      <c r="Q189" s="173" t="str">
        <f t="shared" si="94"/>
        <v/>
      </c>
      <c r="R189" s="173" t="str">
        <f t="shared" si="87"/>
        <v/>
      </c>
      <c r="S189" s="176" t="str">
        <f>IF(A188=$D$8,XIRR(U$27:U188,C$27:C188),"")</f>
        <v/>
      </c>
      <c r="T189" s="173" t="str">
        <f t="shared" si="72"/>
        <v/>
      </c>
      <c r="U189" s="173">
        <f t="shared" si="80"/>
        <v>0</v>
      </c>
      <c r="V189" s="141" t="e">
        <f t="shared" ca="1" si="73"/>
        <v>#VALUE!</v>
      </c>
      <c r="W189" s="141" t="e">
        <f t="shared" ca="1" si="78"/>
        <v>#VALUE!</v>
      </c>
      <c r="X189" s="141" t="e">
        <f t="shared" ca="1" si="74"/>
        <v>#VALUE!</v>
      </c>
      <c r="Y189" s="177" t="e">
        <f t="shared" ca="1" si="92"/>
        <v>#VALUE!</v>
      </c>
      <c r="Z189" s="178" t="e">
        <f t="shared" ca="1" si="75"/>
        <v>#VALUE!</v>
      </c>
      <c r="AA189" s="141">
        <v>162</v>
      </c>
    </row>
    <row r="190" spans="1:27" x14ac:dyDescent="0.35">
      <c r="A190" s="175" t="str">
        <f t="shared" si="79"/>
        <v/>
      </c>
      <c r="B190" s="172">
        <f t="shared" ca="1" si="76"/>
        <v>50156</v>
      </c>
      <c r="C190" s="172" t="str">
        <f t="shared" ca="1" si="77"/>
        <v xml:space="preserve"> </v>
      </c>
      <c r="D190" s="175" t="str">
        <f t="shared" si="83"/>
        <v/>
      </c>
      <c r="E190" s="173" t="e">
        <f t="shared" ca="1" si="71"/>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84"/>
        <v/>
      </c>
      <c r="J190" s="173" t="str">
        <f t="shared" si="85"/>
        <v/>
      </c>
      <c r="K190" s="173" t="str">
        <f t="shared" si="93"/>
        <v/>
      </c>
      <c r="L190" s="173" t="str">
        <f t="shared" si="86"/>
        <v/>
      </c>
      <c r="M190" s="173" t="str">
        <f t="shared" si="88"/>
        <v/>
      </c>
      <c r="N190" s="173" t="str">
        <f t="shared" si="89"/>
        <v/>
      </c>
      <c r="O190" s="173" t="str">
        <f t="shared" si="90"/>
        <v/>
      </c>
      <c r="P190" s="173" t="str">
        <f t="shared" si="82"/>
        <v/>
      </c>
      <c r="Q190" s="173" t="str">
        <f t="shared" si="94"/>
        <v/>
      </c>
      <c r="R190" s="173" t="str">
        <f t="shared" si="87"/>
        <v/>
      </c>
      <c r="S190" s="176" t="str">
        <f>IF(A189=$D$8,XIRR(U$27:U189,C$27:C189),"")</f>
        <v/>
      </c>
      <c r="T190" s="173" t="str">
        <f t="shared" si="72"/>
        <v/>
      </c>
      <c r="U190" s="173">
        <f t="shared" si="80"/>
        <v>0</v>
      </c>
      <c r="V190" s="141" t="e">
        <f t="shared" ca="1" si="73"/>
        <v>#VALUE!</v>
      </c>
      <c r="W190" s="141" t="e">
        <f t="shared" ca="1" si="78"/>
        <v>#VALUE!</v>
      </c>
      <c r="X190" s="141" t="e">
        <f t="shared" ca="1" si="74"/>
        <v>#VALUE!</v>
      </c>
      <c r="Y190" s="177" t="e">
        <f t="shared" ca="1" si="92"/>
        <v>#VALUE!</v>
      </c>
      <c r="Z190" s="178" t="e">
        <f t="shared" ca="1" si="75"/>
        <v>#VALUE!</v>
      </c>
      <c r="AA190" s="141">
        <v>163</v>
      </c>
    </row>
    <row r="191" spans="1:27" x14ac:dyDescent="0.35">
      <c r="A191" s="175" t="str">
        <f t="shared" si="79"/>
        <v/>
      </c>
      <c r="B191" s="172">
        <f t="shared" ca="1" si="76"/>
        <v>50186</v>
      </c>
      <c r="C191" s="172" t="str">
        <f t="shared" ca="1" si="77"/>
        <v xml:space="preserve"> </v>
      </c>
      <c r="D191" s="175" t="str">
        <f t="shared" si="83"/>
        <v/>
      </c>
      <c r="E191" s="173" t="e">
        <f t="shared" ca="1" si="71"/>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84"/>
        <v/>
      </c>
      <c r="J191" s="173" t="str">
        <f t="shared" si="85"/>
        <v/>
      </c>
      <c r="K191" s="173" t="str">
        <f t="shared" si="93"/>
        <v/>
      </c>
      <c r="L191" s="173" t="str">
        <f t="shared" si="86"/>
        <v/>
      </c>
      <c r="M191" s="173" t="str">
        <f t="shared" si="88"/>
        <v/>
      </c>
      <c r="N191" s="173" t="str">
        <f t="shared" si="89"/>
        <v/>
      </c>
      <c r="O191" s="173" t="str">
        <f t="shared" si="90"/>
        <v/>
      </c>
      <c r="P191" s="173" t="str">
        <f t="shared" si="82"/>
        <v/>
      </c>
      <c r="Q191" s="173" t="str">
        <f t="shared" si="94"/>
        <v/>
      </c>
      <c r="R191" s="173" t="str">
        <f t="shared" si="87"/>
        <v/>
      </c>
      <c r="S191" s="176" t="str">
        <f>IF(A190=$D$8,XIRR(U$27:U190,C$27:C190),"")</f>
        <v/>
      </c>
      <c r="T191" s="173" t="str">
        <f t="shared" si="72"/>
        <v/>
      </c>
      <c r="U191" s="173">
        <f t="shared" si="80"/>
        <v>0</v>
      </c>
      <c r="V191" s="141" t="e">
        <f t="shared" ca="1" si="73"/>
        <v>#VALUE!</v>
      </c>
      <c r="W191" s="141" t="e">
        <f t="shared" ca="1" si="78"/>
        <v>#VALUE!</v>
      </c>
      <c r="X191" s="141" t="e">
        <f t="shared" ca="1" si="74"/>
        <v>#VALUE!</v>
      </c>
      <c r="Y191" s="177" t="e">
        <f t="shared" ca="1" si="92"/>
        <v>#VALUE!</v>
      </c>
      <c r="Z191" s="178" t="e">
        <f t="shared" ca="1" si="75"/>
        <v>#VALUE!</v>
      </c>
      <c r="AA191" s="141">
        <v>164</v>
      </c>
    </row>
    <row r="192" spans="1:27" x14ac:dyDescent="0.35">
      <c r="A192" s="175" t="str">
        <f t="shared" si="79"/>
        <v/>
      </c>
      <c r="B192" s="172">
        <f t="shared" ca="1" si="76"/>
        <v>50217</v>
      </c>
      <c r="C192" s="172" t="str">
        <f t="shared" ca="1" si="77"/>
        <v xml:space="preserve"> </v>
      </c>
      <c r="D192" s="175" t="str">
        <f t="shared" si="83"/>
        <v/>
      </c>
      <c r="E192" s="173" t="e">
        <f t="shared" ca="1" si="71"/>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84"/>
        <v/>
      </c>
      <c r="J192" s="173" t="str">
        <f t="shared" si="85"/>
        <v/>
      </c>
      <c r="K192" s="173" t="str">
        <f t="shared" si="93"/>
        <v/>
      </c>
      <c r="L192" s="173" t="str">
        <f t="shared" si="86"/>
        <v/>
      </c>
      <c r="M192" s="173" t="str">
        <f t="shared" si="88"/>
        <v/>
      </c>
      <c r="N192" s="173" t="str">
        <f t="shared" si="89"/>
        <v/>
      </c>
      <c r="O192" s="173" t="str">
        <f t="shared" si="90"/>
        <v/>
      </c>
      <c r="P192" s="173" t="str">
        <f t="shared" si="82"/>
        <v/>
      </c>
      <c r="Q192" s="173" t="str">
        <f t="shared" si="94"/>
        <v/>
      </c>
      <c r="R192" s="173" t="str">
        <f t="shared" si="87"/>
        <v/>
      </c>
      <c r="S192" s="176" t="str">
        <f>IF(A191=$D$8,XIRR(U$27:U191,C$27:C191),"")</f>
        <v/>
      </c>
      <c r="T192" s="173" t="str">
        <f t="shared" si="72"/>
        <v/>
      </c>
      <c r="U192" s="173">
        <f t="shared" si="80"/>
        <v>0</v>
      </c>
      <c r="V192" s="141" t="e">
        <f t="shared" ca="1" si="73"/>
        <v>#VALUE!</v>
      </c>
      <c r="W192" s="141" t="e">
        <f t="shared" ca="1" si="78"/>
        <v>#VALUE!</v>
      </c>
      <c r="X192" s="141" t="e">
        <f t="shared" ca="1" si="74"/>
        <v>#VALUE!</v>
      </c>
      <c r="Y192" s="177" t="e">
        <f t="shared" ca="1" si="92"/>
        <v>#VALUE!</v>
      </c>
      <c r="Z192" s="178" t="e">
        <f t="shared" ca="1" si="75"/>
        <v>#VALUE!</v>
      </c>
      <c r="AA192" s="141">
        <v>165</v>
      </c>
    </row>
    <row r="193" spans="1:27" x14ac:dyDescent="0.35">
      <c r="A193" s="175" t="str">
        <f t="shared" si="79"/>
        <v/>
      </c>
      <c r="B193" s="172">
        <f t="shared" ca="1" si="76"/>
        <v>50247</v>
      </c>
      <c r="C193" s="172" t="str">
        <f t="shared" ca="1" si="77"/>
        <v xml:space="preserve"> </v>
      </c>
      <c r="D193" s="175" t="str">
        <f t="shared" si="83"/>
        <v/>
      </c>
      <c r="E193" s="173" t="e">
        <f t="shared" ca="1" si="71"/>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84"/>
        <v/>
      </c>
      <c r="J193" s="173" t="str">
        <f t="shared" si="85"/>
        <v/>
      </c>
      <c r="K193" s="173" t="str">
        <f t="shared" si="93"/>
        <v/>
      </c>
      <c r="L193" s="173" t="str">
        <f t="shared" si="86"/>
        <v/>
      </c>
      <c r="M193" s="173" t="str">
        <f t="shared" si="88"/>
        <v/>
      </c>
      <c r="N193" s="173" t="str">
        <f t="shared" si="89"/>
        <v/>
      </c>
      <c r="O193" s="173" t="str">
        <f t="shared" si="90"/>
        <v/>
      </c>
      <c r="P193" s="173" t="str">
        <f t="shared" si="82"/>
        <v/>
      </c>
      <c r="Q193" s="173" t="str">
        <f t="shared" si="94"/>
        <v/>
      </c>
      <c r="R193" s="173" t="str">
        <f t="shared" si="87"/>
        <v/>
      </c>
      <c r="S193" s="176" t="str">
        <f>IF(A192=$D$8,XIRR(U$27:U192,C$27:C192),"")</f>
        <v/>
      </c>
      <c r="T193" s="173" t="str">
        <f t="shared" si="72"/>
        <v/>
      </c>
      <c r="U193" s="173">
        <f t="shared" si="80"/>
        <v>0</v>
      </c>
      <c r="V193" s="141" t="e">
        <f t="shared" ca="1" si="73"/>
        <v>#VALUE!</v>
      </c>
      <c r="W193" s="141" t="e">
        <f t="shared" ca="1" si="78"/>
        <v>#VALUE!</v>
      </c>
      <c r="X193" s="141" t="e">
        <f t="shared" ca="1" si="74"/>
        <v>#VALUE!</v>
      </c>
      <c r="Y193" s="177" t="e">
        <f t="shared" ca="1" si="92"/>
        <v>#VALUE!</v>
      </c>
      <c r="Z193" s="178" t="e">
        <f t="shared" ca="1" si="75"/>
        <v>#VALUE!</v>
      </c>
      <c r="AA193" s="141">
        <v>166</v>
      </c>
    </row>
    <row r="194" spans="1:27" x14ac:dyDescent="0.35">
      <c r="A194" s="175" t="str">
        <f t="shared" si="79"/>
        <v/>
      </c>
      <c r="B194" s="172">
        <f t="shared" ca="1" si="76"/>
        <v>50278</v>
      </c>
      <c r="C194" s="172" t="str">
        <f t="shared" ca="1" si="77"/>
        <v xml:space="preserve"> </v>
      </c>
      <c r="D194" s="175" t="str">
        <f t="shared" si="83"/>
        <v/>
      </c>
      <c r="E194" s="173" t="e">
        <f t="shared" ca="1" si="71"/>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84"/>
        <v/>
      </c>
      <c r="J194" s="173" t="str">
        <f t="shared" si="85"/>
        <v/>
      </c>
      <c r="K194" s="173" t="str">
        <f t="shared" si="93"/>
        <v/>
      </c>
      <c r="L194" s="173" t="str">
        <f t="shared" si="86"/>
        <v/>
      </c>
      <c r="M194" s="173" t="str">
        <f t="shared" si="88"/>
        <v/>
      </c>
      <c r="N194" s="173" t="str">
        <f t="shared" si="89"/>
        <v/>
      </c>
      <c r="O194" s="173" t="str">
        <f t="shared" si="90"/>
        <v/>
      </c>
      <c r="P194" s="173" t="str">
        <f t="shared" si="82"/>
        <v/>
      </c>
      <c r="Q194" s="173" t="str">
        <f t="shared" si="94"/>
        <v/>
      </c>
      <c r="R194" s="173" t="str">
        <f t="shared" si="87"/>
        <v/>
      </c>
      <c r="S194" s="176" t="str">
        <f>IF(A193=$D$8,XIRR(U$27:U193,C$27:C193),"")</f>
        <v/>
      </c>
      <c r="T194" s="173" t="str">
        <f t="shared" si="72"/>
        <v/>
      </c>
      <c r="U194" s="173">
        <f t="shared" si="80"/>
        <v>0</v>
      </c>
      <c r="V194" s="141" t="e">
        <f t="shared" ca="1" si="73"/>
        <v>#VALUE!</v>
      </c>
      <c r="W194" s="141" t="e">
        <f t="shared" ca="1" si="78"/>
        <v>#VALUE!</v>
      </c>
      <c r="X194" s="141" t="e">
        <f t="shared" ca="1" si="74"/>
        <v>#VALUE!</v>
      </c>
      <c r="Y194" s="177" t="e">
        <f t="shared" ca="1" si="92"/>
        <v>#VALUE!</v>
      </c>
      <c r="Z194" s="178" t="e">
        <f t="shared" ca="1" si="75"/>
        <v>#VALUE!</v>
      </c>
      <c r="AA194" s="141">
        <v>167</v>
      </c>
    </row>
    <row r="195" spans="1:27" x14ac:dyDescent="0.35">
      <c r="A195" s="175" t="str">
        <f t="shared" si="79"/>
        <v/>
      </c>
      <c r="B195" s="172">
        <f t="shared" ca="1" si="76"/>
        <v>50309</v>
      </c>
      <c r="C195" s="172" t="str">
        <f t="shared" ca="1" si="77"/>
        <v xml:space="preserve"> </v>
      </c>
      <c r="D195" s="175" t="str">
        <f t="shared" si="83"/>
        <v/>
      </c>
      <c r="E195" s="173" t="e">
        <f t="shared" ca="1" si="71"/>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84"/>
        <v/>
      </c>
      <c r="J195" s="173" t="str">
        <f t="shared" si="85"/>
        <v/>
      </c>
      <c r="K195" s="173" t="str">
        <f t="shared" si="93"/>
        <v/>
      </c>
      <c r="L195" s="173" t="str">
        <f t="shared" si="86"/>
        <v/>
      </c>
      <c r="M195" s="173" t="str">
        <f t="shared" si="88"/>
        <v/>
      </c>
      <c r="N195" s="173" t="str">
        <f t="shared" si="89"/>
        <v/>
      </c>
      <c r="O195" s="173" t="str">
        <f t="shared" si="90"/>
        <v/>
      </c>
      <c r="P195" s="173" t="str">
        <f t="shared" si="82"/>
        <v/>
      </c>
      <c r="Q195" s="173" t="str">
        <f t="shared" si="94"/>
        <v/>
      </c>
      <c r="R195" s="173" t="str">
        <f t="shared" si="87"/>
        <v/>
      </c>
      <c r="S195" s="176" t="str">
        <f>IF(A194=$D$8,XIRR(U$27:U194,C$27:C194),"")</f>
        <v/>
      </c>
      <c r="T195" s="173" t="str">
        <f t="shared" si="72"/>
        <v/>
      </c>
      <c r="U195" s="173">
        <f t="shared" si="80"/>
        <v>0</v>
      </c>
      <c r="V195" s="141" t="e">
        <f t="shared" ca="1" si="73"/>
        <v>#VALUE!</v>
      </c>
      <c r="W195" s="141" t="e">
        <f t="shared" ca="1" si="78"/>
        <v>#VALUE!</v>
      </c>
      <c r="X195" s="141" t="e">
        <f t="shared" ca="1" si="74"/>
        <v>#VALUE!</v>
      </c>
      <c r="Y195" s="177" t="e">
        <f t="shared" ca="1" si="92"/>
        <v>#VALUE!</v>
      </c>
      <c r="Z195" s="178" t="e">
        <f t="shared" ca="1" si="75"/>
        <v>#VALUE!</v>
      </c>
      <c r="AA195" s="141">
        <v>168</v>
      </c>
    </row>
    <row r="196" spans="1:27" x14ac:dyDescent="0.35">
      <c r="A196" s="175" t="str">
        <f t="shared" si="79"/>
        <v/>
      </c>
      <c r="B196" s="172">
        <f t="shared" ca="1" si="76"/>
        <v>50339</v>
      </c>
      <c r="C196" s="172" t="str">
        <f t="shared" ca="1" si="77"/>
        <v xml:space="preserve"> </v>
      </c>
      <c r="D196" s="175" t="str">
        <f t="shared" si="83"/>
        <v/>
      </c>
      <c r="E196" s="173" t="e">
        <f t="shared" ca="1" si="71"/>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84"/>
        <v/>
      </c>
      <c r="J196" s="173" t="str">
        <f t="shared" si="85"/>
        <v/>
      </c>
      <c r="K196" s="173" t="str">
        <f>IF($F$8&gt;168,($R$14),IF(A195=$F$8,K184+K172+K160+K148+K136+K124+K112+K100+K88+K76+K64+K52+K40+K27,""))</f>
        <v/>
      </c>
      <c r="L196" s="173" t="str">
        <f t="shared" si="86"/>
        <v/>
      </c>
      <c r="M196" s="173" t="str">
        <f t="shared" si="88"/>
        <v/>
      </c>
      <c r="N196" s="173" t="str">
        <f t="shared" si="89"/>
        <v/>
      </c>
      <c r="O196" s="173" t="str">
        <f t="shared" si="90"/>
        <v/>
      </c>
      <c r="P196" s="173" t="str">
        <f t="shared" si="82"/>
        <v/>
      </c>
      <c r="Q196" s="173" t="str">
        <f>IF($F$8&gt;168,($S$8+$S$10),IF($A195=$F$8,$Q$40+$Q$27+$Q$52+$Q$64+$Q$76+$Q$88+$Q$100+$Q$112+$Q$124+$Q$136+$Q$148+$Q$160+$Q$172+$Q$184,""))</f>
        <v/>
      </c>
      <c r="R196" s="173" t="str">
        <f t="shared" si="87"/>
        <v/>
      </c>
      <c r="S196" s="176" t="str">
        <f>IF(A195=$D$8,XIRR(U$27:U195,C$27:C195),"")</f>
        <v/>
      </c>
      <c r="T196" s="173" t="str">
        <f t="shared" si="72"/>
        <v/>
      </c>
      <c r="U196" s="173">
        <f t="shared" si="80"/>
        <v>0</v>
      </c>
      <c r="V196" s="141" t="e">
        <f t="shared" ca="1" si="73"/>
        <v>#VALUE!</v>
      </c>
      <c r="W196" s="141" t="e">
        <f t="shared" ca="1" si="78"/>
        <v>#VALUE!</v>
      </c>
      <c r="X196" s="141" t="e">
        <f t="shared" ca="1" si="74"/>
        <v>#VALUE!</v>
      </c>
      <c r="Y196" s="177" t="e">
        <f t="shared" ca="1" si="92"/>
        <v>#VALUE!</v>
      </c>
      <c r="Z196" s="178" t="e">
        <f t="shared" ca="1" si="75"/>
        <v>#VALUE!</v>
      </c>
      <c r="AA196" s="141">
        <v>169</v>
      </c>
    </row>
    <row r="197" spans="1:27" x14ac:dyDescent="0.35">
      <c r="A197" s="175" t="str">
        <f t="shared" si="79"/>
        <v/>
      </c>
      <c r="B197" s="172">
        <f t="shared" ca="1" si="76"/>
        <v>50370</v>
      </c>
      <c r="C197" s="172" t="str">
        <f t="shared" ca="1" si="77"/>
        <v xml:space="preserve"> </v>
      </c>
      <c r="D197" s="175" t="str">
        <f t="shared" si="83"/>
        <v/>
      </c>
      <c r="E197" s="173" t="e">
        <f t="shared" ca="1" si="71"/>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84"/>
        <v/>
      </c>
      <c r="J197" s="173" t="str">
        <f t="shared" si="85"/>
        <v/>
      </c>
      <c r="K197" s="173" t="str">
        <f t="shared" si="93"/>
        <v/>
      </c>
      <c r="L197" s="173" t="str">
        <f t="shared" si="86"/>
        <v/>
      </c>
      <c r="M197" s="173" t="str">
        <f t="shared" si="88"/>
        <v/>
      </c>
      <c r="N197" s="173" t="str">
        <f t="shared" si="89"/>
        <v/>
      </c>
      <c r="O197" s="173" t="str">
        <f t="shared" si="90"/>
        <v/>
      </c>
      <c r="P197" s="173" t="str">
        <f t="shared" si="82"/>
        <v/>
      </c>
      <c r="Q197" s="173" t="str">
        <f t="shared" ref="Q197:Q207" si="95">IF(A196=$D$8,$Q$27,"")</f>
        <v/>
      </c>
      <c r="R197" s="173" t="str">
        <f t="shared" si="87"/>
        <v/>
      </c>
      <c r="S197" s="176" t="str">
        <f>IF(A196=$D$8,XIRR(U$27:U196,C$27:C196),"")</f>
        <v/>
      </c>
      <c r="T197" s="173" t="str">
        <f t="shared" si="72"/>
        <v/>
      </c>
      <c r="U197" s="173">
        <f t="shared" si="80"/>
        <v>0</v>
      </c>
      <c r="V197" s="141" t="e">
        <f t="shared" ca="1" si="73"/>
        <v>#VALUE!</v>
      </c>
      <c r="W197" s="141" t="e">
        <f t="shared" ca="1" si="78"/>
        <v>#VALUE!</v>
      </c>
      <c r="X197" s="141" t="e">
        <f t="shared" ca="1" si="74"/>
        <v>#VALUE!</v>
      </c>
      <c r="Y197" s="177" t="e">
        <f t="shared" ca="1" si="92"/>
        <v>#VALUE!</v>
      </c>
      <c r="Z197" s="178" t="e">
        <f t="shared" ca="1" si="75"/>
        <v>#VALUE!</v>
      </c>
      <c r="AA197" s="141">
        <v>170</v>
      </c>
    </row>
    <row r="198" spans="1:27" x14ac:dyDescent="0.35">
      <c r="A198" s="175" t="str">
        <f t="shared" si="79"/>
        <v/>
      </c>
      <c r="B198" s="172">
        <f t="shared" ca="1" si="76"/>
        <v>50400</v>
      </c>
      <c r="C198" s="172" t="str">
        <f t="shared" ca="1" si="77"/>
        <v xml:space="preserve"> </v>
      </c>
      <c r="D198" s="175" t="str">
        <f t="shared" si="83"/>
        <v/>
      </c>
      <c r="E198" s="173" t="e">
        <f t="shared" ca="1" si="71"/>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84"/>
        <v/>
      </c>
      <c r="J198" s="173" t="str">
        <f t="shared" si="85"/>
        <v/>
      </c>
      <c r="K198" s="173" t="str">
        <f t="shared" si="93"/>
        <v/>
      </c>
      <c r="L198" s="173" t="str">
        <f t="shared" si="86"/>
        <v/>
      </c>
      <c r="M198" s="173" t="str">
        <f t="shared" si="88"/>
        <v/>
      </c>
      <c r="N198" s="173" t="str">
        <f t="shared" si="89"/>
        <v/>
      </c>
      <c r="O198" s="173" t="str">
        <f t="shared" si="90"/>
        <v/>
      </c>
      <c r="P198" s="173" t="str">
        <f t="shared" si="82"/>
        <v/>
      </c>
      <c r="Q198" s="173" t="str">
        <f t="shared" si="95"/>
        <v/>
      </c>
      <c r="R198" s="173" t="str">
        <f t="shared" si="87"/>
        <v/>
      </c>
      <c r="S198" s="176" t="str">
        <f>IF(A197=$D$8,XIRR(U$27:U197,C$27:C197),"")</f>
        <v/>
      </c>
      <c r="T198" s="173" t="str">
        <f t="shared" si="72"/>
        <v/>
      </c>
      <c r="U198" s="173">
        <f t="shared" si="80"/>
        <v>0</v>
      </c>
      <c r="V198" s="141" t="e">
        <f t="shared" ca="1" si="73"/>
        <v>#VALUE!</v>
      </c>
      <c r="W198" s="141" t="e">
        <f t="shared" ca="1" si="78"/>
        <v>#VALUE!</v>
      </c>
      <c r="X198" s="141" t="e">
        <f t="shared" ca="1" si="74"/>
        <v>#VALUE!</v>
      </c>
      <c r="Y198" s="177" t="e">
        <f t="shared" ca="1" si="92"/>
        <v>#VALUE!</v>
      </c>
      <c r="Z198" s="178" t="e">
        <f t="shared" ca="1" si="75"/>
        <v>#VALUE!</v>
      </c>
      <c r="AA198" s="141">
        <v>171</v>
      </c>
    </row>
    <row r="199" spans="1:27" x14ac:dyDescent="0.35">
      <c r="A199" s="175" t="str">
        <f t="shared" si="79"/>
        <v/>
      </c>
      <c r="B199" s="172">
        <f t="shared" ca="1" si="76"/>
        <v>50431</v>
      </c>
      <c r="C199" s="172" t="str">
        <f t="shared" ca="1" si="77"/>
        <v xml:space="preserve"> </v>
      </c>
      <c r="D199" s="175" t="str">
        <f t="shared" si="83"/>
        <v/>
      </c>
      <c r="E199" s="173" t="e">
        <f t="shared" ca="1" si="71"/>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84"/>
        <v/>
      </c>
      <c r="J199" s="173" t="str">
        <f t="shared" si="85"/>
        <v/>
      </c>
      <c r="K199" s="173" t="str">
        <f t="shared" si="93"/>
        <v/>
      </c>
      <c r="L199" s="173" t="str">
        <f t="shared" si="86"/>
        <v/>
      </c>
      <c r="M199" s="173" t="str">
        <f t="shared" si="88"/>
        <v/>
      </c>
      <c r="N199" s="173" t="str">
        <f t="shared" si="89"/>
        <v/>
      </c>
      <c r="O199" s="173" t="str">
        <f t="shared" si="90"/>
        <v/>
      </c>
      <c r="P199" s="173" t="str">
        <f t="shared" si="82"/>
        <v/>
      </c>
      <c r="Q199" s="173" t="str">
        <f t="shared" si="95"/>
        <v/>
      </c>
      <c r="R199" s="173" t="str">
        <f t="shared" si="87"/>
        <v/>
      </c>
      <c r="S199" s="176" t="str">
        <f>IF(A198=$D$8,XIRR(U$27:U198,C$27:C198),"")</f>
        <v/>
      </c>
      <c r="T199" s="173" t="str">
        <f t="shared" si="72"/>
        <v/>
      </c>
      <c r="U199" s="173">
        <f t="shared" si="80"/>
        <v>0</v>
      </c>
      <c r="V199" s="141" t="e">
        <f t="shared" ca="1" si="73"/>
        <v>#VALUE!</v>
      </c>
      <c r="W199" s="141" t="e">
        <f t="shared" ca="1" si="78"/>
        <v>#VALUE!</v>
      </c>
      <c r="X199" s="141" t="e">
        <f t="shared" ca="1" si="74"/>
        <v>#VALUE!</v>
      </c>
      <c r="Y199" s="177" t="e">
        <f t="shared" ca="1" si="92"/>
        <v>#VALUE!</v>
      </c>
      <c r="Z199" s="178" t="e">
        <f t="shared" ca="1" si="75"/>
        <v>#VALUE!</v>
      </c>
      <c r="AA199" s="141">
        <v>172</v>
      </c>
    </row>
    <row r="200" spans="1:27" x14ac:dyDescent="0.35">
      <c r="A200" s="175" t="str">
        <f t="shared" si="79"/>
        <v/>
      </c>
      <c r="B200" s="172">
        <f t="shared" ca="1" si="76"/>
        <v>50462</v>
      </c>
      <c r="C200" s="172" t="str">
        <f t="shared" ca="1" si="77"/>
        <v xml:space="preserve"> </v>
      </c>
      <c r="D200" s="175" t="str">
        <f t="shared" si="83"/>
        <v/>
      </c>
      <c r="E200" s="173" t="e">
        <f t="shared" ca="1" si="71"/>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84"/>
        <v/>
      </c>
      <c r="J200" s="173" t="str">
        <f t="shared" si="85"/>
        <v/>
      </c>
      <c r="K200" s="173" t="str">
        <f t="shared" si="93"/>
        <v/>
      </c>
      <c r="L200" s="173" t="str">
        <f t="shared" si="86"/>
        <v/>
      </c>
      <c r="M200" s="173" t="str">
        <f t="shared" si="88"/>
        <v/>
      </c>
      <c r="N200" s="173" t="str">
        <f t="shared" si="89"/>
        <v/>
      </c>
      <c r="O200" s="173" t="str">
        <f t="shared" si="90"/>
        <v/>
      </c>
      <c r="P200" s="173" t="str">
        <f t="shared" si="82"/>
        <v/>
      </c>
      <c r="Q200" s="173" t="str">
        <f t="shared" si="95"/>
        <v/>
      </c>
      <c r="R200" s="173" t="str">
        <f t="shared" si="87"/>
        <v/>
      </c>
      <c r="S200" s="176" t="str">
        <f>IF(A199=$D$8,XIRR(U$27:U199,C$27:C199),"")</f>
        <v/>
      </c>
      <c r="T200" s="173" t="str">
        <f t="shared" si="72"/>
        <v/>
      </c>
      <c r="U200" s="173">
        <f t="shared" si="80"/>
        <v>0</v>
      </c>
      <c r="V200" s="141" t="e">
        <f t="shared" ca="1" si="73"/>
        <v>#VALUE!</v>
      </c>
      <c r="W200" s="141" t="e">
        <f t="shared" ca="1" si="78"/>
        <v>#VALUE!</v>
      </c>
      <c r="X200" s="141" t="e">
        <f t="shared" ca="1" si="74"/>
        <v>#VALUE!</v>
      </c>
      <c r="Y200" s="177" t="e">
        <f t="shared" ca="1" si="92"/>
        <v>#VALUE!</v>
      </c>
      <c r="Z200" s="178" t="e">
        <f t="shared" ca="1" si="75"/>
        <v>#VALUE!</v>
      </c>
      <c r="AA200" s="141">
        <v>173</v>
      </c>
    </row>
    <row r="201" spans="1:27" x14ac:dyDescent="0.35">
      <c r="A201" s="175" t="str">
        <f t="shared" si="79"/>
        <v/>
      </c>
      <c r="B201" s="172">
        <f t="shared" ca="1" si="76"/>
        <v>50490</v>
      </c>
      <c r="C201" s="172" t="str">
        <f t="shared" ca="1" si="77"/>
        <v xml:space="preserve"> </v>
      </c>
      <c r="D201" s="175" t="str">
        <f t="shared" si="83"/>
        <v/>
      </c>
      <c r="E201" s="173" t="e">
        <f t="shared" ca="1" si="71"/>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84"/>
        <v/>
      </c>
      <c r="J201" s="173" t="str">
        <f t="shared" si="85"/>
        <v/>
      </c>
      <c r="K201" s="173" t="str">
        <f t="shared" si="93"/>
        <v/>
      </c>
      <c r="L201" s="173" t="str">
        <f t="shared" si="86"/>
        <v/>
      </c>
      <c r="M201" s="173" t="str">
        <f t="shared" si="88"/>
        <v/>
      </c>
      <c r="N201" s="173" t="str">
        <f t="shared" si="89"/>
        <v/>
      </c>
      <c r="O201" s="173" t="str">
        <f t="shared" si="90"/>
        <v/>
      </c>
      <c r="P201" s="173" t="str">
        <f t="shared" si="82"/>
        <v/>
      </c>
      <c r="Q201" s="173" t="str">
        <f t="shared" si="95"/>
        <v/>
      </c>
      <c r="R201" s="173" t="str">
        <f t="shared" si="87"/>
        <v/>
      </c>
      <c r="S201" s="176" t="str">
        <f>IF(A200=$D$8,XIRR(U$27:U200,C$27:C200),"")</f>
        <v/>
      </c>
      <c r="T201" s="173" t="str">
        <f t="shared" si="72"/>
        <v/>
      </c>
      <c r="U201" s="173">
        <f t="shared" si="80"/>
        <v>0</v>
      </c>
      <c r="V201" s="141" t="e">
        <f t="shared" ca="1" si="73"/>
        <v>#VALUE!</v>
      </c>
      <c r="W201" s="141" t="e">
        <f t="shared" ca="1" si="78"/>
        <v>#VALUE!</v>
      </c>
      <c r="X201" s="141" t="e">
        <f t="shared" ca="1" si="74"/>
        <v>#VALUE!</v>
      </c>
      <c r="Y201" s="177" t="e">
        <f t="shared" ca="1" si="92"/>
        <v>#VALUE!</v>
      </c>
      <c r="Z201" s="178" t="e">
        <f t="shared" ca="1" si="75"/>
        <v>#VALUE!</v>
      </c>
      <c r="AA201" s="141">
        <v>174</v>
      </c>
    </row>
    <row r="202" spans="1:27" x14ac:dyDescent="0.35">
      <c r="A202" s="175" t="str">
        <f t="shared" si="79"/>
        <v/>
      </c>
      <c r="B202" s="172">
        <f t="shared" ca="1" si="76"/>
        <v>50521</v>
      </c>
      <c r="C202" s="172" t="str">
        <f t="shared" ca="1" si="77"/>
        <v xml:space="preserve"> </v>
      </c>
      <c r="D202" s="175" t="str">
        <f t="shared" si="83"/>
        <v/>
      </c>
      <c r="E202" s="173" t="e">
        <f t="shared" ca="1" si="71"/>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84"/>
        <v/>
      </c>
      <c r="J202" s="173" t="str">
        <f t="shared" si="85"/>
        <v/>
      </c>
      <c r="K202" s="173" t="str">
        <f t="shared" si="93"/>
        <v/>
      </c>
      <c r="L202" s="173" t="str">
        <f t="shared" si="86"/>
        <v/>
      </c>
      <c r="M202" s="173" t="str">
        <f t="shared" si="88"/>
        <v/>
      </c>
      <c r="N202" s="173" t="str">
        <f t="shared" si="89"/>
        <v/>
      </c>
      <c r="O202" s="173" t="str">
        <f t="shared" si="90"/>
        <v/>
      </c>
      <c r="P202" s="173" t="str">
        <f t="shared" si="82"/>
        <v/>
      </c>
      <c r="Q202" s="173" t="str">
        <f t="shared" si="95"/>
        <v/>
      </c>
      <c r="R202" s="173" t="str">
        <f t="shared" si="87"/>
        <v/>
      </c>
      <c r="S202" s="176" t="str">
        <f>IF(A201=$D$8,XIRR(U$27:U201,C$27:C201),"")</f>
        <v/>
      </c>
      <c r="T202" s="173" t="str">
        <f t="shared" si="72"/>
        <v/>
      </c>
      <c r="U202" s="173">
        <f t="shared" si="80"/>
        <v>0</v>
      </c>
      <c r="V202" s="141" t="e">
        <f t="shared" ca="1" si="73"/>
        <v>#VALUE!</v>
      </c>
      <c r="W202" s="141" t="e">
        <f t="shared" ca="1" si="78"/>
        <v>#VALUE!</v>
      </c>
      <c r="X202" s="141" t="e">
        <f t="shared" ca="1" si="74"/>
        <v>#VALUE!</v>
      </c>
      <c r="Y202" s="177" t="e">
        <f t="shared" ca="1" si="92"/>
        <v>#VALUE!</v>
      </c>
      <c r="Z202" s="178" t="e">
        <f t="shared" ca="1" si="75"/>
        <v>#VALUE!</v>
      </c>
      <c r="AA202" s="141">
        <v>175</v>
      </c>
    </row>
    <row r="203" spans="1:27" x14ac:dyDescent="0.35">
      <c r="A203" s="175" t="str">
        <f t="shared" si="79"/>
        <v/>
      </c>
      <c r="B203" s="172">
        <f t="shared" ca="1" si="76"/>
        <v>50551</v>
      </c>
      <c r="C203" s="172" t="str">
        <f t="shared" ca="1" si="77"/>
        <v xml:space="preserve"> </v>
      </c>
      <c r="D203" s="175" t="str">
        <f t="shared" si="83"/>
        <v/>
      </c>
      <c r="E203" s="173" t="e">
        <f t="shared" ca="1" si="71"/>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84"/>
        <v/>
      </c>
      <c r="J203" s="173" t="str">
        <f t="shared" si="85"/>
        <v/>
      </c>
      <c r="K203" s="173" t="str">
        <f t="shared" si="93"/>
        <v/>
      </c>
      <c r="L203" s="173" t="str">
        <f t="shared" si="86"/>
        <v/>
      </c>
      <c r="M203" s="173" t="str">
        <f t="shared" si="88"/>
        <v/>
      </c>
      <c r="N203" s="173" t="str">
        <f t="shared" si="89"/>
        <v/>
      </c>
      <c r="O203" s="173" t="str">
        <f t="shared" si="90"/>
        <v/>
      </c>
      <c r="P203" s="173" t="str">
        <f t="shared" si="82"/>
        <v/>
      </c>
      <c r="Q203" s="173" t="str">
        <f t="shared" si="95"/>
        <v/>
      </c>
      <c r="R203" s="173" t="str">
        <f t="shared" si="87"/>
        <v/>
      </c>
      <c r="S203" s="176" t="str">
        <f>IF(A202=$D$8,XIRR(U$27:U202,C$27:C202),"")</f>
        <v/>
      </c>
      <c r="T203" s="173" t="str">
        <f t="shared" si="72"/>
        <v/>
      </c>
      <c r="U203" s="173">
        <f t="shared" si="80"/>
        <v>0</v>
      </c>
      <c r="V203" s="141" t="e">
        <f t="shared" ca="1" si="73"/>
        <v>#VALUE!</v>
      </c>
      <c r="W203" s="141" t="e">
        <f t="shared" ca="1" si="78"/>
        <v>#VALUE!</v>
      </c>
      <c r="X203" s="141" t="e">
        <f t="shared" ca="1" si="74"/>
        <v>#VALUE!</v>
      </c>
      <c r="Y203" s="177" t="e">
        <f t="shared" ca="1" si="92"/>
        <v>#VALUE!</v>
      </c>
      <c r="Z203" s="178" t="e">
        <f t="shared" ca="1" si="75"/>
        <v>#VALUE!</v>
      </c>
      <c r="AA203" s="141">
        <v>176</v>
      </c>
    </row>
    <row r="204" spans="1:27" x14ac:dyDescent="0.35">
      <c r="A204" s="175" t="str">
        <f t="shared" si="79"/>
        <v/>
      </c>
      <c r="B204" s="172">
        <f t="shared" ca="1" si="76"/>
        <v>50582</v>
      </c>
      <c r="C204" s="172" t="str">
        <f t="shared" ca="1" si="77"/>
        <v xml:space="preserve"> </v>
      </c>
      <c r="D204" s="175" t="str">
        <f t="shared" si="83"/>
        <v/>
      </c>
      <c r="E204" s="173" t="e">
        <f t="shared" ca="1" si="71"/>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84"/>
        <v/>
      </c>
      <c r="J204" s="173" t="str">
        <f t="shared" si="85"/>
        <v/>
      </c>
      <c r="K204" s="173" t="str">
        <f t="shared" si="93"/>
        <v/>
      </c>
      <c r="L204" s="173" t="str">
        <f t="shared" si="86"/>
        <v/>
      </c>
      <c r="M204" s="173" t="str">
        <f t="shared" si="88"/>
        <v/>
      </c>
      <c r="N204" s="173" t="str">
        <f t="shared" si="89"/>
        <v/>
      </c>
      <c r="O204" s="173" t="str">
        <f t="shared" si="90"/>
        <v/>
      </c>
      <c r="P204" s="173" t="str">
        <f t="shared" si="82"/>
        <v/>
      </c>
      <c r="Q204" s="173" t="str">
        <f t="shared" si="95"/>
        <v/>
      </c>
      <c r="R204" s="173" t="str">
        <f t="shared" si="87"/>
        <v/>
      </c>
      <c r="S204" s="176" t="str">
        <f>IF(A203=$D$8,XIRR(U$27:U203,C$27:C203),"")</f>
        <v/>
      </c>
      <c r="T204" s="173" t="str">
        <f t="shared" si="72"/>
        <v/>
      </c>
      <c r="U204" s="173">
        <f t="shared" si="80"/>
        <v>0</v>
      </c>
      <c r="V204" s="141" t="e">
        <f t="shared" ca="1" si="73"/>
        <v>#VALUE!</v>
      </c>
      <c r="W204" s="141" t="e">
        <f t="shared" ca="1" si="78"/>
        <v>#VALUE!</v>
      </c>
      <c r="X204" s="141" t="e">
        <f t="shared" ca="1" si="74"/>
        <v>#VALUE!</v>
      </c>
      <c r="Y204" s="177" t="e">
        <f t="shared" ca="1" si="92"/>
        <v>#VALUE!</v>
      </c>
      <c r="Z204" s="178" t="e">
        <f t="shared" ca="1" si="75"/>
        <v>#VALUE!</v>
      </c>
      <c r="AA204" s="141">
        <v>177</v>
      </c>
    </row>
    <row r="205" spans="1:27" x14ac:dyDescent="0.35">
      <c r="A205" s="175" t="str">
        <f t="shared" si="79"/>
        <v/>
      </c>
      <c r="B205" s="172">
        <f t="shared" ca="1" si="76"/>
        <v>50612</v>
      </c>
      <c r="C205" s="172" t="str">
        <f t="shared" ca="1" si="77"/>
        <v xml:space="preserve"> </v>
      </c>
      <c r="D205" s="175" t="str">
        <f t="shared" si="83"/>
        <v/>
      </c>
      <c r="E205" s="173" t="e">
        <f t="shared" ca="1" si="71"/>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84"/>
        <v/>
      </c>
      <c r="J205" s="173" t="str">
        <f t="shared" si="85"/>
        <v/>
      </c>
      <c r="K205" s="173" t="str">
        <f t="shared" si="93"/>
        <v/>
      </c>
      <c r="L205" s="173" t="str">
        <f t="shared" si="86"/>
        <v/>
      </c>
      <c r="M205" s="173" t="str">
        <f t="shared" si="88"/>
        <v/>
      </c>
      <c r="N205" s="173" t="str">
        <f t="shared" si="89"/>
        <v/>
      </c>
      <c r="O205" s="173" t="str">
        <f t="shared" si="90"/>
        <v/>
      </c>
      <c r="P205" s="173" t="str">
        <f t="shared" si="82"/>
        <v/>
      </c>
      <c r="Q205" s="173" t="str">
        <f t="shared" si="95"/>
        <v/>
      </c>
      <c r="R205" s="173" t="str">
        <f t="shared" si="87"/>
        <v/>
      </c>
      <c r="S205" s="176" t="str">
        <f>IF(A204=$D$8,XIRR(U$27:U204,C$27:C204),"")</f>
        <v/>
      </c>
      <c r="T205" s="173" t="str">
        <f t="shared" si="72"/>
        <v/>
      </c>
      <c r="U205" s="173">
        <f t="shared" si="80"/>
        <v>0</v>
      </c>
      <c r="V205" s="141" t="e">
        <f t="shared" ca="1" si="73"/>
        <v>#VALUE!</v>
      </c>
      <c r="W205" s="141" t="e">
        <f t="shared" ca="1" si="78"/>
        <v>#VALUE!</v>
      </c>
      <c r="X205" s="141" t="e">
        <f t="shared" ca="1" si="74"/>
        <v>#VALUE!</v>
      </c>
      <c r="Y205" s="177" t="e">
        <f t="shared" ca="1" si="92"/>
        <v>#VALUE!</v>
      </c>
      <c r="Z205" s="178" t="e">
        <f t="shared" ca="1" si="75"/>
        <v>#VALUE!</v>
      </c>
      <c r="AA205" s="141">
        <v>178</v>
      </c>
    </row>
    <row r="206" spans="1:27" x14ac:dyDescent="0.35">
      <c r="A206" s="175" t="str">
        <f t="shared" si="79"/>
        <v/>
      </c>
      <c r="B206" s="172">
        <f t="shared" ca="1" si="76"/>
        <v>50643</v>
      </c>
      <c r="C206" s="172" t="str">
        <f t="shared" ca="1" si="77"/>
        <v xml:space="preserve"> </v>
      </c>
      <c r="D206" s="175" t="str">
        <f t="shared" si="83"/>
        <v/>
      </c>
      <c r="E206" s="173" t="e">
        <f t="shared" ca="1" si="71"/>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84"/>
        <v/>
      </c>
      <c r="J206" s="173" t="str">
        <f t="shared" si="85"/>
        <v/>
      </c>
      <c r="K206" s="173" t="str">
        <f t="shared" si="93"/>
        <v/>
      </c>
      <c r="L206" s="173" t="str">
        <f t="shared" si="86"/>
        <v/>
      </c>
      <c r="M206" s="173" t="str">
        <f t="shared" si="88"/>
        <v/>
      </c>
      <c r="N206" s="173" t="str">
        <f t="shared" si="89"/>
        <v/>
      </c>
      <c r="O206" s="173" t="str">
        <f t="shared" si="90"/>
        <v/>
      </c>
      <c r="P206" s="173" t="str">
        <f t="shared" si="82"/>
        <v/>
      </c>
      <c r="Q206" s="173" t="str">
        <f t="shared" si="95"/>
        <v/>
      </c>
      <c r="R206" s="173" t="str">
        <f t="shared" si="87"/>
        <v/>
      </c>
      <c r="S206" s="176" t="str">
        <f>IF(A205=$D$8,XIRR(U$27:U205,C$27:C205),"")</f>
        <v/>
      </c>
      <c r="T206" s="173" t="str">
        <f t="shared" si="72"/>
        <v/>
      </c>
      <c r="U206" s="173">
        <f t="shared" si="80"/>
        <v>0</v>
      </c>
      <c r="V206" s="141" t="e">
        <f t="shared" ca="1" si="73"/>
        <v>#VALUE!</v>
      </c>
      <c r="W206" s="141" t="e">
        <f t="shared" ca="1" si="78"/>
        <v>#VALUE!</v>
      </c>
      <c r="X206" s="141" t="e">
        <f t="shared" ca="1" si="74"/>
        <v>#VALUE!</v>
      </c>
      <c r="Y206" s="177" t="e">
        <f t="shared" ca="1" si="92"/>
        <v>#VALUE!</v>
      </c>
      <c r="Z206" s="178" t="e">
        <f t="shared" ca="1" si="75"/>
        <v>#VALUE!</v>
      </c>
      <c r="AA206" s="141">
        <v>179</v>
      </c>
    </row>
    <row r="207" spans="1:27" x14ac:dyDescent="0.35">
      <c r="A207" s="175" t="str">
        <f t="shared" si="79"/>
        <v/>
      </c>
      <c r="B207" s="172">
        <f t="shared" ca="1" si="76"/>
        <v>50674</v>
      </c>
      <c r="C207" s="172" t="str">
        <f t="shared" ca="1" si="77"/>
        <v xml:space="preserve"> </v>
      </c>
      <c r="D207" s="175" t="str">
        <f t="shared" si="83"/>
        <v/>
      </c>
      <c r="E207" s="173" t="e">
        <f t="shared" ca="1" si="71"/>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84"/>
        <v/>
      </c>
      <c r="J207" s="173" t="str">
        <f t="shared" si="85"/>
        <v/>
      </c>
      <c r="K207" s="173" t="str">
        <f t="shared" si="93"/>
        <v/>
      </c>
      <c r="L207" s="173" t="str">
        <f t="shared" si="86"/>
        <v/>
      </c>
      <c r="M207" s="173" t="str">
        <f t="shared" si="88"/>
        <v/>
      </c>
      <c r="N207" s="173" t="str">
        <f t="shared" si="89"/>
        <v/>
      </c>
      <c r="O207" s="173" t="str">
        <f t="shared" si="90"/>
        <v/>
      </c>
      <c r="P207" s="173" t="str">
        <f t="shared" si="82"/>
        <v/>
      </c>
      <c r="Q207" s="173" t="str">
        <f t="shared" si="95"/>
        <v/>
      </c>
      <c r="R207" s="173" t="str">
        <f t="shared" si="87"/>
        <v/>
      </c>
      <c r="S207" s="176" t="str">
        <f>IF(A206=$D$8,XIRR(U$27:U206,C$27:C206),"")</f>
        <v/>
      </c>
      <c r="T207" s="173" t="str">
        <f t="shared" si="72"/>
        <v/>
      </c>
      <c r="U207" s="173">
        <f t="shared" si="80"/>
        <v>0</v>
      </c>
      <c r="V207" s="141" t="e">
        <f t="shared" ca="1" si="73"/>
        <v>#VALUE!</v>
      </c>
      <c r="W207" s="141" t="e">
        <f t="shared" ca="1" si="78"/>
        <v>#VALUE!</v>
      </c>
      <c r="X207" s="141" t="e">
        <f t="shared" ca="1" si="74"/>
        <v>#VALUE!</v>
      </c>
      <c r="Y207" s="177" t="e">
        <f t="shared" ca="1" si="92"/>
        <v>#VALUE!</v>
      </c>
      <c r="Z207" s="178" t="e">
        <f t="shared" ca="1" si="75"/>
        <v>#VALUE!</v>
      </c>
      <c r="AA207" s="141">
        <v>180</v>
      </c>
    </row>
    <row r="208" spans="1:27" x14ac:dyDescent="0.35">
      <c r="A208" s="175" t="str">
        <f t="shared" si="79"/>
        <v/>
      </c>
      <c r="B208" s="172">
        <f t="shared" ca="1" si="76"/>
        <v>50704</v>
      </c>
      <c r="C208" s="172" t="str">
        <f t="shared" ca="1" si="77"/>
        <v xml:space="preserve"> </v>
      </c>
      <c r="D208" s="175" t="str">
        <f t="shared" si="83"/>
        <v/>
      </c>
      <c r="E208" s="173" t="e">
        <f t="shared" ca="1" si="71"/>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84"/>
        <v/>
      </c>
      <c r="J208" s="173" t="str">
        <f t="shared" si="85"/>
        <v/>
      </c>
      <c r="K208" s="173" t="str">
        <f>IF($F$8&gt;180,($R$14),IF(A207=$F$8,K196+K184+K172+K160+K148+K136+K124+K112+K100+K88+K76+K64+K52+K40+K27,""))</f>
        <v/>
      </c>
      <c r="L208" s="173" t="str">
        <f t="shared" si="86"/>
        <v/>
      </c>
      <c r="M208" s="173" t="str">
        <f t="shared" si="88"/>
        <v/>
      </c>
      <c r="N208" s="173" t="str">
        <f t="shared" si="89"/>
        <v/>
      </c>
      <c r="O208" s="173" t="str">
        <f t="shared" si="90"/>
        <v/>
      </c>
      <c r="P208" s="173" t="str">
        <f t="shared" si="82"/>
        <v/>
      </c>
      <c r="Q208" s="173" t="str">
        <f>IF($F$8&gt;180,($S$8+$S$10),IF($A207=$F$8,$Q$40+$Q$27+$Q$52+$Q$64+$Q$76+$Q$88+$Q$100+$Q$112+$Q$124+$Q$136+$Q$148+$Q$160+$Q$172+$Q$196+$Q$184,""))</f>
        <v/>
      </c>
      <c r="R208" s="173" t="str">
        <f t="shared" si="87"/>
        <v/>
      </c>
      <c r="S208" s="176" t="str">
        <f>IF(A207=$D$8,XIRR(U$27:U207,C$27:C207),"")</f>
        <v/>
      </c>
      <c r="T208" s="173" t="str">
        <f t="shared" si="72"/>
        <v/>
      </c>
      <c r="U208" s="173">
        <f t="shared" si="80"/>
        <v>0</v>
      </c>
      <c r="V208" s="141" t="e">
        <f t="shared" ca="1" si="73"/>
        <v>#VALUE!</v>
      </c>
      <c r="W208" s="141" t="e">
        <f t="shared" ca="1" si="78"/>
        <v>#VALUE!</v>
      </c>
      <c r="X208" s="141" t="e">
        <f t="shared" ca="1" si="74"/>
        <v>#VALUE!</v>
      </c>
      <c r="Y208" s="177" t="e">
        <f t="shared" ca="1" si="92"/>
        <v>#VALUE!</v>
      </c>
      <c r="Z208" s="178" t="e">
        <f t="shared" ca="1" si="75"/>
        <v>#VALUE!</v>
      </c>
      <c r="AA208" s="141">
        <v>181</v>
      </c>
    </row>
    <row r="209" spans="1:27" x14ac:dyDescent="0.35">
      <c r="A209" s="175" t="str">
        <f t="shared" si="79"/>
        <v/>
      </c>
      <c r="B209" s="172">
        <f t="shared" ca="1" si="76"/>
        <v>50735</v>
      </c>
      <c r="C209" s="172" t="str">
        <f t="shared" ca="1" si="77"/>
        <v xml:space="preserve"> </v>
      </c>
      <c r="D209" s="175" t="str">
        <f t="shared" si="83"/>
        <v/>
      </c>
      <c r="E209" s="173" t="e">
        <f t="shared" ca="1" si="71"/>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84"/>
        <v/>
      </c>
      <c r="J209" s="173" t="str">
        <f t="shared" si="85"/>
        <v/>
      </c>
      <c r="K209" s="173" t="str">
        <f t="shared" si="93"/>
        <v/>
      </c>
      <c r="L209" s="173" t="str">
        <f t="shared" si="86"/>
        <v/>
      </c>
      <c r="M209" s="173" t="str">
        <f t="shared" si="88"/>
        <v/>
      </c>
      <c r="N209" s="173" t="str">
        <f t="shared" si="89"/>
        <v/>
      </c>
      <c r="O209" s="173" t="str">
        <f t="shared" si="90"/>
        <v/>
      </c>
      <c r="P209" s="173" t="str">
        <f t="shared" si="82"/>
        <v/>
      </c>
      <c r="Q209" s="173" t="str">
        <f t="shared" ref="Q209:Q219" si="96">IF(A208=$D$8,$Q$27,"")</f>
        <v/>
      </c>
      <c r="R209" s="173" t="str">
        <f t="shared" si="87"/>
        <v/>
      </c>
      <c r="S209" s="176" t="str">
        <f>IF(A208=$D$8,XIRR(U$27:U208,C$27:C208),"")</f>
        <v/>
      </c>
      <c r="T209" s="173" t="str">
        <f t="shared" si="72"/>
        <v/>
      </c>
      <c r="U209" s="173">
        <f t="shared" si="80"/>
        <v>0</v>
      </c>
      <c r="V209" s="141" t="e">
        <f t="shared" ca="1" si="73"/>
        <v>#VALUE!</v>
      </c>
      <c r="W209" s="141" t="e">
        <f t="shared" ca="1" si="78"/>
        <v>#VALUE!</v>
      </c>
      <c r="X209" s="141" t="e">
        <f t="shared" ca="1" si="74"/>
        <v>#VALUE!</v>
      </c>
      <c r="Y209" s="177" t="e">
        <f t="shared" ca="1" si="92"/>
        <v>#VALUE!</v>
      </c>
      <c r="Z209" s="178" t="e">
        <f t="shared" ca="1" si="75"/>
        <v>#VALUE!</v>
      </c>
      <c r="AA209" s="141">
        <v>182</v>
      </c>
    </row>
    <row r="210" spans="1:27" x14ac:dyDescent="0.35">
      <c r="A210" s="175" t="str">
        <f t="shared" si="79"/>
        <v/>
      </c>
      <c r="B210" s="172">
        <f t="shared" ca="1" si="76"/>
        <v>50765</v>
      </c>
      <c r="C210" s="172" t="str">
        <f t="shared" ca="1" si="77"/>
        <v xml:space="preserve"> </v>
      </c>
      <c r="D210" s="175" t="str">
        <f t="shared" si="83"/>
        <v/>
      </c>
      <c r="E210" s="173" t="e">
        <f t="shared" ca="1" si="71"/>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84"/>
        <v/>
      </c>
      <c r="J210" s="173" t="str">
        <f t="shared" si="85"/>
        <v/>
      </c>
      <c r="K210" s="173" t="str">
        <f t="shared" si="93"/>
        <v/>
      </c>
      <c r="L210" s="173" t="str">
        <f t="shared" si="86"/>
        <v/>
      </c>
      <c r="M210" s="173" t="str">
        <f t="shared" si="88"/>
        <v/>
      </c>
      <c r="N210" s="173" t="str">
        <f t="shared" si="89"/>
        <v/>
      </c>
      <c r="O210" s="173" t="str">
        <f t="shared" si="90"/>
        <v/>
      </c>
      <c r="P210" s="173" t="str">
        <f t="shared" si="82"/>
        <v/>
      </c>
      <c r="Q210" s="173" t="str">
        <f t="shared" si="96"/>
        <v/>
      </c>
      <c r="R210" s="173" t="str">
        <f t="shared" si="87"/>
        <v/>
      </c>
      <c r="S210" s="176" t="str">
        <f>IF(A209=$D$8,XIRR(U$27:U209,C$27:C209),"")</f>
        <v/>
      </c>
      <c r="T210" s="173" t="str">
        <f t="shared" si="72"/>
        <v/>
      </c>
      <c r="U210" s="173">
        <f t="shared" si="80"/>
        <v>0</v>
      </c>
      <c r="V210" s="141" t="e">
        <f t="shared" ca="1" si="73"/>
        <v>#VALUE!</v>
      </c>
      <c r="W210" s="141" t="e">
        <f t="shared" ca="1" si="78"/>
        <v>#VALUE!</v>
      </c>
      <c r="X210" s="141" t="e">
        <f t="shared" ca="1" si="74"/>
        <v>#VALUE!</v>
      </c>
      <c r="Y210" s="177" t="e">
        <f t="shared" ca="1" si="92"/>
        <v>#VALUE!</v>
      </c>
      <c r="Z210" s="178" t="e">
        <f t="shared" ca="1" si="75"/>
        <v>#VALUE!</v>
      </c>
      <c r="AA210" s="141">
        <v>183</v>
      </c>
    </row>
    <row r="211" spans="1:27" x14ac:dyDescent="0.35">
      <c r="A211" s="175" t="str">
        <f t="shared" si="79"/>
        <v/>
      </c>
      <c r="B211" s="172">
        <f t="shared" ca="1" si="76"/>
        <v>50796</v>
      </c>
      <c r="C211" s="172" t="str">
        <f t="shared" ca="1" si="77"/>
        <v xml:space="preserve"> </v>
      </c>
      <c r="D211" s="175" t="str">
        <f t="shared" si="83"/>
        <v/>
      </c>
      <c r="E211" s="173" t="e">
        <f t="shared" ca="1" si="71"/>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84"/>
        <v/>
      </c>
      <c r="J211" s="173" t="str">
        <f t="shared" si="85"/>
        <v/>
      </c>
      <c r="K211" s="173" t="str">
        <f t="shared" si="93"/>
        <v/>
      </c>
      <c r="L211" s="173" t="str">
        <f t="shared" si="86"/>
        <v/>
      </c>
      <c r="M211" s="173" t="str">
        <f t="shared" si="88"/>
        <v/>
      </c>
      <c r="N211" s="173" t="str">
        <f t="shared" si="89"/>
        <v/>
      </c>
      <c r="O211" s="173" t="str">
        <f t="shared" si="90"/>
        <v/>
      </c>
      <c r="P211" s="173" t="str">
        <f t="shared" si="82"/>
        <v/>
      </c>
      <c r="Q211" s="173" t="str">
        <f t="shared" si="96"/>
        <v/>
      </c>
      <c r="R211" s="173" t="str">
        <f t="shared" si="87"/>
        <v/>
      </c>
      <c r="S211" s="176" t="str">
        <f>IF(A210=$D$8,XIRR(U$27:U210,C$27:C210),"")</f>
        <v/>
      </c>
      <c r="T211" s="173" t="str">
        <f t="shared" si="72"/>
        <v/>
      </c>
      <c r="U211" s="173">
        <f t="shared" si="80"/>
        <v>0</v>
      </c>
      <c r="V211" s="141" t="e">
        <f t="shared" ca="1" si="73"/>
        <v>#VALUE!</v>
      </c>
      <c r="W211" s="141" t="e">
        <f t="shared" ca="1" si="78"/>
        <v>#VALUE!</v>
      </c>
      <c r="X211" s="141" t="e">
        <f t="shared" ca="1" si="74"/>
        <v>#VALUE!</v>
      </c>
      <c r="Y211" s="177" t="e">
        <f t="shared" ca="1" si="92"/>
        <v>#VALUE!</v>
      </c>
      <c r="Z211" s="178" t="e">
        <f t="shared" ca="1" si="75"/>
        <v>#VALUE!</v>
      </c>
      <c r="AA211" s="141">
        <v>184</v>
      </c>
    </row>
    <row r="212" spans="1:27" x14ac:dyDescent="0.35">
      <c r="A212" s="175" t="str">
        <f t="shared" si="79"/>
        <v/>
      </c>
      <c r="B212" s="172">
        <f t="shared" ca="1" si="76"/>
        <v>50827</v>
      </c>
      <c r="C212" s="172" t="str">
        <f t="shared" ca="1" si="77"/>
        <v xml:space="preserve"> </v>
      </c>
      <c r="D212" s="175" t="str">
        <f t="shared" si="83"/>
        <v/>
      </c>
      <c r="E212" s="173" t="e">
        <f t="shared" ca="1" si="71"/>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84"/>
        <v/>
      </c>
      <c r="J212" s="173" t="str">
        <f t="shared" si="85"/>
        <v/>
      </c>
      <c r="K212" s="173" t="str">
        <f t="shared" si="93"/>
        <v/>
      </c>
      <c r="L212" s="173" t="str">
        <f t="shared" si="86"/>
        <v/>
      </c>
      <c r="M212" s="173" t="str">
        <f t="shared" si="88"/>
        <v/>
      </c>
      <c r="N212" s="173" t="str">
        <f t="shared" si="89"/>
        <v/>
      </c>
      <c r="O212" s="173" t="str">
        <f t="shared" si="90"/>
        <v/>
      </c>
      <c r="P212" s="173" t="str">
        <f t="shared" si="82"/>
        <v/>
      </c>
      <c r="Q212" s="173" t="str">
        <f t="shared" si="96"/>
        <v/>
      </c>
      <c r="R212" s="173" t="str">
        <f t="shared" si="87"/>
        <v/>
      </c>
      <c r="S212" s="176" t="str">
        <f>IF(A211=$D$8,XIRR(U$27:U211,C$27:C211),"")</f>
        <v/>
      </c>
      <c r="T212" s="173" t="str">
        <f t="shared" si="72"/>
        <v/>
      </c>
      <c r="U212" s="173">
        <f t="shared" si="80"/>
        <v>0</v>
      </c>
      <c r="V212" s="141" t="e">
        <f t="shared" ca="1" si="73"/>
        <v>#VALUE!</v>
      </c>
      <c r="W212" s="141" t="e">
        <f t="shared" ca="1" si="78"/>
        <v>#VALUE!</v>
      </c>
      <c r="X212" s="141" t="e">
        <f t="shared" ca="1" si="74"/>
        <v>#VALUE!</v>
      </c>
      <c r="Y212" s="177" t="e">
        <f t="shared" ca="1" si="92"/>
        <v>#VALUE!</v>
      </c>
      <c r="Z212" s="178" t="e">
        <f t="shared" ca="1" si="75"/>
        <v>#VALUE!</v>
      </c>
      <c r="AA212" s="141">
        <v>185</v>
      </c>
    </row>
    <row r="213" spans="1:27" x14ac:dyDescent="0.35">
      <c r="A213" s="175" t="str">
        <f t="shared" si="79"/>
        <v/>
      </c>
      <c r="B213" s="172">
        <f t="shared" ca="1" si="76"/>
        <v>50855</v>
      </c>
      <c r="C213" s="172" t="str">
        <f t="shared" ca="1" si="77"/>
        <v xml:space="preserve"> </v>
      </c>
      <c r="D213" s="175" t="str">
        <f t="shared" si="83"/>
        <v/>
      </c>
      <c r="E213" s="173" t="e">
        <f t="shared" ca="1" si="71"/>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84"/>
        <v/>
      </c>
      <c r="J213" s="173" t="str">
        <f t="shared" si="85"/>
        <v/>
      </c>
      <c r="K213" s="173" t="str">
        <f t="shared" si="93"/>
        <v/>
      </c>
      <c r="L213" s="173" t="str">
        <f t="shared" si="86"/>
        <v/>
      </c>
      <c r="M213" s="173" t="str">
        <f t="shared" si="88"/>
        <v/>
      </c>
      <c r="N213" s="173" t="str">
        <f t="shared" si="89"/>
        <v/>
      </c>
      <c r="O213" s="173" t="str">
        <f t="shared" si="90"/>
        <v/>
      </c>
      <c r="P213" s="173" t="str">
        <f t="shared" si="82"/>
        <v/>
      </c>
      <c r="Q213" s="173" t="str">
        <f t="shared" si="96"/>
        <v/>
      </c>
      <c r="R213" s="173" t="str">
        <f t="shared" si="87"/>
        <v/>
      </c>
      <c r="S213" s="176" t="str">
        <f>IF(A212=$D$8,XIRR(U$27:U212,C$27:C212),"")</f>
        <v/>
      </c>
      <c r="T213" s="173" t="str">
        <f t="shared" si="72"/>
        <v/>
      </c>
      <c r="U213" s="173">
        <f t="shared" si="80"/>
        <v>0</v>
      </c>
      <c r="V213" s="141" t="e">
        <f t="shared" ca="1" si="73"/>
        <v>#VALUE!</v>
      </c>
      <c r="W213" s="141" t="e">
        <f t="shared" ca="1" si="78"/>
        <v>#VALUE!</v>
      </c>
      <c r="X213" s="141" t="e">
        <f t="shared" ca="1" si="74"/>
        <v>#VALUE!</v>
      </c>
      <c r="Y213" s="177" t="e">
        <f t="shared" ca="1" si="92"/>
        <v>#VALUE!</v>
      </c>
      <c r="Z213" s="178" t="e">
        <f t="shared" ca="1" si="75"/>
        <v>#VALUE!</v>
      </c>
      <c r="AA213" s="141">
        <v>186</v>
      </c>
    </row>
    <row r="214" spans="1:27" x14ac:dyDescent="0.35">
      <c r="A214" s="175" t="str">
        <f t="shared" si="79"/>
        <v/>
      </c>
      <c r="B214" s="172">
        <f t="shared" ca="1" si="76"/>
        <v>50886</v>
      </c>
      <c r="C214" s="172" t="str">
        <f t="shared" ca="1" si="77"/>
        <v xml:space="preserve"> </v>
      </c>
      <c r="D214" s="175" t="str">
        <f t="shared" si="83"/>
        <v/>
      </c>
      <c r="E214" s="173" t="e">
        <f t="shared" ca="1" si="71"/>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84"/>
        <v/>
      </c>
      <c r="J214" s="173" t="str">
        <f t="shared" si="85"/>
        <v/>
      </c>
      <c r="K214" s="173" t="str">
        <f t="shared" si="93"/>
        <v/>
      </c>
      <c r="L214" s="173" t="str">
        <f t="shared" si="86"/>
        <v/>
      </c>
      <c r="M214" s="173" t="str">
        <f t="shared" si="88"/>
        <v/>
      </c>
      <c r="N214" s="173" t="str">
        <f t="shared" si="89"/>
        <v/>
      </c>
      <c r="O214" s="173" t="str">
        <f t="shared" si="90"/>
        <v/>
      </c>
      <c r="P214" s="173" t="str">
        <f t="shared" si="82"/>
        <v/>
      </c>
      <c r="Q214" s="173" t="str">
        <f t="shared" si="96"/>
        <v/>
      </c>
      <c r="R214" s="173" t="str">
        <f t="shared" si="87"/>
        <v/>
      </c>
      <c r="S214" s="176" t="str">
        <f>IF(A213=$D$8,XIRR(U$27:U213,C$27:C213),"")</f>
        <v/>
      </c>
      <c r="T214" s="173" t="str">
        <f t="shared" si="72"/>
        <v/>
      </c>
      <c r="U214" s="173">
        <f t="shared" si="80"/>
        <v>0</v>
      </c>
      <c r="V214" s="141" t="e">
        <f t="shared" ca="1" si="73"/>
        <v>#VALUE!</v>
      </c>
      <c r="W214" s="141" t="e">
        <f t="shared" ca="1" si="78"/>
        <v>#VALUE!</v>
      </c>
      <c r="X214" s="141" t="e">
        <f t="shared" ca="1" si="74"/>
        <v>#VALUE!</v>
      </c>
      <c r="Y214" s="177" t="e">
        <f t="shared" ca="1" si="92"/>
        <v>#VALUE!</v>
      </c>
      <c r="Z214" s="178" t="e">
        <f t="shared" ca="1" si="75"/>
        <v>#VALUE!</v>
      </c>
      <c r="AA214" s="141">
        <v>187</v>
      </c>
    </row>
    <row r="215" spans="1:27" x14ac:dyDescent="0.35">
      <c r="A215" s="175" t="str">
        <f t="shared" si="79"/>
        <v/>
      </c>
      <c r="B215" s="172">
        <f t="shared" ca="1" si="76"/>
        <v>50916</v>
      </c>
      <c r="C215" s="172" t="str">
        <f t="shared" ca="1" si="77"/>
        <v xml:space="preserve"> </v>
      </c>
      <c r="D215" s="175" t="str">
        <f t="shared" si="83"/>
        <v/>
      </c>
      <c r="E215" s="173" t="e">
        <f t="shared" ca="1" si="71"/>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84"/>
        <v/>
      </c>
      <c r="J215" s="173" t="str">
        <f t="shared" si="85"/>
        <v/>
      </c>
      <c r="K215" s="173" t="str">
        <f t="shared" si="93"/>
        <v/>
      </c>
      <c r="L215" s="173" t="str">
        <f t="shared" si="86"/>
        <v/>
      </c>
      <c r="M215" s="173" t="str">
        <f t="shared" si="88"/>
        <v/>
      </c>
      <c r="N215" s="173" t="str">
        <f t="shared" si="89"/>
        <v/>
      </c>
      <c r="O215" s="173" t="str">
        <f t="shared" si="90"/>
        <v/>
      </c>
      <c r="P215" s="173" t="str">
        <f t="shared" si="82"/>
        <v/>
      </c>
      <c r="Q215" s="173" t="str">
        <f t="shared" si="96"/>
        <v/>
      </c>
      <c r="R215" s="173" t="str">
        <f t="shared" si="87"/>
        <v/>
      </c>
      <c r="S215" s="176" t="str">
        <f>IF(A214=$D$8,XIRR(U$27:U214,C$27:C214),"")</f>
        <v/>
      </c>
      <c r="T215" s="173" t="str">
        <f t="shared" si="72"/>
        <v/>
      </c>
      <c r="U215" s="173">
        <f t="shared" si="80"/>
        <v>0</v>
      </c>
      <c r="V215" s="141" t="e">
        <f t="shared" ca="1" si="73"/>
        <v>#VALUE!</v>
      </c>
      <c r="W215" s="141" t="e">
        <f t="shared" ca="1" si="78"/>
        <v>#VALUE!</v>
      </c>
      <c r="X215" s="141" t="e">
        <f t="shared" ca="1" si="74"/>
        <v>#VALUE!</v>
      </c>
      <c r="Y215" s="177" t="e">
        <f t="shared" ca="1" si="92"/>
        <v>#VALUE!</v>
      </c>
      <c r="Z215" s="178" t="e">
        <f t="shared" ca="1" si="75"/>
        <v>#VALUE!</v>
      </c>
      <c r="AA215" s="141">
        <v>188</v>
      </c>
    </row>
    <row r="216" spans="1:27" x14ac:dyDescent="0.35">
      <c r="A216" s="175" t="str">
        <f t="shared" si="79"/>
        <v/>
      </c>
      <c r="B216" s="172">
        <f t="shared" ca="1" si="76"/>
        <v>50947</v>
      </c>
      <c r="C216" s="172" t="str">
        <f t="shared" ca="1" si="77"/>
        <v xml:space="preserve"> </v>
      </c>
      <c r="D216" s="175" t="str">
        <f t="shared" si="83"/>
        <v/>
      </c>
      <c r="E216" s="173" t="e">
        <f t="shared" ca="1" si="71"/>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84"/>
        <v/>
      </c>
      <c r="J216" s="173" t="str">
        <f t="shared" si="85"/>
        <v/>
      </c>
      <c r="K216" s="173" t="str">
        <f t="shared" si="93"/>
        <v/>
      </c>
      <c r="L216" s="173" t="str">
        <f t="shared" si="86"/>
        <v/>
      </c>
      <c r="M216" s="173" t="str">
        <f t="shared" si="88"/>
        <v/>
      </c>
      <c r="N216" s="173" t="str">
        <f t="shared" si="89"/>
        <v/>
      </c>
      <c r="O216" s="173" t="str">
        <f t="shared" si="90"/>
        <v/>
      </c>
      <c r="P216" s="173" t="str">
        <f t="shared" si="82"/>
        <v/>
      </c>
      <c r="Q216" s="173" t="str">
        <f t="shared" si="96"/>
        <v/>
      </c>
      <c r="R216" s="173" t="str">
        <f t="shared" si="87"/>
        <v/>
      </c>
      <c r="S216" s="176" t="str">
        <f>IF(A215=$D$8,XIRR(U$27:U215,C$27:C215),"")</f>
        <v/>
      </c>
      <c r="T216" s="173" t="str">
        <f t="shared" si="72"/>
        <v/>
      </c>
      <c r="U216" s="173">
        <f t="shared" si="80"/>
        <v>0</v>
      </c>
      <c r="V216" s="141" t="e">
        <f t="shared" ca="1" si="73"/>
        <v>#VALUE!</v>
      </c>
      <c r="W216" s="141" t="e">
        <f t="shared" ca="1" si="78"/>
        <v>#VALUE!</v>
      </c>
      <c r="X216" s="141" t="e">
        <f t="shared" ca="1" si="74"/>
        <v>#VALUE!</v>
      </c>
      <c r="Y216" s="177" t="e">
        <f t="shared" ca="1" si="92"/>
        <v>#VALUE!</v>
      </c>
      <c r="Z216" s="178" t="e">
        <f t="shared" ca="1" si="75"/>
        <v>#VALUE!</v>
      </c>
      <c r="AA216" s="141">
        <v>189</v>
      </c>
    </row>
    <row r="217" spans="1:27" x14ac:dyDescent="0.35">
      <c r="A217" s="175" t="str">
        <f t="shared" si="79"/>
        <v/>
      </c>
      <c r="B217" s="172">
        <f t="shared" ca="1" si="76"/>
        <v>50977</v>
      </c>
      <c r="C217" s="172" t="str">
        <f t="shared" ca="1" si="77"/>
        <v xml:space="preserve"> </v>
      </c>
      <c r="D217" s="175" t="str">
        <f t="shared" si="83"/>
        <v/>
      </c>
      <c r="E217" s="173" t="e">
        <f t="shared" ca="1" si="71"/>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84"/>
        <v/>
      </c>
      <c r="J217" s="173" t="str">
        <f t="shared" si="85"/>
        <v/>
      </c>
      <c r="K217" s="173" t="str">
        <f t="shared" si="93"/>
        <v/>
      </c>
      <c r="L217" s="173" t="str">
        <f t="shared" si="86"/>
        <v/>
      </c>
      <c r="M217" s="173" t="str">
        <f t="shared" si="88"/>
        <v/>
      </c>
      <c r="N217" s="173" t="str">
        <f t="shared" si="89"/>
        <v/>
      </c>
      <c r="O217" s="173" t="str">
        <f t="shared" si="90"/>
        <v/>
      </c>
      <c r="P217" s="173" t="str">
        <f t="shared" si="82"/>
        <v/>
      </c>
      <c r="Q217" s="173" t="str">
        <f t="shared" si="96"/>
        <v/>
      </c>
      <c r="R217" s="173" t="str">
        <f t="shared" si="87"/>
        <v/>
      </c>
      <c r="S217" s="176" t="str">
        <f>IF(A216=$D$8,XIRR(U$27:U216,C$27:C216),"")</f>
        <v/>
      </c>
      <c r="T217" s="173" t="str">
        <f t="shared" si="72"/>
        <v/>
      </c>
      <c r="U217" s="173">
        <f t="shared" si="80"/>
        <v>0</v>
      </c>
      <c r="V217" s="141" t="e">
        <f t="shared" ca="1" si="73"/>
        <v>#VALUE!</v>
      </c>
      <c r="W217" s="141" t="e">
        <f t="shared" ca="1" si="78"/>
        <v>#VALUE!</v>
      </c>
      <c r="X217" s="141" t="e">
        <f t="shared" ca="1" si="74"/>
        <v>#VALUE!</v>
      </c>
      <c r="Y217" s="177" t="e">
        <f t="shared" ca="1" si="92"/>
        <v>#VALUE!</v>
      </c>
      <c r="Z217" s="178" t="e">
        <f t="shared" ca="1" si="75"/>
        <v>#VALUE!</v>
      </c>
      <c r="AA217" s="141">
        <v>190</v>
      </c>
    </row>
    <row r="218" spans="1:27" x14ac:dyDescent="0.35">
      <c r="A218" s="175" t="str">
        <f t="shared" si="79"/>
        <v/>
      </c>
      <c r="B218" s="172">
        <f t="shared" ca="1" si="76"/>
        <v>51008</v>
      </c>
      <c r="C218" s="172" t="str">
        <f t="shared" ca="1" si="77"/>
        <v xml:space="preserve"> </v>
      </c>
      <c r="D218" s="175" t="str">
        <f t="shared" si="83"/>
        <v/>
      </c>
      <c r="E218" s="173" t="e">
        <f t="shared" ca="1" si="71"/>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84"/>
        <v/>
      </c>
      <c r="J218" s="173" t="str">
        <f t="shared" si="85"/>
        <v/>
      </c>
      <c r="K218" s="173" t="str">
        <f t="shared" si="93"/>
        <v/>
      </c>
      <c r="L218" s="173" t="str">
        <f t="shared" si="86"/>
        <v/>
      </c>
      <c r="M218" s="173" t="str">
        <f t="shared" si="88"/>
        <v/>
      </c>
      <c r="N218" s="173" t="str">
        <f t="shared" si="89"/>
        <v/>
      </c>
      <c r="O218" s="173" t="str">
        <f t="shared" si="90"/>
        <v/>
      </c>
      <c r="P218" s="173" t="str">
        <f t="shared" si="82"/>
        <v/>
      </c>
      <c r="Q218" s="173" t="str">
        <f t="shared" si="96"/>
        <v/>
      </c>
      <c r="R218" s="173" t="str">
        <f t="shared" si="87"/>
        <v/>
      </c>
      <c r="S218" s="176" t="str">
        <f>IF(A217=$D$8,XIRR(U$27:U217,C$27:C217),"")</f>
        <v/>
      </c>
      <c r="T218" s="173" t="str">
        <f t="shared" si="72"/>
        <v/>
      </c>
      <c r="U218" s="173">
        <f t="shared" si="80"/>
        <v>0</v>
      </c>
      <c r="V218" s="141" t="e">
        <f t="shared" ca="1" si="73"/>
        <v>#VALUE!</v>
      </c>
      <c r="W218" s="141" t="e">
        <f t="shared" ca="1" si="78"/>
        <v>#VALUE!</v>
      </c>
      <c r="X218" s="141" t="e">
        <f t="shared" ca="1" si="74"/>
        <v>#VALUE!</v>
      </c>
      <c r="Y218" s="177" t="e">
        <f t="shared" ca="1" si="92"/>
        <v>#VALUE!</v>
      </c>
      <c r="Z218" s="178" t="e">
        <f t="shared" ca="1" si="75"/>
        <v>#VALUE!</v>
      </c>
      <c r="AA218" s="141">
        <v>191</v>
      </c>
    </row>
    <row r="219" spans="1:27" x14ac:dyDescent="0.35">
      <c r="A219" s="175" t="str">
        <f t="shared" si="79"/>
        <v/>
      </c>
      <c r="B219" s="172">
        <f t="shared" ca="1" si="76"/>
        <v>51039</v>
      </c>
      <c r="C219" s="172" t="str">
        <f t="shared" ca="1" si="77"/>
        <v xml:space="preserve"> </v>
      </c>
      <c r="D219" s="175" t="str">
        <f t="shared" si="83"/>
        <v/>
      </c>
      <c r="E219" s="173" t="e">
        <f t="shared" ca="1" si="71"/>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84"/>
        <v/>
      </c>
      <c r="J219" s="173" t="str">
        <f t="shared" si="85"/>
        <v/>
      </c>
      <c r="K219" s="173" t="str">
        <f t="shared" si="93"/>
        <v/>
      </c>
      <c r="L219" s="173" t="str">
        <f t="shared" si="86"/>
        <v/>
      </c>
      <c r="M219" s="173" t="str">
        <f t="shared" si="88"/>
        <v/>
      </c>
      <c r="N219" s="173" t="str">
        <f t="shared" si="89"/>
        <v/>
      </c>
      <c r="O219" s="173" t="str">
        <f t="shared" si="90"/>
        <v/>
      </c>
      <c r="P219" s="173" t="str">
        <f t="shared" si="82"/>
        <v/>
      </c>
      <c r="Q219" s="173" t="str">
        <f t="shared" si="96"/>
        <v/>
      </c>
      <c r="R219" s="173" t="str">
        <f t="shared" si="87"/>
        <v/>
      </c>
      <c r="S219" s="176" t="str">
        <f>IF(A218=$D$8,XIRR(U$27:U218,C$27:C218),"")</f>
        <v/>
      </c>
      <c r="T219" s="173" t="str">
        <f t="shared" si="72"/>
        <v/>
      </c>
      <c r="U219" s="173">
        <f t="shared" si="80"/>
        <v>0</v>
      </c>
      <c r="V219" s="141" t="e">
        <f t="shared" ca="1" si="73"/>
        <v>#VALUE!</v>
      </c>
      <c r="W219" s="141" t="e">
        <f t="shared" ca="1" si="78"/>
        <v>#VALUE!</v>
      </c>
      <c r="X219" s="141" t="e">
        <f t="shared" ca="1" si="74"/>
        <v>#VALUE!</v>
      </c>
      <c r="Y219" s="177" t="e">
        <f t="shared" ca="1" si="92"/>
        <v>#VALUE!</v>
      </c>
      <c r="Z219" s="178" t="e">
        <f t="shared" ca="1" si="75"/>
        <v>#VALUE!</v>
      </c>
      <c r="AA219" s="141">
        <v>192</v>
      </c>
    </row>
    <row r="220" spans="1:27" x14ac:dyDescent="0.35">
      <c r="A220" s="175" t="str">
        <f t="shared" si="79"/>
        <v/>
      </c>
      <c r="B220" s="172">
        <f t="shared" ca="1" si="76"/>
        <v>51069</v>
      </c>
      <c r="C220" s="172" t="str">
        <f t="shared" ca="1" si="77"/>
        <v xml:space="preserve"> </v>
      </c>
      <c r="D220" s="175" t="str">
        <f t="shared" si="83"/>
        <v/>
      </c>
      <c r="E220" s="173" t="e">
        <f t="shared" ref="E220:E267" ca="1" si="97">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84"/>
        <v/>
      </c>
      <c r="J220" s="173" t="str">
        <f t="shared" si="85"/>
        <v/>
      </c>
      <c r="K220" s="173" t="str">
        <f>IF($F$8&gt;192,($R$14),IF(A219=$F$8,K208+K196+K184+K172+K160+K148+K136+K124+K112+K100+K88+K76+K64+K52+K40+K27,""))</f>
        <v/>
      </c>
      <c r="L220" s="173" t="str">
        <f t="shared" si="86"/>
        <v/>
      </c>
      <c r="M220" s="173" t="str">
        <f t="shared" si="88"/>
        <v/>
      </c>
      <c r="N220" s="173" t="str">
        <f t="shared" si="89"/>
        <v/>
      </c>
      <c r="O220" s="173" t="str">
        <f t="shared" si="90"/>
        <v/>
      </c>
      <c r="P220" s="173" t="str">
        <f t="shared" si="82"/>
        <v/>
      </c>
      <c r="Q220" s="173" t="str">
        <f>IF($F$8&gt;192,($S$8+$S$10),IF($A219=$F$8,$Q$40+$Q$27+$Q$52+$Q$64+$Q$76+$Q$88+$Q$100+$Q$112+$Q$124+$Q$136+$Q$148+$Q$160+$Q$172+$Q$196+$Q$184+$Q$208,""))</f>
        <v/>
      </c>
      <c r="R220" s="173" t="str">
        <f t="shared" si="87"/>
        <v/>
      </c>
      <c r="S220" s="176" t="str">
        <f>IF(A219=$D$8,XIRR(U$27:U219,C$27:C219),"")</f>
        <v/>
      </c>
      <c r="T220" s="173" t="str">
        <f t="shared" ref="T220:T267" si="98">IF(A219=$D$8,G220+P220+H220+I220+J220+K220+L220+Q220+R220,"")</f>
        <v/>
      </c>
      <c r="U220" s="173">
        <f t="shared" si="80"/>
        <v>0</v>
      </c>
      <c r="V220" s="141" t="e">
        <f t="shared" ref="V220:V268" ca="1" si="99">IF(C220="","",YEAR(C220))</f>
        <v>#VALUE!</v>
      </c>
      <c r="W220" s="141" t="e">
        <f t="shared" ca="1" si="78"/>
        <v>#VALUE!</v>
      </c>
      <c r="X220" s="141" t="e">
        <f t="shared" ref="X220:X267" ca="1" si="100">IF(C220="","",DAY(C220))</f>
        <v>#VALUE!</v>
      </c>
      <c r="Y220" s="177" t="e">
        <f t="shared" ca="1" si="92"/>
        <v>#VALUE!</v>
      </c>
      <c r="Z220" s="178" t="e">
        <f t="shared" ref="Z220:Z267" ca="1" si="101">D220-Y220</f>
        <v>#VALUE!</v>
      </c>
      <c r="AA220" s="141">
        <v>193</v>
      </c>
    </row>
    <row r="221" spans="1:27" x14ac:dyDescent="0.35">
      <c r="A221" s="175" t="str">
        <f t="shared" si="79"/>
        <v/>
      </c>
      <c r="B221" s="172">
        <f t="shared" ref="B221:B267" ca="1" si="102">EDATE($B$27,AA221)</f>
        <v>51100</v>
      </c>
      <c r="C221" s="172" t="str">
        <f t="shared" ref="C221:C266" ca="1" si="103">IF(B221=$D$10,B221-1,(IF(B221&gt;$D$10," ",B221)))</f>
        <v xml:space="preserve"> </v>
      </c>
      <c r="D221" s="175" t="str">
        <f t="shared" si="83"/>
        <v/>
      </c>
      <c r="E221" s="173" t="e">
        <f t="shared" ca="1" si="97"/>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84"/>
        <v/>
      </c>
      <c r="J221" s="173" t="str">
        <f t="shared" si="85"/>
        <v/>
      </c>
      <c r="K221" s="173" t="str">
        <f t="shared" si="93"/>
        <v/>
      </c>
      <c r="L221" s="173" t="str">
        <f t="shared" si="86"/>
        <v/>
      </c>
      <c r="M221" s="173" t="str">
        <f t="shared" si="88"/>
        <v/>
      </c>
      <c r="N221" s="173" t="str">
        <f t="shared" si="89"/>
        <v/>
      </c>
      <c r="O221" s="173" t="str">
        <f t="shared" si="90"/>
        <v/>
      </c>
      <c r="P221" s="173" t="str">
        <f t="shared" si="82"/>
        <v/>
      </c>
      <c r="Q221" s="173" t="str">
        <f t="shared" ref="Q221:Q231" si="104">IF(A220=$D$8,$Q$27,"")</f>
        <v/>
      </c>
      <c r="R221" s="173" t="str">
        <f t="shared" si="87"/>
        <v/>
      </c>
      <c r="S221" s="176" t="str">
        <f>IF(A220=$D$8,XIRR(U$27:U220,C$27:C220),"")</f>
        <v/>
      </c>
      <c r="T221" s="173" t="str">
        <f t="shared" si="98"/>
        <v/>
      </c>
      <c r="U221" s="173">
        <f t="shared" si="80"/>
        <v>0</v>
      </c>
      <c r="V221" s="141" t="e">
        <f t="shared" ca="1" si="99"/>
        <v>#VALUE!</v>
      </c>
      <c r="W221" s="141" t="e">
        <f t="shared" ref="W221:W267" ca="1" si="105">IF(OR(V221=2024,V221=2028,V221=2016,V221=2020,V221=2024,V221=2028,V221=2032,V221=2036,V221=2040),366,365)</f>
        <v>#VALUE!</v>
      </c>
      <c r="X221" s="141" t="e">
        <f t="shared" ca="1" si="100"/>
        <v>#VALUE!</v>
      </c>
      <c r="Y221" s="177" t="e">
        <f t="shared" ca="1" si="92"/>
        <v>#VALUE!</v>
      </c>
      <c r="Z221" s="178" t="e">
        <f t="shared" ca="1" si="101"/>
        <v>#VALUE!</v>
      </c>
      <c r="AA221" s="141">
        <v>194</v>
      </c>
    </row>
    <row r="222" spans="1:27" x14ac:dyDescent="0.35">
      <c r="A222" s="175" t="str">
        <f t="shared" ref="A222:A279" si="106">IF(A221&lt;$D$8,A221+1,"")</f>
        <v/>
      </c>
      <c r="B222" s="172">
        <f t="shared" ca="1" si="102"/>
        <v>51130</v>
      </c>
      <c r="C222" s="172" t="str">
        <f t="shared" ca="1" si="103"/>
        <v xml:space="preserve"> </v>
      </c>
      <c r="D222" s="175" t="str">
        <f t="shared" si="83"/>
        <v/>
      </c>
      <c r="E222" s="173" t="e">
        <f t="shared" ca="1" si="97"/>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84"/>
        <v/>
      </c>
      <c r="J222" s="173" t="str">
        <f t="shared" si="85"/>
        <v/>
      </c>
      <c r="K222" s="173" t="str">
        <f t="shared" si="93"/>
        <v/>
      </c>
      <c r="L222" s="173" t="str">
        <f t="shared" si="86"/>
        <v/>
      </c>
      <c r="M222" s="173" t="str">
        <f t="shared" si="88"/>
        <v/>
      </c>
      <c r="N222" s="173" t="str">
        <f t="shared" si="89"/>
        <v/>
      </c>
      <c r="O222" s="173" t="str">
        <f t="shared" si="90"/>
        <v/>
      </c>
      <c r="P222" s="173" t="str">
        <f t="shared" si="82"/>
        <v/>
      </c>
      <c r="Q222" s="173" t="str">
        <f t="shared" si="104"/>
        <v/>
      </c>
      <c r="R222" s="173" t="str">
        <f t="shared" si="87"/>
        <v/>
      </c>
      <c r="S222" s="176" t="str">
        <f>IF(A221=$D$8,XIRR(U$27:U221,C$27:C221),"")</f>
        <v/>
      </c>
      <c r="T222" s="173" t="str">
        <f t="shared" si="98"/>
        <v/>
      </c>
      <c r="U222" s="173">
        <f t="shared" ref="U222:U267" si="107">SUM(G222:T222)</f>
        <v>0</v>
      </c>
      <c r="V222" s="141" t="e">
        <f t="shared" ca="1" si="99"/>
        <v>#VALUE!</v>
      </c>
      <c r="W222" s="141" t="e">
        <f t="shared" ca="1" si="105"/>
        <v>#VALUE!</v>
      </c>
      <c r="X222" s="141" t="e">
        <f t="shared" ca="1" si="100"/>
        <v>#VALUE!</v>
      </c>
      <c r="Y222" s="177" t="e">
        <f t="shared" ca="1" si="92"/>
        <v>#VALUE!</v>
      </c>
      <c r="Z222" s="178" t="e">
        <f t="shared" ca="1" si="101"/>
        <v>#VALUE!</v>
      </c>
      <c r="AA222" s="141">
        <v>195</v>
      </c>
    </row>
    <row r="223" spans="1:27" x14ac:dyDescent="0.35">
      <c r="A223" s="175" t="str">
        <f t="shared" si="106"/>
        <v/>
      </c>
      <c r="B223" s="172">
        <f t="shared" ca="1" si="102"/>
        <v>51161</v>
      </c>
      <c r="C223" s="172" t="str">
        <f t="shared" ca="1" si="103"/>
        <v xml:space="preserve"> </v>
      </c>
      <c r="D223" s="175" t="str">
        <f t="shared" si="83"/>
        <v/>
      </c>
      <c r="E223" s="173" t="e">
        <f t="shared" ca="1" si="97"/>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84"/>
        <v/>
      </c>
      <c r="J223" s="173" t="str">
        <f t="shared" si="85"/>
        <v/>
      </c>
      <c r="K223" s="173" t="str">
        <f t="shared" si="93"/>
        <v/>
      </c>
      <c r="L223" s="173" t="str">
        <f t="shared" si="86"/>
        <v/>
      </c>
      <c r="M223" s="173" t="str">
        <f t="shared" si="88"/>
        <v/>
      </c>
      <c r="N223" s="173" t="str">
        <f t="shared" si="89"/>
        <v/>
      </c>
      <c r="O223" s="173" t="str">
        <f t="shared" si="90"/>
        <v/>
      </c>
      <c r="P223" s="173" t="str">
        <f t="shared" si="82"/>
        <v/>
      </c>
      <c r="Q223" s="173" t="str">
        <f t="shared" si="104"/>
        <v/>
      </c>
      <c r="R223" s="173" t="str">
        <f t="shared" si="87"/>
        <v/>
      </c>
      <c r="S223" s="176" t="str">
        <f>IF(A222=$D$8,XIRR(U$27:U222,C$27:C222),"")</f>
        <v/>
      </c>
      <c r="T223" s="173" t="str">
        <f t="shared" si="98"/>
        <v/>
      </c>
      <c r="U223" s="173">
        <f t="shared" si="107"/>
        <v>0</v>
      </c>
      <c r="V223" s="141" t="e">
        <f t="shared" ca="1" si="99"/>
        <v>#VALUE!</v>
      </c>
      <c r="W223" s="141" t="e">
        <f t="shared" ca="1" si="105"/>
        <v>#VALUE!</v>
      </c>
      <c r="X223" s="141" t="e">
        <f t="shared" ca="1" si="100"/>
        <v>#VALUE!</v>
      </c>
      <c r="Y223" s="177" t="e">
        <f t="shared" ca="1" si="92"/>
        <v>#VALUE!</v>
      </c>
      <c r="Z223" s="178" t="e">
        <f t="shared" ca="1" si="101"/>
        <v>#VALUE!</v>
      </c>
      <c r="AA223" s="141">
        <v>196</v>
      </c>
    </row>
    <row r="224" spans="1:27" x14ac:dyDescent="0.35">
      <c r="A224" s="175" t="str">
        <f t="shared" si="106"/>
        <v/>
      </c>
      <c r="B224" s="172">
        <f t="shared" ca="1" si="102"/>
        <v>51192</v>
      </c>
      <c r="C224" s="172" t="str">
        <f t="shared" ca="1" si="103"/>
        <v xml:space="preserve"> </v>
      </c>
      <c r="D224" s="175" t="str">
        <f t="shared" si="83"/>
        <v/>
      </c>
      <c r="E224" s="173" t="e">
        <f t="shared" ca="1" si="97"/>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84"/>
        <v/>
      </c>
      <c r="J224" s="173" t="str">
        <f t="shared" si="85"/>
        <v/>
      </c>
      <c r="K224" s="173" t="str">
        <f t="shared" si="93"/>
        <v/>
      </c>
      <c r="L224" s="173" t="str">
        <f t="shared" si="86"/>
        <v/>
      </c>
      <c r="M224" s="173" t="str">
        <f t="shared" si="88"/>
        <v/>
      </c>
      <c r="N224" s="173" t="str">
        <f t="shared" si="89"/>
        <v/>
      </c>
      <c r="O224" s="173" t="str">
        <f t="shared" si="90"/>
        <v/>
      </c>
      <c r="P224" s="173" t="str">
        <f t="shared" si="82"/>
        <v/>
      </c>
      <c r="Q224" s="173" t="str">
        <f t="shared" si="104"/>
        <v/>
      </c>
      <c r="R224" s="173" t="str">
        <f t="shared" si="87"/>
        <v/>
      </c>
      <c r="S224" s="176" t="str">
        <f>IF(A223=$D$8,XIRR(U$27:U223,C$27:C223),"")</f>
        <v/>
      </c>
      <c r="T224" s="173" t="str">
        <f t="shared" si="98"/>
        <v/>
      </c>
      <c r="U224" s="173">
        <f t="shared" si="107"/>
        <v>0</v>
      </c>
      <c r="V224" s="141" t="e">
        <f t="shared" ca="1" si="99"/>
        <v>#VALUE!</v>
      </c>
      <c r="W224" s="141" t="e">
        <f t="shared" ca="1" si="105"/>
        <v>#VALUE!</v>
      </c>
      <c r="X224" s="141" t="e">
        <f t="shared" ca="1" si="100"/>
        <v>#VALUE!</v>
      </c>
      <c r="Y224" s="177" t="e">
        <f t="shared" ca="1" si="92"/>
        <v>#VALUE!</v>
      </c>
      <c r="Z224" s="178" t="e">
        <f t="shared" ca="1" si="101"/>
        <v>#VALUE!</v>
      </c>
      <c r="AA224" s="141">
        <v>197</v>
      </c>
    </row>
    <row r="225" spans="1:27" x14ac:dyDescent="0.35">
      <c r="A225" s="175" t="str">
        <f t="shared" si="106"/>
        <v/>
      </c>
      <c r="B225" s="172">
        <f t="shared" ca="1" si="102"/>
        <v>51221</v>
      </c>
      <c r="C225" s="172" t="str">
        <f t="shared" ca="1" si="103"/>
        <v xml:space="preserve"> </v>
      </c>
      <c r="D225" s="175" t="str">
        <f t="shared" si="83"/>
        <v/>
      </c>
      <c r="E225" s="173" t="e">
        <f t="shared" ca="1" si="97"/>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84"/>
        <v/>
      </c>
      <c r="J225" s="173" t="str">
        <f t="shared" si="85"/>
        <v/>
      </c>
      <c r="K225" s="173" t="str">
        <f t="shared" si="93"/>
        <v/>
      </c>
      <c r="L225" s="173" t="str">
        <f t="shared" si="86"/>
        <v/>
      </c>
      <c r="M225" s="173" t="str">
        <f t="shared" si="88"/>
        <v/>
      </c>
      <c r="N225" s="173" t="str">
        <f t="shared" si="89"/>
        <v/>
      </c>
      <c r="O225" s="173" t="str">
        <f t="shared" si="90"/>
        <v/>
      </c>
      <c r="P225" s="173" t="str">
        <f t="shared" si="82"/>
        <v/>
      </c>
      <c r="Q225" s="173" t="str">
        <f t="shared" si="104"/>
        <v/>
      </c>
      <c r="R225" s="173" t="str">
        <f t="shared" si="87"/>
        <v/>
      </c>
      <c r="S225" s="176" t="str">
        <f>IF(A224=$D$8,XIRR(U$27:U224,C$27:C224),"")</f>
        <v/>
      </c>
      <c r="T225" s="173" t="str">
        <f t="shared" si="98"/>
        <v/>
      </c>
      <c r="U225" s="173">
        <f t="shared" si="107"/>
        <v>0</v>
      </c>
      <c r="V225" s="141" t="e">
        <f t="shared" ca="1" si="99"/>
        <v>#VALUE!</v>
      </c>
      <c r="W225" s="141" t="e">
        <f t="shared" ca="1" si="105"/>
        <v>#VALUE!</v>
      </c>
      <c r="X225" s="141" t="e">
        <f t="shared" ca="1" si="100"/>
        <v>#VALUE!</v>
      </c>
      <c r="Y225" s="177" t="e">
        <f t="shared" ca="1" si="92"/>
        <v>#VALUE!</v>
      </c>
      <c r="Z225" s="178" t="e">
        <f t="shared" ca="1" si="101"/>
        <v>#VALUE!</v>
      </c>
      <c r="AA225" s="141">
        <v>198</v>
      </c>
    </row>
    <row r="226" spans="1:27" x14ac:dyDescent="0.35">
      <c r="A226" s="175" t="str">
        <f t="shared" si="106"/>
        <v/>
      </c>
      <c r="B226" s="172">
        <f t="shared" ca="1" si="102"/>
        <v>51252</v>
      </c>
      <c r="C226" s="172" t="str">
        <f t="shared" ca="1" si="103"/>
        <v xml:space="preserve"> </v>
      </c>
      <c r="D226" s="175" t="str">
        <f t="shared" si="83"/>
        <v/>
      </c>
      <c r="E226" s="173" t="e">
        <f t="shared" ca="1" si="97"/>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84"/>
        <v/>
      </c>
      <c r="J226" s="173" t="str">
        <f t="shared" si="85"/>
        <v/>
      </c>
      <c r="K226" s="173" t="str">
        <f t="shared" si="93"/>
        <v/>
      </c>
      <c r="L226" s="173" t="str">
        <f t="shared" si="86"/>
        <v/>
      </c>
      <c r="M226" s="173" t="str">
        <f t="shared" si="88"/>
        <v/>
      </c>
      <c r="N226" s="173" t="str">
        <f t="shared" si="89"/>
        <v/>
      </c>
      <c r="O226" s="173" t="str">
        <f t="shared" si="90"/>
        <v/>
      </c>
      <c r="P226" s="173" t="str">
        <f t="shared" si="82"/>
        <v/>
      </c>
      <c r="Q226" s="173" t="str">
        <f t="shared" si="104"/>
        <v/>
      </c>
      <c r="R226" s="173" t="str">
        <f t="shared" si="87"/>
        <v/>
      </c>
      <c r="S226" s="176" t="str">
        <f>IF(A225=$D$8,XIRR(U$27:U225,C$27:C225),"")</f>
        <v/>
      </c>
      <c r="T226" s="173" t="str">
        <f t="shared" si="98"/>
        <v/>
      </c>
      <c r="U226" s="173">
        <f t="shared" si="107"/>
        <v>0</v>
      </c>
      <c r="V226" s="141" t="e">
        <f t="shared" ca="1" si="99"/>
        <v>#VALUE!</v>
      </c>
      <c r="W226" s="141" t="e">
        <f t="shared" ca="1" si="105"/>
        <v>#VALUE!</v>
      </c>
      <c r="X226" s="141" t="e">
        <f t="shared" ca="1" si="100"/>
        <v>#VALUE!</v>
      </c>
      <c r="Y226" s="177" t="e">
        <f t="shared" ca="1" si="92"/>
        <v>#VALUE!</v>
      </c>
      <c r="Z226" s="178" t="e">
        <f t="shared" ca="1" si="101"/>
        <v>#VALUE!</v>
      </c>
      <c r="AA226" s="141">
        <v>199</v>
      </c>
    </row>
    <row r="227" spans="1:27" x14ac:dyDescent="0.35">
      <c r="A227" s="175" t="str">
        <f t="shared" si="106"/>
        <v/>
      </c>
      <c r="B227" s="172">
        <f t="shared" ca="1" si="102"/>
        <v>51282</v>
      </c>
      <c r="C227" s="172" t="str">
        <f t="shared" ca="1" si="103"/>
        <v xml:space="preserve"> </v>
      </c>
      <c r="D227" s="175" t="str">
        <f t="shared" si="83"/>
        <v/>
      </c>
      <c r="E227" s="173" t="e">
        <f t="shared" ca="1" si="97"/>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84"/>
        <v/>
      </c>
      <c r="J227" s="173" t="str">
        <f t="shared" si="85"/>
        <v/>
      </c>
      <c r="K227" s="173" t="str">
        <f t="shared" si="93"/>
        <v/>
      </c>
      <c r="L227" s="173" t="str">
        <f t="shared" si="86"/>
        <v/>
      </c>
      <c r="M227" s="173" t="str">
        <f t="shared" si="88"/>
        <v/>
      </c>
      <c r="N227" s="173" t="str">
        <f t="shared" si="89"/>
        <v/>
      </c>
      <c r="O227" s="173" t="str">
        <f t="shared" si="90"/>
        <v/>
      </c>
      <c r="P227" s="173" t="str">
        <f t="shared" ref="P227:P268" si="108">IF(A226=$D$8,$P$27,"")</f>
        <v/>
      </c>
      <c r="Q227" s="173" t="str">
        <f t="shared" si="104"/>
        <v/>
      </c>
      <c r="R227" s="173" t="str">
        <f t="shared" si="87"/>
        <v/>
      </c>
      <c r="S227" s="176" t="str">
        <f>IF(A226=$D$8,XIRR(U$27:U226,C$27:C226),"")</f>
        <v/>
      </c>
      <c r="T227" s="173" t="str">
        <f t="shared" si="98"/>
        <v/>
      </c>
      <c r="U227" s="173">
        <f t="shared" si="107"/>
        <v>0</v>
      </c>
      <c r="V227" s="141" t="e">
        <f t="shared" ca="1" si="99"/>
        <v>#VALUE!</v>
      </c>
      <c r="W227" s="141" t="e">
        <f t="shared" ca="1" si="105"/>
        <v>#VALUE!</v>
      </c>
      <c r="X227" s="141" t="e">
        <f t="shared" ca="1" si="100"/>
        <v>#VALUE!</v>
      </c>
      <c r="Y227" s="177" t="e">
        <f t="shared" ca="1" si="92"/>
        <v>#VALUE!</v>
      </c>
      <c r="Z227" s="178" t="e">
        <f t="shared" ca="1" si="101"/>
        <v>#VALUE!</v>
      </c>
      <c r="AA227" s="141">
        <v>200</v>
      </c>
    </row>
    <row r="228" spans="1:27" x14ac:dyDescent="0.35">
      <c r="A228" s="175" t="str">
        <f t="shared" si="106"/>
        <v/>
      </c>
      <c r="B228" s="172">
        <f t="shared" ca="1" si="102"/>
        <v>51313</v>
      </c>
      <c r="C228" s="172" t="str">
        <f t="shared" ca="1" si="103"/>
        <v xml:space="preserve"> </v>
      </c>
      <c r="D228" s="175" t="str">
        <f t="shared" si="83"/>
        <v/>
      </c>
      <c r="E228" s="173" t="e">
        <f t="shared" ca="1" si="97"/>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84"/>
        <v/>
      </c>
      <c r="J228" s="173" t="str">
        <f t="shared" si="85"/>
        <v/>
      </c>
      <c r="K228" s="173" t="str">
        <f t="shared" si="93"/>
        <v/>
      </c>
      <c r="L228" s="173" t="str">
        <f t="shared" si="86"/>
        <v/>
      </c>
      <c r="M228" s="173" t="str">
        <f t="shared" si="88"/>
        <v/>
      </c>
      <c r="N228" s="173" t="str">
        <f t="shared" si="89"/>
        <v/>
      </c>
      <c r="O228" s="173" t="str">
        <f t="shared" si="90"/>
        <v/>
      </c>
      <c r="P228" s="173" t="str">
        <f t="shared" si="108"/>
        <v/>
      </c>
      <c r="Q228" s="173" t="str">
        <f t="shared" si="104"/>
        <v/>
      </c>
      <c r="R228" s="173" t="str">
        <f t="shared" si="87"/>
        <v/>
      </c>
      <c r="S228" s="176" t="str">
        <f>IF(A227=$D$8,XIRR(U$27:U227,C$27:C227),"")</f>
        <v/>
      </c>
      <c r="T228" s="173" t="str">
        <f t="shared" si="98"/>
        <v/>
      </c>
      <c r="U228" s="173">
        <f t="shared" si="107"/>
        <v>0</v>
      </c>
      <c r="V228" s="141" t="e">
        <f t="shared" ca="1" si="99"/>
        <v>#VALUE!</v>
      </c>
      <c r="W228" s="141" t="e">
        <f t="shared" ca="1" si="105"/>
        <v>#VALUE!</v>
      </c>
      <c r="X228" s="141" t="e">
        <f t="shared" ca="1" si="100"/>
        <v>#VALUE!</v>
      </c>
      <c r="Y228" s="177" t="e">
        <f t="shared" ca="1" si="92"/>
        <v>#VALUE!</v>
      </c>
      <c r="Z228" s="178" t="e">
        <f t="shared" ca="1" si="101"/>
        <v>#VALUE!</v>
      </c>
      <c r="AA228" s="141">
        <v>201</v>
      </c>
    </row>
    <row r="229" spans="1:27" x14ac:dyDescent="0.35">
      <c r="A229" s="175" t="str">
        <f t="shared" si="106"/>
        <v/>
      </c>
      <c r="B229" s="172">
        <f t="shared" ca="1" si="102"/>
        <v>51343</v>
      </c>
      <c r="C229" s="172" t="str">
        <f t="shared" ca="1" si="103"/>
        <v xml:space="preserve"> </v>
      </c>
      <c r="D229" s="175" t="str">
        <f t="shared" si="83"/>
        <v/>
      </c>
      <c r="E229" s="173" t="e">
        <f t="shared" ca="1" si="97"/>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84"/>
        <v/>
      </c>
      <c r="J229" s="173" t="str">
        <f t="shared" si="85"/>
        <v/>
      </c>
      <c r="K229" s="173" t="str">
        <f t="shared" si="93"/>
        <v/>
      </c>
      <c r="L229" s="173" t="str">
        <f t="shared" si="86"/>
        <v/>
      </c>
      <c r="M229" s="173" t="str">
        <f t="shared" si="88"/>
        <v/>
      </c>
      <c r="N229" s="173" t="str">
        <f t="shared" si="89"/>
        <v/>
      </c>
      <c r="O229" s="173" t="str">
        <f t="shared" si="90"/>
        <v/>
      </c>
      <c r="P229" s="173" t="str">
        <f t="shared" si="108"/>
        <v/>
      </c>
      <c r="Q229" s="173" t="str">
        <f t="shared" si="104"/>
        <v/>
      </c>
      <c r="R229" s="173" t="str">
        <f t="shared" si="87"/>
        <v/>
      </c>
      <c r="S229" s="176" t="str">
        <f>IF(A228=$D$8,XIRR(U$27:U228,C$27:C228),"")</f>
        <v/>
      </c>
      <c r="T229" s="173" t="str">
        <f t="shared" si="98"/>
        <v/>
      </c>
      <c r="U229" s="173">
        <f t="shared" si="107"/>
        <v>0</v>
      </c>
      <c r="V229" s="141" t="e">
        <f t="shared" ca="1" si="99"/>
        <v>#VALUE!</v>
      </c>
      <c r="W229" s="141" t="e">
        <f t="shared" ca="1" si="105"/>
        <v>#VALUE!</v>
      </c>
      <c r="X229" s="141" t="e">
        <f t="shared" ca="1" si="100"/>
        <v>#VALUE!</v>
      </c>
      <c r="Y229" s="177" t="e">
        <f t="shared" ca="1" si="92"/>
        <v>#VALUE!</v>
      </c>
      <c r="Z229" s="178" t="e">
        <f t="shared" ca="1" si="101"/>
        <v>#VALUE!</v>
      </c>
      <c r="AA229" s="141">
        <v>202</v>
      </c>
    </row>
    <row r="230" spans="1:27" x14ac:dyDescent="0.35">
      <c r="A230" s="175" t="str">
        <f t="shared" si="106"/>
        <v/>
      </c>
      <c r="B230" s="172">
        <f t="shared" ca="1" si="102"/>
        <v>51374</v>
      </c>
      <c r="C230" s="172" t="str">
        <f t="shared" ca="1" si="103"/>
        <v xml:space="preserve"> </v>
      </c>
      <c r="D230" s="175" t="str">
        <f t="shared" si="83"/>
        <v/>
      </c>
      <c r="E230" s="173" t="e">
        <f t="shared" ca="1" si="97"/>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84"/>
        <v/>
      </c>
      <c r="J230" s="173" t="str">
        <f t="shared" si="85"/>
        <v/>
      </c>
      <c r="K230" s="173" t="str">
        <f t="shared" si="93"/>
        <v/>
      </c>
      <c r="L230" s="173" t="str">
        <f t="shared" si="86"/>
        <v/>
      </c>
      <c r="M230" s="173" t="str">
        <f t="shared" si="88"/>
        <v/>
      </c>
      <c r="N230" s="173" t="str">
        <f t="shared" si="89"/>
        <v/>
      </c>
      <c r="O230" s="173" t="str">
        <f t="shared" si="90"/>
        <v/>
      </c>
      <c r="P230" s="173" t="str">
        <f t="shared" si="108"/>
        <v/>
      </c>
      <c r="Q230" s="173" t="str">
        <f t="shared" si="104"/>
        <v/>
      </c>
      <c r="R230" s="173" t="str">
        <f t="shared" si="87"/>
        <v/>
      </c>
      <c r="S230" s="176" t="str">
        <f>IF(A229=$D$8,XIRR(U$27:U229,C$27:C229),"")</f>
        <v/>
      </c>
      <c r="T230" s="173" t="str">
        <f t="shared" si="98"/>
        <v/>
      </c>
      <c r="U230" s="173">
        <f t="shared" si="107"/>
        <v>0</v>
      </c>
      <c r="V230" s="141" t="e">
        <f t="shared" ca="1" si="99"/>
        <v>#VALUE!</v>
      </c>
      <c r="W230" s="141" t="e">
        <f t="shared" ca="1" si="105"/>
        <v>#VALUE!</v>
      </c>
      <c r="X230" s="141" t="e">
        <f t="shared" ca="1" si="100"/>
        <v>#VALUE!</v>
      </c>
      <c r="Y230" s="177" t="e">
        <f t="shared" ca="1" si="92"/>
        <v>#VALUE!</v>
      </c>
      <c r="Z230" s="178" t="e">
        <f t="shared" ca="1" si="101"/>
        <v>#VALUE!</v>
      </c>
      <c r="AA230" s="141">
        <v>203</v>
      </c>
    </row>
    <row r="231" spans="1:27" x14ac:dyDescent="0.35">
      <c r="A231" s="175" t="str">
        <f t="shared" si="106"/>
        <v/>
      </c>
      <c r="B231" s="172">
        <f t="shared" ca="1" si="102"/>
        <v>51405</v>
      </c>
      <c r="C231" s="172" t="str">
        <f t="shared" ca="1" si="103"/>
        <v xml:space="preserve"> </v>
      </c>
      <c r="D231" s="175" t="str">
        <f t="shared" si="83"/>
        <v/>
      </c>
      <c r="E231" s="173" t="e">
        <f t="shared" ca="1" si="97"/>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84"/>
        <v/>
      </c>
      <c r="J231" s="173" t="str">
        <f t="shared" si="85"/>
        <v/>
      </c>
      <c r="K231" s="173" t="str">
        <f t="shared" si="93"/>
        <v/>
      </c>
      <c r="L231" s="173" t="str">
        <f t="shared" si="86"/>
        <v/>
      </c>
      <c r="M231" s="173" t="str">
        <f t="shared" si="88"/>
        <v/>
      </c>
      <c r="N231" s="173" t="str">
        <f t="shared" si="89"/>
        <v/>
      </c>
      <c r="O231" s="173" t="str">
        <f t="shared" si="90"/>
        <v/>
      </c>
      <c r="P231" s="173" t="str">
        <f t="shared" si="108"/>
        <v/>
      </c>
      <c r="Q231" s="173" t="str">
        <f t="shared" si="104"/>
        <v/>
      </c>
      <c r="R231" s="173" t="str">
        <f t="shared" si="87"/>
        <v/>
      </c>
      <c r="S231" s="176" t="str">
        <f>IF(A230=$D$8,XIRR(U$27:U230,C$27:C230),"")</f>
        <v/>
      </c>
      <c r="T231" s="173" t="str">
        <f t="shared" si="98"/>
        <v/>
      </c>
      <c r="U231" s="173">
        <f t="shared" si="107"/>
        <v>0</v>
      </c>
      <c r="V231" s="141" t="e">
        <f t="shared" ca="1" si="99"/>
        <v>#VALUE!</v>
      </c>
      <c r="W231" s="141" t="e">
        <f t="shared" ca="1" si="105"/>
        <v>#VALUE!</v>
      </c>
      <c r="X231" s="141" t="e">
        <f t="shared" ca="1" si="100"/>
        <v>#VALUE!</v>
      </c>
      <c r="Y231" s="177" t="e">
        <f t="shared" ca="1" si="92"/>
        <v>#VALUE!</v>
      </c>
      <c r="Z231" s="178" t="e">
        <f t="shared" ca="1" si="101"/>
        <v>#VALUE!</v>
      </c>
      <c r="AA231" s="141">
        <v>204</v>
      </c>
    </row>
    <row r="232" spans="1:27" x14ac:dyDescent="0.35">
      <c r="A232" s="175" t="str">
        <f t="shared" si="106"/>
        <v/>
      </c>
      <c r="B232" s="172">
        <f t="shared" ca="1" si="102"/>
        <v>51435</v>
      </c>
      <c r="C232" s="172" t="str">
        <f t="shared" ca="1" si="103"/>
        <v xml:space="preserve"> </v>
      </c>
      <c r="D232" s="175" t="str">
        <f t="shared" si="83"/>
        <v/>
      </c>
      <c r="E232" s="173" t="e">
        <f t="shared" ca="1" si="97"/>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84"/>
        <v/>
      </c>
      <c r="J232" s="173" t="str">
        <f t="shared" si="85"/>
        <v/>
      </c>
      <c r="K232" s="173" t="str">
        <f>IF($F$8&gt;204,($R$14),IF(A231=$F$8,K220+K208+K196+K184+K172+K160+K148+K136+K124+K112+K100+K88+K76+K64+K52+K40+K27,""))</f>
        <v/>
      </c>
      <c r="L232" s="173" t="str">
        <f t="shared" si="86"/>
        <v/>
      </c>
      <c r="M232" s="173" t="str">
        <f t="shared" si="88"/>
        <v/>
      </c>
      <c r="N232" s="173" t="str">
        <f t="shared" si="89"/>
        <v/>
      </c>
      <c r="O232" s="173" t="str">
        <f t="shared" si="90"/>
        <v/>
      </c>
      <c r="P232" s="173" t="str">
        <f t="shared" si="108"/>
        <v/>
      </c>
      <c r="Q232" s="173" t="str">
        <f>IF($F$8&gt;204,($S$8+$S$10),IF($A231=$F$8,$Q$40+$Q$27+$Q$52+$Q$64+$Q$76+$Q$88+$Q$100+$Q$112+$Q$124+$Q$136+$Q$148+$Q$160+$Q$172+$Q$196+$Q$184+$Q$208+$Q$220,""))</f>
        <v/>
      </c>
      <c r="R232" s="173" t="str">
        <f t="shared" si="87"/>
        <v/>
      </c>
      <c r="S232" s="176" t="str">
        <f>IF(A231=$D$8,XIRR(U$27:U231,C$27:C231),"")</f>
        <v/>
      </c>
      <c r="T232" s="173" t="str">
        <f t="shared" si="98"/>
        <v/>
      </c>
      <c r="U232" s="173">
        <f t="shared" si="107"/>
        <v>0</v>
      </c>
      <c r="V232" s="141" t="e">
        <f t="shared" ca="1" si="99"/>
        <v>#VALUE!</v>
      </c>
      <c r="W232" s="141" t="e">
        <f t="shared" ca="1" si="105"/>
        <v>#VALUE!</v>
      </c>
      <c r="X232" s="141" t="e">
        <f t="shared" ca="1" si="100"/>
        <v>#VALUE!</v>
      </c>
      <c r="Y232" s="177" t="e">
        <f t="shared" ca="1" si="92"/>
        <v>#VALUE!</v>
      </c>
      <c r="Z232" s="178" t="e">
        <f t="shared" ca="1" si="101"/>
        <v>#VALUE!</v>
      </c>
      <c r="AA232" s="141">
        <v>205</v>
      </c>
    </row>
    <row r="233" spans="1:27" x14ac:dyDescent="0.35">
      <c r="A233" s="175" t="str">
        <f t="shared" si="106"/>
        <v/>
      </c>
      <c r="B233" s="172">
        <f t="shared" ca="1" si="102"/>
        <v>51466</v>
      </c>
      <c r="C233" s="172" t="str">
        <f t="shared" ca="1" si="103"/>
        <v xml:space="preserve"> </v>
      </c>
      <c r="D233" s="175" t="str">
        <f t="shared" ref="D233:D267" si="109">IF(A233&gt;$D$8,"",C233-C232)</f>
        <v/>
      </c>
      <c r="E233" s="173" t="e">
        <f t="shared" ca="1" si="97"/>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10">IF(A232=$F$8,$I$27,"")</f>
        <v/>
      </c>
      <c r="J233" s="173" t="str">
        <f t="shared" ref="J233:J268" si="111">IF(A232=$F$8,$J$27,"")</f>
        <v/>
      </c>
      <c r="K233" s="173" t="str">
        <f t="shared" si="93"/>
        <v/>
      </c>
      <c r="L233" s="173" t="str">
        <f t="shared" ref="L233:L268" si="112">IF(A232=$F$8,$L$27,"")</f>
        <v/>
      </c>
      <c r="M233" s="173" t="str">
        <f t="shared" si="88"/>
        <v/>
      </c>
      <c r="N233" s="173" t="str">
        <f t="shared" si="89"/>
        <v/>
      </c>
      <c r="O233" s="173" t="str">
        <f t="shared" si="90"/>
        <v/>
      </c>
      <c r="P233" s="173" t="str">
        <f t="shared" si="108"/>
        <v/>
      </c>
      <c r="Q233" s="173" t="str">
        <f t="shared" ref="Q233:Q243" si="113">IF(A232=$D$8,$Q$27,"")</f>
        <v/>
      </c>
      <c r="R233" s="173" t="str">
        <f t="shared" ref="R233:R268" si="114">IF(A232=$D$8,$R$27,"")</f>
        <v/>
      </c>
      <c r="S233" s="176" t="str">
        <f>IF(A232=$D$8,XIRR(U$27:U232,C$27:C232),"")</f>
        <v/>
      </c>
      <c r="T233" s="173" t="str">
        <f t="shared" si="98"/>
        <v/>
      </c>
      <c r="U233" s="173">
        <f t="shared" si="107"/>
        <v>0</v>
      </c>
      <c r="V233" s="141" t="e">
        <f t="shared" ca="1" si="99"/>
        <v>#VALUE!</v>
      </c>
      <c r="W233" s="141" t="e">
        <f t="shared" ca="1" si="105"/>
        <v>#VALUE!</v>
      </c>
      <c r="X233" s="141" t="e">
        <f t="shared" ca="1" si="100"/>
        <v>#VALUE!</v>
      </c>
      <c r="Y233" s="177" t="e">
        <f t="shared" ca="1" si="92"/>
        <v>#VALUE!</v>
      </c>
      <c r="Z233" s="178" t="e">
        <f t="shared" ca="1" si="101"/>
        <v>#VALUE!</v>
      </c>
      <c r="AA233" s="141">
        <v>206</v>
      </c>
    </row>
    <row r="234" spans="1:27" x14ac:dyDescent="0.35">
      <c r="A234" s="175" t="str">
        <f t="shared" si="106"/>
        <v/>
      </c>
      <c r="B234" s="172">
        <f t="shared" ca="1" si="102"/>
        <v>51496</v>
      </c>
      <c r="C234" s="172" t="str">
        <f t="shared" ca="1" si="103"/>
        <v xml:space="preserve"> </v>
      </c>
      <c r="D234" s="175" t="str">
        <f t="shared" si="109"/>
        <v/>
      </c>
      <c r="E234" s="173" t="e">
        <f t="shared" ca="1" si="97"/>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10"/>
        <v/>
      </c>
      <c r="J234" s="173" t="str">
        <f t="shared" si="111"/>
        <v/>
      </c>
      <c r="K234" s="173" t="str">
        <f t="shared" si="93"/>
        <v/>
      </c>
      <c r="L234" s="173" t="str">
        <f t="shared" si="112"/>
        <v/>
      </c>
      <c r="M234" s="173" t="str">
        <f t="shared" ref="M234:M268" si="115">IF(A233=$F$8,$M$27,"")</f>
        <v/>
      </c>
      <c r="N234" s="173" t="str">
        <f t="shared" ref="N234:N267" si="116">IF(A233=$F$8,$N$27,"")</f>
        <v/>
      </c>
      <c r="O234" s="173" t="str">
        <f t="shared" ref="O234:O267" si="117">IF(A233=$F$8,$O$27,"")</f>
        <v/>
      </c>
      <c r="P234" s="173" t="str">
        <f t="shared" si="108"/>
        <v/>
      </c>
      <c r="Q234" s="173" t="str">
        <f t="shared" si="113"/>
        <v/>
      </c>
      <c r="R234" s="173" t="str">
        <f t="shared" si="114"/>
        <v/>
      </c>
      <c r="S234" s="176" t="str">
        <f>IF(A233=$D$8,XIRR(U$27:U233,C$27:C233),"")</f>
        <v/>
      </c>
      <c r="T234" s="173" t="str">
        <f t="shared" si="98"/>
        <v/>
      </c>
      <c r="U234" s="173">
        <f t="shared" si="107"/>
        <v>0</v>
      </c>
      <c r="V234" s="141" t="e">
        <f t="shared" ca="1" si="99"/>
        <v>#VALUE!</v>
      </c>
      <c r="W234" s="141" t="e">
        <f t="shared" ca="1" si="105"/>
        <v>#VALUE!</v>
      </c>
      <c r="X234" s="141" t="e">
        <f t="shared" ca="1" si="100"/>
        <v>#VALUE!</v>
      </c>
      <c r="Y234" s="177" t="e">
        <f t="shared" ca="1" si="92"/>
        <v>#VALUE!</v>
      </c>
      <c r="Z234" s="178" t="e">
        <f t="shared" ca="1" si="101"/>
        <v>#VALUE!</v>
      </c>
      <c r="AA234" s="141">
        <v>207</v>
      </c>
    </row>
    <row r="235" spans="1:27" x14ac:dyDescent="0.35">
      <c r="A235" s="175" t="str">
        <f t="shared" si="106"/>
        <v/>
      </c>
      <c r="B235" s="172">
        <f t="shared" ca="1" si="102"/>
        <v>51527</v>
      </c>
      <c r="C235" s="172" t="str">
        <f t="shared" ca="1" si="103"/>
        <v xml:space="preserve"> </v>
      </c>
      <c r="D235" s="175" t="str">
        <f t="shared" si="109"/>
        <v/>
      </c>
      <c r="E235" s="173" t="e">
        <f t="shared" ca="1" si="97"/>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10"/>
        <v/>
      </c>
      <c r="J235" s="173" t="str">
        <f t="shared" si="111"/>
        <v/>
      </c>
      <c r="K235" s="173" t="str">
        <f t="shared" si="93"/>
        <v/>
      </c>
      <c r="L235" s="173" t="str">
        <f t="shared" si="112"/>
        <v/>
      </c>
      <c r="M235" s="173" t="str">
        <f t="shared" si="115"/>
        <v/>
      </c>
      <c r="N235" s="173" t="str">
        <f t="shared" si="116"/>
        <v/>
      </c>
      <c r="O235" s="173" t="str">
        <f t="shared" si="117"/>
        <v/>
      </c>
      <c r="P235" s="173" t="str">
        <f t="shared" si="108"/>
        <v/>
      </c>
      <c r="Q235" s="173" t="str">
        <f t="shared" si="113"/>
        <v/>
      </c>
      <c r="R235" s="173" t="str">
        <f t="shared" si="114"/>
        <v/>
      </c>
      <c r="S235" s="176" t="str">
        <f>IF(A234=$D$8,XIRR(U$27:U234,C$27:C234),"")</f>
        <v/>
      </c>
      <c r="T235" s="173" t="str">
        <f t="shared" si="98"/>
        <v/>
      </c>
      <c r="U235" s="173">
        <f t="shared" si="107"/>
        <v>0</v>
      </c>
      <c r="V235" s="141" t="e">
        <f t="shared" ca="1" si="99"/>
        <v>#VALUE!</v>
      </c>
      <c r="W235" s="141" t="e">
        <f t="shared" ca="1" si="105"/>
        <v>#VALUE!</v>
      </c>
      <c r="X235" s="141" t="e">
        <f t="shared" ca="1" si="100"/>
        <v>#VALUE!</v>
      </c>
      <c r="Y235" s="177" t="e">
        <f t="shared" ca="1" si="92"/>
        <v>#VALUE!</v>
      </c>
      <c r="Z235" s="178" t="e">
        <f t="shared" ca="1" si="101"/>
        <v>#VALUE!</v>
      </c>
      <c r="AA235" s="141">
        <v>208</v>
      </c>
    </row>
    <row r="236" spans="1:27" x14ac:dyDescent="0.35">
      <c r="A236" s="175" t="str">
        <f t="shared" si="106"/>
        <v/>
      </c>
      <c r="B236" s="172">
        <f t="shared" ca="1" si="102"/>
        <v>51558</v>
      </c>
      <c r="C236" s="172" t="str">
        <f t="shared" ca="1" si="103"/>
        <v xml:space="preserve"> </v>
      </c>
      <c r="D236" s="175" t="str">
        <f t="shared" si="109"/>
        <v/>
      </c>
      <c r="E236" s="173" t="e">
        <f t="shared" ca="1" si="97"/>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10"/>
        <v/>
      </c>
      <c r="J236" s="173" t="str">
        <f t="shared" si="111"/>
        <v/>
      </c>
      <c r="K236" s="173" t="str">
        <f t="shared" si="93"/>
        <v/>
      </c>
      <c r="L236" s="173" t="str">
        <f t="shared" si="112"/>
        <v/>
      </c>
      <c r="M236" s="173" t="str">
        <f t="shared" si="115"/>
        <v/>
      </c>
      <c r="N236" s="173" t="str">
        <f t="shared" si="116"/>
        <v/>
      </c>
      <c r="O236" s="173" t="str">
        <f t="shared" si="117"/>
        <v/>
      </c>
      <c r="P236" s="173" t="str">
        <f t="shared" si="108"/>
        <v/>
      </c>
      <c r="Q236" s="173" t="str">
        <f t="shared" si="113"/>
        <v/>
      </c>
      <c r="R236" s="173" t="str">
        <f t="shared" si="114"/>
        <v/>
      </c>
      <c r="S236" s="176" t="str">
        <f>IF(A235=$D$8,XIRR(U$27:U235,C$27:C235),"")</f>
        <v/>
      </c>
      <c r="T236" s="173" t="str">
        <f t="shared" si="98"/>
        <v/>
      </c>
      <c r="U236" s="173">
        <f t="shared" si="107"/>
        <v>0</v>
      </c>
      <c r="V236" s="141" t="e">
        <f t="shared" ca="1" si="99"/>
        <v>#VALUE!</v>
      </c>
      <c r="W236" s="141" t="e">
        <f t="shared" ca="1" si="105"/>
        <v>#VALUE!</v>
      </c>
      <c r="X236" s="141" t="e">
        <f t="shared" ca="1" si="100"/>
        <v>#VALUE!</v>
      </c>
      <c r="Y236" s="177" t="e">
        <f t="shared" ca="1" si="92"/>
        <v>#VALUE!</v>
      </c>
      <c r="Z236" s="178" t="e">
        <f t="shared" ca="1" si="101"/>
        <v>#VALUE!</v>
      </c>
      <c r="AA236" s="141">
        <v>209</v>
      </c>
    </row>
    <row r="237" spans="1:27" x14ac:dyDescent="0.35">
      <c r="A237" s="175" t="str">
        <f t="shared" si="106"/>
        <v/>
      </c>
      <c r="B237" s="172">
        <f t="shared" ca="1" si="102"/>
        <v>51586</v>
      </c>
      <c r="C237" s="172" t="str">
        <f t="shared" ca="1" si="103"/>
        <v xml:space="preserve"> </v>
      </c>
      <c r="D237" s="175" t="str">
        <f t="shared" si="109"/>
        <v/>
      </c>
      <c r="E237" s="173" t="e">
        <f t="shared" ca="1" si="97"/>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10"/>
        <v/>
      </c>
      <c r="J237" s="173" t="str">
        <f t="shared" si="111"/>
        <v/>
      </c>
      <c r="K237" s="173" t="str">
        <f t="shared" si="93"/>
        <v/>
      </c>
      <c r="L237" s="173" t="str">
        <f t="shared" si="112"/>
        <v/>
      </c>
      <c r="M237" s="173" t="str">
        <f t="shared" si="115"/>
        <v/>
      </c>
      <c r="N237" s="173" t="str">
        <f t="shared" si="116"/>
        <v/>
      </c>
      <c r="O237" s="173" t="str">
        <f t="shared" si="117"/>
        <v/>
      </c>
      <c r="P237" s="173" t="str">
        <f t="shared" si="108"/>
        <v/>
      </c>
      <c r="Q237" s="173" t="str">
        <f t="shared" si="113"/>
        <v/>
      </c>
      <c r="R237" s="173" t="str">
        <f t="shared" si="114"/>
        <v/>
      </c>
      <c r="S237" s="176" t="str">
        <f>IF(A236=$D$8,XIRR(U$27:U236,C$27:C236),"")</f>
        <v/>
      </c>
      <c r="T237" s="173" t="str">
        <f t="shared" si="98"/>
        <v/>
      </c>
      <c r="U237" s="173">
        <f t="shared" si="107"/>
        <v>0</v>
      </c>
      <c r="V237" s="141" t="e">
        <f t="shared" ca="1" si="99"/>
        <v>#VALUE!</v>
      </c>
      <c r="W237" s="141" t="e">
        <f t="shared" ca="1" si="105"/>
        <v>#VALUE!</v>
      </c>
      <c r="X237" s="141" t="e">
        <f t="shared" ca="1" si="100"/>
        <v>#VALUE!</v>
      </c>
      <c r="Y237" s="177" t="e">
        <f t="shared" ca="1" si="92"/>
        <v>#VALUE!</v>
      </c>
      <c r="Z237" s="178" t="e">
        <f t="shared" ca="1" si="101"/>
        <v>#VALUE!</v>
      </c>
      <c r="AA237" s="141">
        <v>210</v>
      </c>
    </row>
    <row r="238" spans="1:27" x14ac:dyDescent="0.35">
      <c r="A238" s="175" t="str">
        <f t="shared" si="106"/>
        <v/>
      </c>
      <c r="B238" s="172">
        <f t="shared" ca="1" si="102"/>
        <v>51617</v>
      </c>
      <c r="C238" s="172" t="str">
        <f t="shared" ca="1" si="103"/>
        <v xml:space="preserve"> </v>
      </c>
      <c r="D238" s="175" t="str">
        <f t="shared" si="109"/>
        <v/>
      </c>
      <c r="E238" s="173" t="e">
        <f t="shared" ca="1" si="97"/>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10"/>
        <v/>
      </c>
      <c r="J238" s="173" t="str">
        <f t="shared" si="111"/>
        <v/>
      </c>
      <c r="K238" s="173" t="str">
        <f t="shared" si="93"/>
        <v/>
      </c>
      <c r="L238" s="173" t="str">
        <f t="shared" si="112"/>
        <v/>
      </c>
      <c r="M238" s="173" t="str">
        <f t="shared" si="115"/>
        <v/>
      </c>
      <c r="N238" s="173" t="str">
        <f t="shared" si="116"/>
        <v/>
      </c>
      <c r="O238" s="173" t="str">
        <f t="shared" si="117"/>
        <v/>
      </c>
      <c r="P238" s="173" t="str">
        <f t="shared" si="108"/>
        <v/>
      </c>
      <c r="Q238" s="173" t="str">
        <f t="shared" si="113"/>
        <v/>
      </c>
      <c r="R238" s="173" t="str">
        <f t="shared" si="114"/>
        <v/>
      </c>
      <c r="S238" s="176" t="str">
        <f>IF(A237=$D$8,XIRR(U$27:U237,C$27:C237),"")</f>
        <v/>
      </c>
      <c r="T238" s="173" t="str">
        <f t="shared" si="98"/>
        <v/>
      </c>
      <c r="U238" s="173">
        <f t="shared" si="107"/>
        <v>0</v>
      </c>
      <c r="V238" s="141" t="e">
        <f t="shared" ca="1" si="99"/>
        <v>#VALUE!</v>
      </c>
      <c r="W238" s="141" t="e">
        <f t="shared" ca="1" si="105"/>
        <v>#VALUE!</v>
      </c>
      <c r="X238" s="141" t="e">
        <f t="shared" ca="1" si="100"/>
        <v>#VALUE!</v>
      </c>
      <c r="Y238" s="177" t="e">
        <f t="shared" ca="1" si="92"/>
        <v>#VALUE!</v>
      </c>
      <c r="Z238" s="178" t="e">
        <f t="shared" ca="1" si="101"/>
        <v>#VALUE!</v>
      </c>
      <c r="AA238" s="141">
        <v>211</v>
      </c>
    </row>
    <row r="239" spans="1:27" x14ac:dyDescent="0.35">
      <c r="A239" s="175" t="str">
        <f t="shared" si="106"/>
        <v/>
      </c>
      <c r="B239" s="172">
        <f t="shared" ca="1" si="102"/>
        <v>51647</v>
      </c>
      <c r="C239" s="172" t="str">
        <f t="shared" ca="1" si="103"/>
        <v xml:space="preserve"> </v>
      </c>
      <c r="D239" s="175" t="str">
        <f t="shared" si="109"/>
        <v/>
      </c>
      <c r="E239" s="173" t="e">
        <f t="shared" ca="1" si="97"/>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10"/>
        <v/>
      </c>
      <c r="J239" s="173" t="str">
        <f t="shared" si="111"/>
        <v/>
      </c>
      <c r="K239" s="173" t="str">
        <f t="shared" si="93"/>
        <v/>
      </c>
      <c r="L239" s="173" t="str">
        <f t="shared" si="112"/>
        <v/>
      </c>
      <c r="M239" s="173" t="str">
        <f t="shared" si="115"/>
        <v/>
      </c>
      <c r="N239" s="173" t="str">
        <f t="shared" si="116"/>
        <v/>
      </c>
      <c r="O239" s="173" t="str">
        <f t="shared" si="117"/>
        <v/>
      </c>
      <c r="P239" s="173" t="str">
        <f t="shared" si="108"/>
        <v/>
      </c>
      <c r="Q239" s="173" t="str">
        <f t="shared" si="113"/>
        <v/>
      </c>
      <c r="R239" s="173" t="str">
        <f t="shared" si="114"/>
        <v/>
      </c>
      <c r="S239" s="176" t="str">
        <f>IF(A238=$D$8,XIRR(U$27:U238,C$27:C238),"")</f>
        <v/>
      </c>
      <c r="T239" s="173" t="str">
        <f t="shared" si="98"/>
        <v/>
      </c>
      <c r="U239" s="173">
        <f t="shared" si="107"/>
        <v>0</v>
      </c>
      <c r="V239" s="141" t="e">
        <f t="shared" ca="1" si="99"/>
        <v>#VALUE!</v>
      </c>
      <c r="W239" s="141" t="e">
        <f t="shared" ca="1" si="105"/>
        <v>#VALUE!</v>
      </c>
      <c r="X239" s="141" t="e">
        <f t="shared" ca="1" si="100"/>
        <v>#VALUE!</v>
      </c>
      <c r="Y239" s="177" t="e">
        <f t="shared" ca="1" si="92"/>
        <v>#VALUE!</v>
      </c>
      <c r="Z239" s="178" t="e">
        <f t="shared" ca="1" si="101"/>
        <v>#VALUE!</v>
      </c>
      <c r="AA239" s="141">
        <v>212</v>
      </c>
    </row>
    <row r="240" spans="1:27" x14ac:dyDescent="0.35">
      <c r="A240" s="175" t="str">
        <f t="shared" si="106"/>
        <v/>
      </c>
      <c r="B240" s="172">
        <f t="shared" ca="1" si="102"/>
        <v>51678</v>
      </c>
      <c r="C240" s="172" t="str">
        <f t="shared" ca="1" si="103"/>
        <v xml:space="preserve"> </v>
      </c>
      <c r="D240" s="175" t="str">
        <f t="shared" si="109"/>
        <v/>
      </c>
      <c r="E240" s="173" t="e">
        <f t="shared" ca="1" si="97"/>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10"/>
        <v/>
      </c>
      <c r="J240" s="173" t="str">
        <f t="shared" si="111"/>
        <v/>
      </c>
      <c r="K240" s="173" t="str">
        <f t="shared" si="93"/>
        <v/>
      </c>
      <c r="L240" s="173" t="str">
        <f t="shared" si="112"/>
        <v/>
      </c>
      <c r="M240" s="173" t="str">
        <f t="shared" si="115"/>
        <v/>
      </c>
      <c r="N240" s="173" t="str">
        <f t="shared" si="116"/>
        <v/>
      </c>
      <c r="O240" s="173" t="str">
        <f t="shared" si="117"/>
        <v/>
      </c>
      <c r="P240" s="173" t="str">
        <f t="shared" si="108"/>
        <v/>
      </c>
      <c r="Q240" s="173" t="str">
        <f t="shared" si="113"/>
        <v/>
      </c>
      <c r="R240" s="173" t="str">
        <f t="shared" si="114"/>
        <v/>
      </c>
      <c r="S240" s="176" t="str">
        <f>IF(A239=$D$8,XIRR(U$27:U239,C$27:C239),"")</f>
        <v/>
      </c>
      <c r="T240" s="173" t="str">
        <f t="shared" si="98"/>
        <v/>
      </c>
      <c r="U240" s="173">
        <f t="shared" si="107"/>
        <v>0</v>
      </c>
      <c r="V240" s="141" t="e">
        <f t="shared" ca="1" si="99"/>
        <v>#VALUE!</v>
      </c>
      <c r="W240" s="141" t="e">
        <f t="shared" ca="1" si="105"/>
        <v>#VALUE!</v>
      </c>
      <c r="X240" s="141" t="e">
        <f t="shared" ca="1" si="100"/>
        <v>#VALUE!</v>
      </c>
      <c r="Y240" s="177" t="e">
        <f t="shared" ref="Y240:Y267" ca="1" si="118">X240-1</f>
        <v>#VALUE!</v>
      </c>
      <c r="Z240" s="178" t="e">
        <f t="shared" ca="1" si="101"/>
        <v>#VALUE!</v>
      </c>
      <c r="AA240" s="141">
        <v>213</v>
      </c>
    </row>
    <row r="241" spans="1:27" x14ac:dyDescent="0.35">
      <c r="A241" s="175" t="str">
        <f t="shared" si="106"/>
        <v/>
      </c>
      <c r="B241" s="172">
        <f t="shared" ca="1" si="102"/>
        <v>51708</v>
      </c>
      <c r="C241" s="172" t="str">
        <f t="shared" ca="1" si="103"/>
        <v xml:space="preserve"> </v>
      </c>
      <c r="D241" s="175" t="str">
        <f t="shared" si="109"/>
        <v/>
      </c>
      <c r="E241" s="173" t="e">
        <f t="shared" ca="1" si="97"/>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10"/>
        <v/>
      </c>
      <c r="J241" s="173" t="str">
        <f t="shared" si="111"/>
        <v/>
      </c>
      <c r="K241" s="173" t="str">
        <f t="shared" ref="K241:K243" si="119">IF(A240=$D$8,$K$27,"")</f>
        <v/>
      </c>
      <c r="L241" s="173" t="str">
        <f t="shared" si="112"/>
        <v/>
      </c>
      <c r="M241" s="173" t="str">
        <f t="shared" si="115"/>
        <v/>
      </c>
      <c r="N241" s="173" t="str">
        <f t="shared" si="116"/>
        <v/>
      </c>
      <c r="O241" s="173" t="str">
        <f t="shared" si="117"/>
        <v/>
      </c>
      <c r="P241" s="173" t="str">
        <f t="shared" si="108"/>
        <v/>
      </c>
      <c r="Q241" s="173" t="str">
        <f t="shared" si="113"/>
        <v/>
      </c>
      <c r="R241" s="173" t="str">
        <f t="shared" si="114"/>
        <v/>
      </c>
      <c r="S241" s="176" t="str">
        <f>IF(A240=$D$8,XIRR(U$27:U240,C$27:C240),"")</f>
        <v/>
      </c>
      <c r="T241" s="173" t="str">
        <f t="shared" si="98"/>
        <v/>
      </c>
      <c r="U241" s="173">
        <f t="shared" si="107"/>
        <v>0</v>
      </c>
      <c r="V241" s="141" t="e">
        <f t="shared" ca="1" si="99"/>
        <v>#VALUE!</v>
      </c>
      <c r="W241" s="141" t="e">
        <f t="shared" ca="1" si="105"/>
        <v>#VALUE!</v>
      </c>
      <c r="X241" s="141" t="e">
        <f t="shared" ca="1" si="100"/>
        <v>#VALUE!</v>
      </c>
      <c r="Y241" s="177" t="e">
        <f t="shared" ca="1" si="118"/>
        <v>#VALUE!</v>
      </c>
      <c r="Z241" s="178" t="e">
        <f t="shared" ca="1" si="101"/>
        <v>#VALUE!</v>
      </c>
      <c r="AA241" s="141">
        <v>214</v>
      </c>
    </row>
    <row r="242" spans="1:27" x14ac:dyDescent="0.35">
      <c r="A242" s="175" t="str">
        <f t="shared" si="106"/>
        <v/>
      </c>
      <c r="B242" s="172">
        <f t="shared" ca="1" si="102"/>
        <v>51739</v>
      </c>
      <c r="C242" s="172" t="str">
        <f t="shared" ca="1" si="103"/>
        <v xml:space="preserve"> </v>
      </c>
      <c r="D242" s="175" t="str">
        <f t="shared" si="109"/>
        <v/>
      </c>
      <c r="E242" s="173" t="e">
        <f t="shared" ca="1" si="97"/>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10"/>
        <v/>
      </c>
      <c r="J242" s="173" t="str">
        <f t="shared" si="111"/>
        <v/>
      </c>
      <c r="K242" s="173" t="str">
        <f t="shared" si="119"/>
        <v/>
      </c>
      <c r="L242" s="173" t="str">
        <f t="shared" si="112"/>
        <v/>
      </c>
      <c r="M242" s="173" t="str">
        <f t="shared" si="115"/>
        <v/>
      </c>
      <c r="N242" s="173" t="str">
        <f t="shared" si="116"/>
        <v/>
      </c>
      <c r="O242" s="173" t="str">
        <f t="shared" si="117"/>
        <v/>
      </c>
      <c r="P242" s="173" t="str">
        <f t="shared" si="108"/>
        <v/>
      </c>
      <c r="Q242" s="173" t="str">
        <f t="shared" si="113"/>
        <v/>
      </c>
      <c r="R242" s="173" t="str">
        <f t="shared" si="114"/>
        <v/>
      </c>
      <c r="S242" s="176" t="str">
        <f>IF(A241=$D$8,XIRR(U$27:U241,C$27:C241),"")</f>
        <v/>
      </c>
      <c r="T242" s="173" t="str">
        <f t="shared" si="98"/>
        <v/>
      </c>
      <c r="U242" s="173">
        <f t="shared" si="107"/>
        <v>0</v>
      </c>
      <c r="V242" s="141" t="e">
        <f t="shared" ca="1" si="99"/>
        <v>#VALUE!</v>
      </c>
      <c r="W242" s="141" t="e">
        <f t="shared" ca="1" si="105"/>
        <v>#VALUE!</v>
      </c>
      <c r="X242" s="141" t="e">
        <f t="shared" ca="1" si="100"/>
        <v>#VALUE!</v>
      </c>
      <c r="Y242" s="177" t="e">
        <f t="shared" ca="1" si="118"/>
        <v>#VALUE!</v>
      </c>
      <c r="Z242" s="178" t="e">
        <f t="shared" ca="1" si="101"/>
        <v>#VALUE!</v>
      </c>
      <c r="AA242" s="141">
        <v>215</v>
      </c>
    </row>
    <row r="243" spans="1:27" x14ac:dyDescent="0.35">
      <c r="A243" s="175" t="str">
        <f t="shared" si="106"/>
        <v/>
      </c>
      <c r="B243" s="172">
        <f t="shared" ca="1" si="102"/>
        <v>51770</v>
      </c>
      <c r="C243" s="172" t="str">
        <f t="shared" ca="1" si="103"/>
        <v xml:space="preserve"> </v>
      </c>
      <c r="D243" s="175" t="str">
        <f t="shared" si="109"/>
        <v/>
      </c>
      <c r="E243" s="173" t="e">
        <f t="shared" ca="1" si="97"/>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10"/>
        <v/>
      </c>
      <c r="J243" s="173" t="str">
        <f t="shared" si="111"/>
        <v/>
      </c>
      <c r="K243" s="173" t="str">
        <f t="shared" si="119"/>
        <v/>
      </c>
      <c r="L243" s="173" t="str">
        <f t="shared" si="112"/>
        <v/>
      </c>
      <c r="M243" s="173" t="str">
        <f t="shared" si="115"/>
        <v/>
      </c>
      <c r="N243" s="173" t="str">
        <f t="shared" si="116"/>
        <v/>
      </c>
      <c r="O243" s="173" t="str">
        <f t="shared" si="117"/>
        <v/>
      </c>
      <c r="P243" s="173" t="str">
        <f t="shared" si="108"/>
        <v/>
      </c>
      <c r="Q243" s="173" t="str">
        <f t="shared" si="113"/>
        <v/>
      </c>
      <c r="R243" s="173" t="str">
        <f t="shared" si="114"/>
        <v/>
      </c>
      <c r="S243" s="176" t="str">
        <f>IF(A242=$D$8,XIRR(U$27:U242,C$27:C242),"")</f>
        <v/>
      </c>
      <c r="T243" s="173" t="str">
        <f t="shared" si="98"/>
        <v/>
      </c>
      <c r="U243" s="173">
        <f t="shared" si="107"/>
        <v>0</v>
      </c>
      <c r="V243" s="141" t="e">
        <f t="shared" ca="1" si="99"/>
        <v>#VALUE!</v>
      </c>
      <c r="W243" s="141" t="e">
        <f t="shared" ca="1" si="105"/>
        <v>#VALUE!</v>
      </c>
      <c r="X243" s="141" t="e">
        <f t="shared" ca="1" si="100"/>
        <v>#VALUE!</v>
      </c>
      <c r="Y243" s="177" t="e">
        <f t="shared" ca="1" si="118"/>
        <v>#VALUE!</v>
      </c>
      <c r="Z243" s="178" t="e">
        <f t="shared" ca="1" si="101"/>
        <v>#VALUE!</v>
      </c>
      <c r="AA243" s="141">
        <v>216</v>
      </c>
    </row>
    <row r="244" spans="1:27" x14ac:dyDescent="0.35">
      <c r="A244" s="175" t="str">
        <f t="shared" si="106"/>
        <v/>
      </c>
      <c r="B244" s="172">
        <f t="shared" ca="1" si="102"/>
        <v>51800</v>
      </c>
      <c r="C244" s="172" t="str">
        <f t="shared" ca="1" si="103"/>
        <v xml:space="preserve"> </v>
      </c>
      <c r="D244" s="175" t="str">
        <f t="shared" si="109"/>
        <v/>
      </c>
      <c r="E244" s="173" t="e">
        <f t="shared" ca="1" si="97"/>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10"/>
        <v/>
      </c>
      <c r="J244" s="173" t="str">
        <f t="shared" si="111"/>
        <v/>
      </c>
      <c r="K244" s="173" t="str">
        <f>IF($F$8&gt;216,($R$14),IF(A243=$F$8,K232+K220+K208+K196+K184+K172+K160+K148+K136+K124+K112+K100+K88+K76+K64+K52+K40+K27,""))</f>
        <v/>
      </c>
      <c r="L244" s="173" t="str">
        <f t="shared" si="112"/>
        <v/>
      </c>
      <c r="M244" s="173" t="str">
        <f t="shared" si="115"/>
        <v/>
      </c>
      <c r="N244" s="173" t="str">
        <f t="shared" si="116"/>
        <v/>
      </c>
      <c r="O244" s="173" t="str">
        <f t="shared" si="117"/>
        <v/>
      </c>
      <c r="P244" s="173" t="str">
        <f t="shared" si="108"/>
        <v/>
      </c>
      <c r="Q244" s="173" t="str">
        <f>IF($F$8&gt;216,($S$8+$S$10),IF($A243=$F$8,$Q$40+$Q$27+$Q$52+$Q$64+$Q$76+$Q$88+$Q$100+$Q$112+$Q$124+$Q$136+$Q$148+$Q$160+$Q$172+$Q$196+$Q$184+$Q$208+$Q$220+$Q$232,""))</f>
        <v/>
      </c>
      <c r="R244" s="173" t="str">
        <f t="shared" si="114"/>
        <v/>
      </c>
      <c r="S244" s="176" t="str">
        <f>IF(A243=$D$8,XIRR(U$27:U243,C$27:C243),"")</f>
        <v/>
      </c>
      <c r="T244" s="173" t="str">
        <f t="shared" si="98"/>
        <v/>
      </c>
      <c r="U244" s="173">
        <f t="shared" si="107"/>
        <v>0</v>
      </c>
      <c r="V244" s="141" t="e">
        <f t="shared" ca="1" si="99"/>
        <v>#VALUE!</v>
      </c>
      <c r="W244" s="141" t="e">
        <f t="shared" ca="1" si="105"/>
        <v>#VALUE!</v>
      </c>
      <c r="X244" s="141" t="e">
        <f t="shared" ca="1" si="100"/>
        <v>#VALUE!</v>
      </c>
      <c r="Y244" s="177" t="e">
        <f t="shared" ca="1" si="118"/>
        <v>#VALUE!</v>
      </c>
      <c r="Z244" s="178" t="e">
        <f t="shared" ca="1" si="101"/>
        <v>#VALUE!</v>
      </c>
      <c r="AA244" s="141">
        <v>217</v>
      </c>
    </row>
    <row r="245" spans="1:27" x14ac:dyDescent="0.35">
      <c r="A245" s="175" t="str">
        <f t="shared" si="106"/>
        <v/>
      </c>
      <c r="B245" s="172">
        <f t="shared" ca="1" si="102"/>
        <v>51831</v>
      </c>
      <c r="C245" s="172" t="str">
        <f t="shared" ca="1" si="103"/>
        <v xml:space="preserve"> </v>
      </c>
      <c r="D245" s="175" t="str">
        <f t="shared" si="109"/>
        <v/>
      </c>
      <c r="E245" s="173" t="e">
        <f t="shared" ca="1" si="97"/>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10"/>
        <v/>
      </c>
      <c r="J245" s="173" t="str">
        <f t="shared" si="111"/>
        <v/>
      </c>
      <c r="K245" s="173" t="str">
        <f t="shared" ref="K245:K267" si="120">IF(A244=$D$8,$K$27,"")</f>
        <v/>
      </c>
      <c r="L245" s="173" t="str">
        <f t="shared" si="112"/>
        <v/>
      </c>
      <c r="M245" s="173" t="str">
        <f t="shared" si="115"/>
        <v/>
      </c>
      <c r="N245" s="173" t="str">
        <f t="shared" si="116"/>
        <v/>
      </c>
      <c r="O245" s="173" t="str">
        <f t="shared" si="117"/>
        <v/>
      </c>
      <c r="P245" s="173" t="str">
        <f t="shared" si="108"/>
        <v/>
      </c>
      <c r="Q245" s="173" t="str">
        <f t="shared" ref="Q245:Q255" si="121">IF(A244=$D$8,$Q$27,"")</f>
        <v/>
      </c>
      <c r="R245" s="173" t="str">
        <f t="shared" si="114"/>
        <v/>
      </c>
      <c r="S245" s="176" t="str">
        <f>IF(A244=$D$8,XIRR(U$27:U244,C$27:C244),"")</f>
        <v/>
      </c>
      <c r="T245" s="173" t="str">
        <f t="shared" si="98"/>
        <v/>
      </c>
      <c r="U245" s="173">
        <f t="shared" si="107"/>
        <v>0</v>
      </c>
      <c r="V245" s="141" t="e">
        <f t="shared" ca="1" si="99"/>
        <v>#VALUE!</v>
      </c>
      <c r="W245" s="141" t="e">
        <f t="shared" ca="1" si="105"/>
        <v>#VALUE!</v>
      </c>
      <c r="X245" s="141" t="e">
        <f t="shared" ca="1" si="100"/>
        <v>#VALUE!</v>
      </c>
      <c r="Y245" s="177" t="e">
        <f t="shared" ca="1" si="118"/>
        <v>#VALUE!</v>
      </c>
      <c r="Z245" s="178" t="e">
        <f t="shared" ca="1" si="101"/>
        <v>#VALUE!</v>
      </c>
      <c r="AA245" s="141">
        <v>218</v>
      </c>
    </row>
    <row r="246" spans="1:27" x14ac:dyDescent="0.35">
      <c r="A246" s="175" t="str">
        <f t="shared" si="106"/>
        <v/>
      </c>
      <c r="B246" s="172">
        <f t="shared" ca="1" si="102"/>
        <v>51861</v>
      </c>
      <c r="C246" s="172" t="str">
        <f t="shared" ca="1" si="103"/>
        <v xml:space="preserve"> </v>
      </c>
      <c r="D246" s="175" t="str">
        <f t="shared" si="109"/>
        <v/>
      </c>
      <c r="E246" s="173" t="e">
        <f t="shared" ca="1" si="97"/>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10"/>
        <v/>
      </c>
      <c r="J246" s="173" t="str">
        <f t="shared" si="111"/>
        <v/>
      </c>
      <c r="K246" s="173" t="str">
        <f t="shared" si="120"/>
        <v/>
      </c>
      <c r="L246" s="173" t="str">
        <f t="shared" si="112"/>
        <v/>
      </c>
      <c r="M246" s="173" t="str">
        <f t="shared" si="115"/>
        <v/>
      </c>
      <c r="N246" s="173" t="str">
        <f t="shared" si="116"/>
        <v/>
      </c>
      <c r="O246" s="173" t="str">
        <f t="shared" si="117"/>
        <v/>
      </c>
      <c r="P246" s="173" t="str">
        <f t="shared" si="108"/>
        <v/>
      </c>
      <c r="Q246" s="173" t="str">
        <f t="shared" si="121"/>
        <v/>
      </c>
      <c r="R246" s="173" t="str">
        <f t="shared" si="114"/>
        <v/>
      </c>
      <c r="S246" s="176" t="str">
        <f>IF(A245=$D$8,XIRR(U$27:U245,C$27:C245),"")</f>
        <v/>
      </c>
      <c r="T246" s="173" t="str">
        <f t="shared" si="98"/>
        <v/>
      </c>
      <c r="U246" s="173">
        <f t="shared" si="107"/>
        <v>0</v>
      </c>
      <c r="V246" s="141" t="e">
        <f t="shared" ca="1" si="99"/>
        <v>#VALUE!</v>
      </c>
      <c r="W246" s="141" t="e">
        <f t="shared" ca="1" si="105"/>
        <v>#VALUE!</v>
      </c>
      <c r="X246" s="141" t="e">
        <f t="shared" ca="1" si="100"/>
        <v>#VALUE!</v>
      </c>
      <c r="Y246" s="177" t="e">
        <f t="shared" ca="1" si="118"/>
        <v>#VALUE!</v>
      </c>
      <c r="Z246" s="178" t="e">
        <f t="shared" ca="1" si="101"/>
        <v>#VALUE!</v>
      </c>
      <c r="AA246" s="141">
        <v>219</v>
      </c>
    </row>
    <row r="247" spans="1:27" x14ac:dyDescent="0.35">
      <c r="A247" s="175" t="str">
        <f t="shared" si="106"/>
        <v/>
      </c>
      <c r="B247" s="172">
        <f t="shared" ca="1" si="102"/>
        <v>51892</v>
      </c>
      <c r="C247" s="172" t="str">
        <f t="shared" ca="1" si="103"/>
        <v xml:space="preserve"> </v>
      </c>
      <c r="D247" s="175" t="str">
        <f t="shared" si="109"/>
        <v/>
      </c>
      <c r="E247" s="173" t="e">
        <f t="shared" ca="1" si="97"/>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10"/>
        <v/>
      </c>
      <c r="J247" s="173" t="str">
        <f t="shared" si="111"/>
        <v/>
      </c>
      <c r="K247" s="173" t="str">
        <f t="shared" si="120"/>
        <v/>
      </c>
      <c r="L247" s="173" t="str">
        <f t="shared" si="112"/>
        <v/>
      </c>
      <c r="M247" s="173" t="str">
        <f t="shared" si="115"/>
        <v/>
      </c>
      <c r="N247" s="173" t="str">
        <f t="shared" si="116"/>
        <v/>
      </c>
      <c r="O247" s="173" t="str">
        <f t="shared" si="117"/>
        <v/>
      </c>
      <c r="P247" s="173" t="str">
        <f t="shared" si="108"/>
        <v/>
      </c>
      <c r="Q247" s="173" t="str">
        <f t="shared" si="121"/>
        <v/>
      </c>
      <c r="R247" s="173" t="str">
        <f t="shared" si="114"/>
        <v/>
      </c>
      <c r="S247" s="176" t="str">
        <f>IF(A246=$D$8,XIRR(U$27:U246,C$27:C246),"")</f>
        <v/>
      </c>
      <c r="T247" s="173" t="str">
        <f t="shared" si="98"/>
        <v/>
      </c>
      <c r="U247" s="173">
        <f t="shared" si="107"/>
        <v>0</v>
      </c>
      <c r="V247" s="141" t="e">
        <f t="shared" ca="1" si="99"/>
        <v>#VALUE!</v>
      </c>
      <c r="W247" s="141" t="e">
        <f t="shared" ca="1" si="105"/>
        <v>#VALUE!</v>
      </c>
      <c r="X247" s="141" t="e">
        <f t="shared" ca="1" si="100"/>
        <v>#VALUE!</v>
      </c>
      <c r="Y247" s="177" t="e">
        <f t="shared" ca="1" si="118"/>
        <v>#VALUE!</v>
      </c>
      <c r="Z247" s="178" t="e">
        <f t="shared" ca="1" si="101"/>
        <v>#VALUE!</v>
      </c>
      <c r="AA247" s="141">
        <v>220</v>
      </c>
    </row>
    <row r="248" spans="1:27" x14ac:dyDescent="0.35">
      <c r="A248" s="175" t="str">
        <f t="shared" si="106"/>
        <v/>
      </c>
      <c r="B248" s="172">
        <f t="shared" ca="1" si="102"/>
        <v>51923</v>
      </c>
      <c r="C248" s="172" t="str">
        <f t="shared" ca="1" si="103"/>
        <v xml:space="preserve"> </v>
      </c>
      <c r="D248" s="175" t="str">
        <f t="shared" si="109"/>
        <v/>
      </c>
      <c r="E248" s="173" t="e">
        <f t="shared" ca="1" si="97"/>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10"/>
        <v/>
      </c>
      <c r="J248" s="173" t="str">
        <f t="shared" si="111"/>
        <v/>
      </c>
      <c r="K248" s="173" t="str">
        <f t="shared" si="120"/>
        <v/>
      </c>
      <c r="L248" s="173" t="str">
        <f t="shared" si="112"/>
        <v/>
      </c>
      <c r="M248" s="173" t="str">
        <f t="shared" si="115"/>
        <v/>
      </c>
      <c r="N248" s="173" t="str">
        <f t="shared" si="116"/>
        <v/>
      </c>
      <c r="O248" s="173" t="str">
        <f t="shared" si="117"/>
        <v/>
      </c>
      <c r="P248" s="173" t="str">
        <f t="shared" si="108"/>
        <v/>
      </c>
      <c r="Q248" s="173" t="str">
        <f t="shared" si="121"/>
        <v/>
      </c>
      <c r="R248" s="173" t="str">
        <f t="shared" si="114"/>
        <v/>
      </c>
      <c r="S248" s="176" t="str">
        <f>IF(A247=$D$8,XIRR(U$27:U247,C$27:C247),"")</f>
        <v/>
      </c>
      <c r="T248" s="173" t="str">
        <f t="shared" si="98"/>
        <v/>
      </c>
      <c r="U248" s="173">
        <f t="shared" si="107"/>
        <v>0</v>
      </c>
      <c r="V248" s="141" t="e">
        <f t="shared" ca="1" si="99"/>
        <v>#VALUE!</v>
      </c>
      <c r="W248" s="141" t="e">
        <f t="shared" ca="1" si="105"/>
        <v>#VALUE!</v>
      </c>
      <c r="X248" s="141" t="e">
        <f t="shared" ca="1" si="100"/>
        <v>#VALUE!</v>
      </c>
      <c r="Y248" s="177" t="e">
        <f t="shared" ca="1" si="118"/>
        <v>#VALUE!</v>
      </c>
      <c r="Z248" s="178" t="e">
        <f t="shared" ca="1" si="101"/>
        <v>#VALUE!</v>
      </c>
      <c r="AA248" s="141">
        <v>221</v>
      </c>
    </row>
    <row r="249" spans="1:27" x14ac:dyDescent="0.35">
      <c r="A249" s="175" t="str">
        <f t="shared" si="106"/>
        <v/>
      </c>
      <c r="B249" s="172">
        <f t="shared" ca="1" si="102"/>
        <v>51951</v>
      </c>
      <c r="C249" s="172" t="str">
        <f t="shared" ca="1" si="103"/>
        <v xml:space="preserve"> </v>
      </c>
      <c r="D249" s="175" t="str">
        <f t="shared" si="109"/>
        <v/>
      </c>
      <c r="E249" s="173" t="e">
        <f t="shared" ca="1" si="97"/>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10"/>
        <v/>
      </c>
      <c r="J249" s="173" t="str">
        <f t="shared" si="111"/>
        <v/>
      </c>
      <c r="K249" s="173" t="str">
        <f t="shared" si="120"/>
        <v/>
      </c>
      <c r="L249" s="173" t="str">
        <f t="shared" si="112"/>
        <v/>
      </c>
      <c r="M249" s="173" t="str">
        <f t="shared" si="115"/>
        <v/>
      </c>
      <c r="N249" s="173" t="str">
        <f t="shared" si="116"/>
        <v/>
      </c>
      <c r="O249" s="173" t="str">
        <f t="shared" si="117"/>
        <v/>
      </c>
      <c r="P249" s="173" t="str">
        <f t="shared" si="108"/>
        <v/>
      </c>
      <c r="Q249" s="173" t="str">
        <f t="shared" si="121"/>
        <v/>
      </c>
      <c r="R249" s="173" t="str">
        <f t="shared" si="114"/>
        <v/>
      </c>
      <c r="S249" s="176" t="str">
        <f>IF(A248=$D$8,XIRR(U$27:U248,C$27:C248),"")</f>
        <v/>
      </c>
      <c r="T249" s="173" t="str">
        <f t="shared" si="98"/>
        <v/>
      </c>
      <c r="U249" s="173">
        <f t="shared" si="107"/>
        <v>0</v>
      </c>
      <c r="V249" s="141" t="e">
        <f t="shared" ca="1" si="99"/>
        <v>#VALUE!</v>
      </c>
      <c r="W249" s="141" t="e">
        <f t="shared" ca="1" si="105"/>
        <v>#VALUE!</v>
      </c>
      <c r="X249" s="141" t="e">
        <f t="shared" ca="1" si="100"/>
        <v>#VALUE!</v>
      </c>
      <c r="Y249" s="177" t="e">
        <f t="shared" ca="1" si="118"/>
        <v>#VALUE!</v>
      </c>
      <c r="Z249" s="178" t="e">
        <f t="shared" ca="1" si="101"/>
        <v>#VALUE!</v>
      </c>
      <c r="AA249" s="141">
        <v>222</v>
      </c>
    </row>
    <row r="250" spans="1:27" x14ac:dyDescent="0.35">
      <c r="A250" s="175" t="str">
        <f t="shared" si="106"/>
        <v/>
      </c>
      <c r="B250" s="172">
        <f t="shared" ca="1" si="102"/>
        <v>51982</v>
      </c>
      <c r="C250" s="172" t="str">
        <f t="shared" ca="1" si="103"/>
        <v xml:space="preserve"> </v>
      </c>
      <c r="D250" s="175" t="str">
        <f t="shared" si="109"/>
        <v/>
      </c>
      <c r="E250" s="173" t="e">
        <f t="shared" ca="1" si="97"/>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10"/>
        <v/>
      </c>
      <c r="J250" s="173" t="str">
        <f t="shared" si="111"/>
        <v/>
      </c>
      <c r="K250" s="173" t="str">
        <f t="shared" si="120"/>
        <v/>
      </c>
      <c r="L250" s="173" t="str">
        <f t="shared" si="112"/>
        <v/>
      </c>
      <c r="M250" s="173" t="str">
        <f t="shared" si="115"/>
        <v/>
      </c>
      <c r="N250" s="173" t="str">
        <f t="shared" si="116"/>
        <v/>
      </c>
      <c r="O250" s="173" t="str">
        <f t="shared" si="117"/>
        <v/>
      </c>
      <c r="P250" s="173" t="str">
        <f t="shared" si="108"/>
        <v/>
      </c>
      <c r="Q250" s="173" t="str">
        <f t="shared" si="121"/>
        <v/>
      </c>
      <c r="R250" s="173" t="str">
        <f t="shared" si="114"/>
        <v/>
      </c>
      <c r="S250" s="176" t="str">
        <f>IF(A249=$D$8,XIRR(U$27:U249,C$27:C249),"")</f>
        <v/>
      </c>
      <c r="T250" s="173" t="str">
        <f t="shared" si="98"/>
        <v/>
      </c>
      <c r="U250" s="173">
        <f t="shared" si="107"/>
        <v>0</v>
      </c>
      <c r="V250" s="141" t="e">
        <f t="shared" ca="1" si="99"/>
        <v>#VALUE!</v>
      </c>
      <c r="W250" s="141" t="e">
        <f t="shared" ca="1" si="105"/>
        <v>#VALUE!</v>
      </c>
      <c r="X250" s="141" t="e">
        <f t="shared" ca="1" si="100"/>
        <v>#VALUE!</v>
      </c>
      <c r="Y250" s="177" t="e">
        <f t="shared" ca="1" si="118"/>
        <v>#VALUE!</v>
      </c>
      <c r="Z250" s="178" t="e">
        <f t="shared" ca="1" si="101"/>
        <v>#VALUE!</v>
      </c>
      <c r="AA250" s="141">
        <v>223</v>
      </c>
    </row>
    <row r="251" spans="1:27" x14ac:dyDescent="0.35">
      <c r="A251" s="175" t="str">
        <f t="shared" si="106"/>
        <v/>
      </c>
      <c r="B251" s="172">
        <f t="shared" ca="1" si="102"/>
        <v>52012</v>
      </c>
      <c r="C251" s="172" t="str">
        <f t="shared" ca="1" si="103"/>
        <v xml:space="preserve"> </v>
      </c>
      <c r="D251" s="175" t="str">
        <f t="shared" si="109"/>
        <v/>
      </c>
      <c r="E251" s="173" t="e">
        <f t="shared" ca="1" si="97"/>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10"/>
        <v/>
      </c>
      <c r="J251" s="173" t="str">
        <f t="shared" si="111"/>
        <v/>
      </c>
      <c r="K251" s="173" t="str">
        <f t="shared" si="120"/>
        <v/>
      </c>
      <c r="L251" s="173" t="str">
        <f t="shared" si="112"/>
        <v/>
      </c>
      <c r="M251" s="173" t="str">
        <f t="shared" si="115"/>
        <v/>
      </c>
      <c r="N251" s="173" t="str">
        <f t="shared" si="116"/>
        <v/>
      </c>
      <c r="O251" s="173" t="str">
        <f t="shared" si="117"/>
        <v/>
      </c>
      <c r="P251" s="173" t="str">
        <f t="shared" si="108"/>
        <v/>
      </c>
      <c r="Q251" s="173" t="str">
        <f t="shared" si="121"/>
        <v/>
      </c>
      <c r="R251" s="173" t="str">
        <f t="shared" si="114"/>
        <v/>
      </c>
      <c r="S251" s="176" t="str">
        <f>IF(A250=$D$8,XIRR(U$27:U250,C$27:C250),"")</f>
        <v/>
      </c>
      <c r="T251" s="173" t="str">
        <f t="shared" si="98"/>
        <v/>
      </c>
      <c r="U251" s="173">
        <f t="shared" si="107"/>
        <v>0</v>
      </c>
      <c r="V251" s="141" t="e">
        <f t="shared" ca="1" si="99"/>
        <v>#VALUE!</v>
      </c>
      <c r="W251" s="141" t="e">
        <f t="shared" ca="1" si="105"/>
        <v>#VALUE!</v>
      </c>
      <c r="X251" s="141" t="e">
        <f t="shared" ca="1" si="100"/>
        <v>#VALUE!</v>
      </c>
      <c r="Y251" s="177" t="e">
        <f t="shared" ca="1" si="118"/>
        <v>#VALUE!</v>
      </c>
      <c r="Z251" s="178" t="e">
        <f t="shared" ca="1" si="101"/>
        <v>#VALUE!</v>
      </c>
      <c r="AA251" s="141">
        <v>224</v>
      </c>
    </row>
    <row r="252" spans="1:27" x14ac:dyDescent="0.35">
      <c r="A252" s="175" t="str">
        <f t="shared" si="106"/>
        <v/>
      </c>
      <c r="B252" s="172">
        <f t="shared" ca="1" si="102"/>
        <v>52043</v>
      </c>
      <c r="C252" s="172" t="str">
        <f t="shared" ca="1" si="103"/>
        <v xml:space="preserve"> </v>
      </c>
      <c r="D252" s="175" t="str">
        <f t="shared" si="109"/>
        <v/>
      </c>
      <c r="E252" s="173" t="e">
        <f t="shared" ca="1" si="97"/>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10"/>
        <v/>
      </c>
      <c r="J252" s="173" t="str">
        <f t="shared" si="111"/>
        <v/>
      </c>
      <c r="K252" s="173" t="str">
        <f t="shared" si="120"/>
        <v/>
      </c>
      <c r="L252" s="173" t="str">
        <f t="shared" si="112"/>
        <v/>
      </c>
      <c r="M252" s="173" t="str">
        <f t="shared" si="115"/>
        <v/>
      </c>
      <c r="N252" s="173" t="str">
        <f t="shared" si="116"/>
        <v/>
      </c>
      <c r="O252" s="173" t="str">
        <f t="shared" si="117"/>
        <v/>
      </c>
      <c r="P252" s="173" t="str">
        <f t="shared" si="108"/>
        <v/>
      </c>
      <c r="Q252" s="173" t="str">
        <f t="shared" si="121"/>
        <v/>
      </c>
      <c r="R252" s="173" t="str">
        <f t="shared" si="114"/>
        <v/>
      </c>
      <c r="S252" s="176" t="str">
        <f>IF(A251=$D$8,XIRR(U$27:U251,C$27:C251),"")</f>
        <v/>
      </c>
      <c r="T252" s="173" t="str">
        <f t="shared" si="98"/>
        <v/>
      </c>
      <c r="U252" s="173">
        <f t="shared" si="107"/>
        <v>0</v>
      </c>
      <c r="V252" s="141" t="e">
        <f t="shared" ca="1" si="99"/>
        <v>#VALUE!</v>
      </c>
      <c r="W252" s="141" t="e">
        <f t="shared" ca="1" si="105"/>
        <v>#VALUE!</v>
      </c>
      <c r="X252" s="141" t="e">
        <f t="shared" ca="1" si="100"/>
        <v>#VALUE!</v>
      </c>
      <c r="Y252" s="177" t="e">
        <f t="shared" ca="1" si="118"/>
        <v>#VALUE!</v>
      </c>
      <c r="Z252" s="178" t="e">
        <f t="shared" ca="1" si="101"/>
        <v>#VALUE!</v>
      </c>
      <c r="AA252" s="141">
        <v>225</v>
      </c>
    </row>
    <row r="253" spans="1:27" x14ac:dyDescent="0.35">
      <c r="A253" s="175" t="str">
        <f t="shared" si="106"/>
        <v/>
      </c>
      <c r="B253" s="172">
        <f t="shared" ca="1" si="102"/>
        <v>52073</v>
      </c>
      <c r="C253" s="172" t="str">
        <f t="shared" ca="1" si="103"/>
        <v xml:space="preserve"> </v>
      </c>
      <c r="D253" s="175" t="str">
        <f t="shared" si="109"/>
        <v/>
      </c>
      <c r="E253" s="173" t="e">
        <f t="shared" ca="1" si="97"/>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10"/>
        <v/>
      </c>
      <c r="J253" s="173" t="str">
        <f t="shared" si="111"/>
        <v/>
      </c>
      <c r="K253" s="173" t="str">
        <f t="shared" si="120"/>
        <v/>
      </c>
      <c r="L253" s="173" t="str">
        <f t="shared" si="112"/>
        <v/>
      </c>
      <c r="M253" s="173" t="str">
        <f t="shared" si="115"/>
        <v/>
      </c>
      <c r="N253" s="173" t="str">
        <f t="shared" si="116"/>
        <v/>
      </c>
      <c r="O253" s="173" t="str">
        <f t="shared" si="117"/>
        <v/>
      </c>
      <c r="P253" s="173" t="str">
        <f t="shared" si="108"/>
        <v/>
      </c>
      <c r="Q253" s="173" t="str">
        <f t="shared" si="121"/>
        <v/>
      </c>
      <c r="R253" s="173" t="str">
        <f t="shared" si="114"/>
        <v/>
      </c>
      <c r="S253" s="176" t="str">
        <f>IF(A252=$D$8,XIRR(U$27:U252,C$27:C252),"")</f>
        <v/>
      </c>
      <c r="T253" s="173" t="str">
        <f t="shared" si="98"/>
        <v/>
      </c>
      <c r="U253" s="173">
        <f t="shared" si="107"/>
        <v>0</v>
      </c>
      <c r="V253" s="141" t="e">
        <f t="shared" ca="1" si="99"/>
        <v>#VALUE!</v>
      </c>
      <c r="W253" s="141" t="e">
        <f t="shared" ca="1" si="105"/>
        <v>#VALUE!</v>
      </c>
      <c r="X253" s="141" t="e">
        <f t="shared" ca="1" si="100"/>
        <v>#VALUE!</v>
      </c>
      <c r="Y253" s="177" t="e">
        <f t="shared" ca="1" si="118"/>
        <v>#VALUE!</v>
      </c>
      <c r="Z253" s="178" t="e">
        <f t="shared" ca="1" si="101"/>
        <v>#VALUE!</v>
      </c>
      <c r="AA253" s="141">
        <v>226</v>
      </c>
    </row>
    <row r="254" spans="1:27" x14ac:dyDescent="0.35">
      <c r="A254" s="175" t="str">
        <f t="shared" si="106"/>
        <v/>
      </c>
      <c r="B254" s="172">
        <f t="shared" ca="1" si="102"/>
        <v>52104</v>
      </c>
      <c r="C254" s="172" t="str">
        <f t="shared" ca="1" si="103"/>
        <v xml:space="preserve"> </v>
      </c>
      <c r="D254" s="175" t="str">
        <f t="shared" si="109"/>
        <v/>
      </c>
      <c r="E254" s="173" t="e">
        <f t="shared" ca="1" si="97"/>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10"/>
        <v/>
      </c>
      <c r="J254" s="173" t="str">
        <f t="shared" si="111"/>
        <v/>
      </c>
      <c r="K254" s="173" t="str">
        <f t="shared" si="120"/>
        <v/>
      </c>
      <c r="L254" s="173" t="str">
        <f t="shared" si="112"/>
        <v/>
      </c>
      <c r="M254" s="173" t="str">
        <f t="shared" si="115"/>
        <v/>
      </c>
      <c r="N254" s="173" t="str">
        <f t="shared" si="116"/>
        <v/>
      </c>
      <c r="O254" s="173" t="str">
        <f t="shared" si="117"/>
        <v/>
      </c>
      <c r="P254" s="173" t="str">
        <f t="shared" si="108"/>
        <v/>
      </c>
      <c r="Q254" s="173" t="str">
        <f t="shared" si="121"/>
        <v/>
      </c>
      <c r="R254" s="173" t="str">
        <f t="shared" si="114"/>
        <v/>
      </c>
      <c r="S254" s="176" t="str">
        <f>IF(A253=$D$8,XIRR(U$27:U253,C$27:C253),"")</f>
        <v/>
      </c>
      <c r="T254" s="173" t="str">
        <f t="shared" si="98"/>
        <v/>
      </c>
      <c r="U254" s="173">
        <f t="shared" si="107"/>
        <v>0</v>
      </c>
      <c r="V254" s="141" t="e">
        <f t="shared" ca="1" si="99"/>
        <v>#VALUE!</v>
      </c>
      <c r="W254" s="141" t="e">
        <f t="shared" ca="1" si="105"/>
        <v>#VALUE!</v>
      </c>
      <c r="X254" s="141" t="e">
        <f t="shared" ca="1" si="100"/>
        <v>#VALUE!</v>
      </c>
      <c r="Y254" s="177" t="e">
        <f t="shared" ca="1" si="118"/>
        <v>#VALUE!</v>
      </c>
      <c r="Z254" s="178" t="e">
        <f t="shared" ca="1" si="101"/>
        <v>#VALUE!</v>
      </c>
      <c r="AA254" s="141">
        <v>227</v>
      </c>
    </row>
    <row r="255" spans="1:27" x14ac:dyDescent="0.35">
      <c r="A255" s="175" t="str">
        <f t="shared" si="106"/>
        <v/>
      </c>
      <c r="B255" s="172">
        <f t="shared" ca="1" si="102"/>
        <v>52135</v>
      </c>
      <c r="C255" s="172" t="str">
        <f t="shared" ca="1" si="103"/>
        <v xml:space="preserve"> </v>
      </c>
      <c r="D255" s="175" t="str">
        <f t="shared" si="109"/>
        <v/>
      </c>
      <c r="E255" s="173" t="e">
        <f t="shared" ca="1" si="97"/>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10"/>
        <v/>
      </c>
      <c r="J255" s="173" t="str">
        <f t="shared" si="111"/>
        <v/>
      </c>
      <c r="K255" s="173" t="str">
        <f t="shared" si="120"/>
        <v/>
      </c>
      <c r="L255" s="173" t="str">
        <f t="shared" si="112"/>
        <v/>
      </c>
      <c r="M255" s="173" t="str">
        <f t="shared" si="115"/>
        <v/>
      </c>
      <c r="N255" s="173" t="str">
        <f t="shared" si="116"/>
        <v/>
      </c>
      <c r="O255" s="173" t="str">
        <f t="shared" si="117"/>
        <v/>
      </c>
      <c r="P255" s="173" t="str">
        <f t="shared" si="108"/>
        <v/>
      </c>
      <c r="Q255" s="173" t="str">
        <f t="shared" si="121"/>
        <v/>
      </c>
      <c r="R255" s="173" t="str">
        <f t="shared" si="114"/>
        <v/>
      </c>
      <c r="S255" s="176" t="str">
        <f>IF(A254=$D$8,XIRR(U$27:U254,C$27:C254),"")</f>
        <v/>
      </c>
      <c r="T255" s="173" t="str">
        <f t="shared" si="98"/>
        <v/>
      </c>
      <c r="U255" s="173">
        <f t="shared" si="107"/>
        <v>0</v>
      </c>
      <c r="V255" s="141" t="e">
        <f t="shared" ca="1" si="99"/>
        <v>#VALUE!</v>
      </c>
      <c r="W255" s="141" t="e">
        <f t="shared" ca="1" si="105"/>
        <v>#VALUE!</v>
      </c>
      <c r="X255" s="141" t="e">
        <f t="shared" ca="1" si="100"/>
        <v>#VALUE!</v>
      </c>
      <c r="Y255" s="177" t="e">
        <f t="shared" ca="1" si="118"/>
        <v>#VALUE!</v>
      </c>
      <c r="Z255" s="178" t="e">
        <f t="shared" ca="1" si="101"/>
        <v>#VALUE!</v>
      </c>
      <c r="AA255" s="141">
        <v>228</v>
      </c>
    </row>
    <row r="256" spans="1:27" x14ac:dyDescent="0.35">
      <c r="A256" s="175" t="str">
        <f t="shared" si="106"/>
        <v/>
      </c>
      <c r="B256" s="172">
        <f t="shared" ca="1" si="102"/>
        <v>52165</v>
      </c>
      <c r="C256" s="172" t="str">
        <f t="shared" ca="1" si="103"/>
        <v xml:space="preserve"> </v>
      </c>
      <c r="D256" s="175" t="str">
        <f t="shared" si="109"/>
        <v/>
      </c>
      <c r="E256" s="173" t="e">
        <f t="shared" ca="1" si="97"/>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10"/>
        <v/>
      </c>
      <c r="J256" s="173" t="str">
        <f t="shared" si="111"/>
        <v/>
      </c>
      <c r="K256" s="173" t="str">
        <f>IF($F$8&gt;228,($R$14),IF(A255=$F$8,K244+K232+K220+K208+K196+K184+K172+K160+K148+K136+K124+K112+K100+K88+K76+K64+K52+K40+K27,""))</f>
        <v/>
      </c>
      <c r="L256" s="173" t="str">
        <f t="shared" si="112"/>
        <v/>
      </c>
      <c r="M256" s="173" t="str">
        <f t="shared" si="115"/>
        <v/>
      </c>
      <c r="N256" s="173" t="str">
        <f t="shared" si="116"/>
        <v/>
      </c>
      <c r="O256" s="173" t="str">
        <f t="shared" si="117"/>
        <v/>
      </c>
      <c r="P256" s="173" t="str">
        <f t="shared" si="108"/>
        <v/>
      </c>
      <c r="Q256" s="173" t="str">
        <f>IF($F$8&gt;228,($S$8+$S$10),IF($A255=$F$8,$Q$40+$Q$27+$Q$52+$Q$64+$Q$76+$Q$88+$Q$100+$Q$112+$Q$124+$Q$136+$Q$148+$Q$160+$Q$172+$Q$196+$Q$184+$Q$208+$Q$220+$Q$232+$Q$244,""))</f>
        <v/>
      </c>
      <c r="R256" s="173" t="str">
        <f t="shared" si="114"/>
        <v/>
      </c>
      <c r="S256" s="176" t="str">
        <f>IF(A255=$D$8,XIRR(U$27:U255,C$27:C255),"")</f>
        <v/>
      </c>
      <c r="T256" s="173" t="str">
        <f t="shared" si="98"/>
        <v/>
      </c>
      <c r="U256" s="173">
        <f t="shared" si="107"/>
        <v>0</v>
      </c>
      <c r="V256" s="141" t="e">
        <f t="shared" ca="1" si="99"/>
        <v>#VALUE!</v>
      </c>
      <c r="W256" s="141" t="e">
        <f t="shared" ca="1" si="105"/>
        <v>#VALUE!</v>
      </c>
      <c r="X256" s="141" t="e">
        <f t="shared" ca="1" si="100"/>
        <v>#VALUE!</v>
      </c>
      <c r="Y256" s="177" t="e">
        <f t="shared" ca="1" si="118"/>
        <v>#VALUE!</v>
      </c>
      <c r="Z256" s="178" t="e">
        <f t="shared" ca="1" si="101"/>
        <v>#VALUE!</v>
      </c>
      <c r="AA256" s="141">
        <v>229</v>
      </c>
    </row>
    <row r="257" spans="1:27" x14ac:dyDescent="0.35">
      <c r="A257" s="175" t="str">
        <f t="shared" si="106"/>
        <v/>
      </c>
      <c r="B257" s="172">
        <f t="shared" ca="1" si="102"/>
        <v>52196</v>
      </c>
      <c r="C257" s="172" t="str">
        <f t="shared" ca="1" si="103"/>
        <v xml:space="preserve"> </v>
      </c>
      <c r="D257" s="175" t="str">
        <f t="shared" si="109"/>
        <v/>
      </c>
      <c r="E257" s="173" t="e">
        <f t="shared" ca="1" si="97"/>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10"/>
        <v/>
      </c>
      <c r="J257" s="173" t="str">
        <f t="shared" si="111"/>
        <v/>
      </c>
      <c r="K257" s="173" t="str">
        <f t="shared" si="120"/>
        <v/>
      </c>
      <c r="L257" s="173" t="str">
        <f t="shared" si="112"/>
        <v/>
      </c>
      <c r="M257" s="173" t="str">
        <f t="shared" si="115"/>
        <v/>
      </c>
      <c r="N257" s="173" t="str">
        <f t="shared" si="116"/>
        <v/>
      </c>
      <c r="O257" s="173" t="str">
        <f t="shared" si="117"/>
        <v/>
      </c>
      <c r="P257" s="173" t="str">
        <f t="shared" si="108"/>
        <v/>
      </c>
      <c r="Q257" s="173" t="str">
        <f t="shared" ref="Q257:Q267" si="122">IF(A256=$D$8,$Q$27,"")</f>
        <v/>
      </c>
      <c r="R257" s="173" t="str">
        <f t="shared" si="114"/>
        <v/>
      </c>
      <c r="S257" s="176" t="str">
        <f>IF(A256=$D$8,XIRR(U$27:U256,C$27:C256),"")</f>
        <v/>
      </c>
      <c r="T257" s="173" t="str">
        <f t="shared" si="98"/>
        <v/>
      </c>
      <c r="U257" s="173">
        <f t="shared" si="107"/>
        <v>0</v>
      </c>
      <c r="V257" s="141" t="e">
        <f t="shared" ca="1" si="99"/>
        <v>#VALUE!</v>
      </c>
      <c r="W257" s="141" t="e">
        <f t="shared" ca="1" si="105"/>
        <v>#VALUE!</v>
      </c>
      <c r="X257" s="141" t="e">
        <f t="shared" ca="1" si="100"/>
        <v>#VALUE!</v>
      </c>
      <c r="Y257" s="177" t="e">
        <f t="shared" ca="1" si="118"/>
        <v>#VALUE!</v>
      </c>
      <c r="Z257" s="178" t="e">
        <f t="shared" ca="1" si="101"/>
        <v>#VALUE!</v>
      </c>
      <c r="AA257" s="141">
        <v>230</v>
      </c>
    </row>
    <row r="258" spans="1:27" x14ac:dyDescent="0.35">
      <c r="A258" s="175" t="str">
        <f t="shared" si="106"/>
        <v/>
      </c>
      <c r="B258" s="172">
        <f t="shared" ca="1" si="102"/>
        <v>52226</v>
      </c>
      <c r="C258" s="172" t="str">
        <f t="shared" ca="1" si="103"/>
        <v xml:space="preserve"> </v>
      </c>
      <c r="D258" s="175" t="str">
        <f t="shared" si="109"/>
        <v/>
      </c>
      <c r="E258" s="173" t="e">
        <f t="shared" ca="1" si="97"/>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10"/>
        <v/>
      </c>
      <c r="J258" s="173" t="str">
        <f t="shared" si="111"/>
        <v/>
      </c>
      <c r="K258" s="173" t="str">
        <f t="shared" si="120"/>
        <v/>
      </c>
      <c r="L258" s="173" t="str">
        <f t="shared" si="112"/>
        <v/>
      </c>
      <c r="M258" s="173" t="str">
        <f t="shared" si="115"/>
        <v/>
      </c>
      <c r="N258" s="173" t="str">
        <f t="shared" si="116"/>
        <v/>
      </c>
      <c r="O258" s="173" t="str">
        <f t="shared" si="117"/>
        <v/>
      </c>
      <c r="P258" s="173" t="str">
        <f t="shared" si="108"/>
        <v/>
      </c>
      <c r="Q258" s="173" t="str">
        <f t="shared" si="122"/>
        <v/>
      </c>
      <c r="R258" s="173" t="str">
        <f t="shared" si="114"/>
        <v/>
      </c>
      <c r="S258" s="176" t="str">
        <f>IF(A257=$D$8,XIRR(U$27:U257,C$27:C257),"")</f>
        <v/>
      </c>
      <c r="T258" s="173" t="str">
        <f t="shared" si="98"/>
        <v/>
      </c>
      <c r="U258" s="173">
        <f t="shared" si="107"/>
        <v>0</v>
      </c>
      <c r="V258" s="141" t="e">
        <f t="shared" ca="1" si="99"/>
        <v>#VALUE!</v>
      </c>
      <c r="W258" s="141" t="e">
        <f t="shared" ca="1" si="105"/>
        <v>#VALUE!</v>
      </c>
      <c r="X258" s="141" t="e">
        <f t="shared" ca="1" si="100"/>
        <v>#VALUE!</v>
      </c>
      <c r="Y258" s="177" t="e">
        <f t="shared" ca="1" si="118"/>
        <v>#VALUE!</v>
      </c>
      <c r="Z258" s="178" t="e">
        <f t="shared" ca="1" si="101"/>
        <v>#VALUE!</v>
      </c>
      <c r="AA258" s="141">
        <v>231</v>
      </c>
    </row>
    <row r="259" spans="1:27" x14ac:dyDescent="0.35">
      <c r="A259" s="175" t="str">
        <f t="shared" si="106"/>
        <v/>
      </c>
      <c r="B259" s="172">
        <f t="shared" ca="1" si="102"/>
        <v>52257</v>
      </c>
      <c r="C259" s="172" t="str">
        <f t="shared" ca="1" si="103"/>
        <v xml:space="preserve"> </v>
      </c>
      <c r="D259" s="175" t="str">
        <f t="shared" si="109"/>
        <v/>
      </c>
      <c r="E259" s="173" t="e">
        <f t="shared" ca="1" si="97"/>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10"/>
        <v/>
      </c>
      <c r="J259" s="173" t="str">
        <f t="shared" si="111"/>
        <v/>
      </c>
      <c r="K259" s="173" t="str">
        <f t="shared" si="120"/>
        <v/>
      </c>
      <c r="L259" s="173" t="str">
        <f t="shared" si="112"/>
        <v/>
      </c>
      <c r="M259" s="173" t="str">
        <f t="shared" si="115"/>
        <v/>
      </c>
      <c r="N259" s="173" t="str">
        <f t="shared" si="116"/>
        <v/>
      </c>
      <c r="O259" s="173" t="str">
        <f t="shared" si="117"/>
        <v/>
      </c>
      <c r="P259" s="173" t="str">
        <f t="shared" si="108"/>
        <v/>
      </c>
      <c r="Q259" s="173" t="str">
        <f t="shared" si="122"/>
        <v/>
      </c>
      <c r="R259" s="173" t="str">
        <f t="shared" si="114"/>
        <v/>
      </c>
      <c r="S259" s="176" t="str">
        <f>IF(A258=$D$8,XIRR(U$27:U258,C$27:C258),"")</f>
        <v/>
      </c>
      <c r="T259" s="173" t="str">
        <f t="shared" si="98"/>
        <v/>
      </c>
      <c r="U259" s="173">
        <f t="shared" si="107"/>
        <v>0</v>
      </c>
      <c r="V259" s="141" t="e">
        <f t="shared" ca="1" si="99"/>
        <v>#VALUE!</v>
      </c>
      <c r="W259" s="141" t="e">
        <f t="shared" ca="1" si="105"/>
        <v>#VALUE!</v>
      </c>
      <c r="X259" s="141" t="e">
        <f t="shared" ca="1" si="100"/>
        <v>#VALUE!</v>
      </c>
      <c r="Y259" s="177" t="e">
        <f t="shared" ca="1" si="118"/>
        <v>#VALUE!</v>
      </c>
      <c r="Z259" s="178" t="e">
        <f t="shared" ca="1" si="101"/>
        <v>#VALUE!</v>
      </c>
      <c r="AA259" s="141">
        <v>232</v>
      </c>
    </row>
    <row r="260" spans="1:27" x14ac:dyDescent="0.35">
      <c r="A260" s="175" t="str">
        <f t="shared" si="106"/>
        <v/>
      </c>
      <c r="B260" s="172">
        <f t="shared" ca="1" si="102"/>
        <v>52288</v>
      </c>
      <c r="C260" s="172" t="str">
        <f t="shared" ca="1" si="103"/>
        <v xml:space="preserve"> </v>
      </c>
      <c r="D260" s="175" t="str">
        <f t="shared" si="109"/>
        <v/>
      </c>
      <c r="E260" s="173" t="e">
        <f t="shared" ca="1" si="97"/>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10"/>
        <v/>
      </c>
      <c r="J260" s="173" t="str">
        <f t="shared" si="111"/>
        <v/>
      </c>
      <c r="K260" s="173" t="str">
        <f t="shared" si="120"/>
        <v/>
      </c>
      <c r="L260" s="173" t="str">
        <f t="shared" si="112"/>
        <v/>
      </c>
      <c r="M260" s="173" t="str">
        <f t="shared" si="115"/>
        <v/>
      </c>
      <c r="N260" s="173" t="str">
        <f t="shared" si="116"/>
        <v/>
      </c>
      <c r="O260" s="173" t="str">
        <f t="shared" si="117"/>
        <v/>
      </c>
      <c r="P260" s="173" t="str">
        <f t="shared" si="108"/>
        <v/>
      </c>
      <c r="Q260" s="173" t="str">
        <f t="shared" si="122"/>
        <v/>
      </c>
      <c r="R260" s="173" t="str">
        <f t="shared" si="114"/>
        <v/>
      </c>
      <c r="S260" s="176" t="str">
        <f>IF(A259=$D$8,XIRR(U$27:U259,C$27:C259),"")</f>
        <v/>
      </c>
      <c r="T260" s="173" t="str">
        <f t="shared" si="98"/>
        <v/>
      </c>
      <c r="U260" s="173">
        <f t="shared" si="107"/>
        <v>0</v>
      </c>
      <c r="V260" s="141" t="e">
        <f t="shared" ca="1" si="99"/>
        <v>#VALUE!</v>
      </c>
      <c r="W260" s="141" t="e">
        <f t="shared" ca="1" si="105"/>
        <v>#VALUE!</v>
      </c>
      <c r="X260" s="141" t="e">
        <f t="shared" ca="1" si="100"/>
        <v>#VALUE!</v>
      </c>
      <c r="Y260" s="177" t="e">
        <f t="shared" ca="1" si="118"/>
        <v>#VALUE!</v>
      </c>
      <c r="Z260" s="178" t="e">
        <f t="shared" ca="1" si="101"/>
        <v>#VALUE!</v>
      </c>
      <c r="AA260" s="141">
        <v>233</v>
      </c>
    </row>
    <row r="261" spans="1:27" x14ac:dyDescent="0.35">
      <c r="A261" s="175" t="str">
        <f t="shared" si="106"/>
        <v/>
      </c>
      <c r="B261" s="172">
        <f t="shared" ca="1" si="102"/>
        <v>52316</v>
      </c>
      <c r="C261" s="172" t="str">
        <f t="shared" ca="1" si="103"/>
        <v xml:space="preserve"> </v>
      </c>
      <c r="D261" s="175" t="str">
        <f t="shared" si="109"/>
        <v/>
      </c>
      <c r="E261" s="173" t="e">
        <f t="shared" ca="1" si="97"/>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10"/>
        <v/>
      </c>
      <c r="J261" s="173" t="str">
        <f t="shared" si="111"/>
        <v/>
      </c>
      <c r="K261" s="173" t="str">
        <f t="shared" si="120"/>
        <v/>
      </c>
      <c r="L261" s="173" t="str">
        <f t="shared" si="112"/>
        <v/>
      </c>
      <c r="M261" s="173" t="str">
        <f t="shared" si="115"/>
        <v/>
      </c>
      <c r="N261" s="173" t="str">
        <f t="shared" si="116"/>
        <v/>
      </c>
      <c r="O261" s="173" t="str">
        <f t="shared" si="117"/>
        <v/>
      </c>
      <c r="P261" s="173" t="str">
        <f t="shared" si="108"/>
        <v/>
      </c>
      <c r="Q261" s="173" t="str">
        <f t="shared" si="122"/>
        <v/>
      </c>
      <c r="R261" s="173" t="str">
        <f t="shared" si="114"/>
        <v/>
      </c>
      <c r="S261" s="176" t="str">
        <f>IF(A260=$D$8,XIRR(U$27:U260,C$27:C260),"")</f>
        <v/>
      </c>
      <c r="T261" s="173" t="str">
        <f t="shared" si="98"/>
        <v/>
      </c>
      <c r="U261" s="173">
        <f t="shared" si="107"/>
        <v>0</v>
      </c>
      <c r="V261" s="141" t="e">
        <f t="shared" ca="1" si="99"/>
        <v>#VALUE!</v>
      </c>
      <c r="W261" s="141" t="e">
        <f t="shared" ca="1" si="105"/>
        <v>#VALUE!</v>
      </c>
      <c r="X261" s="141" t="e">
        <f t="shared" ca="1" si="100"/>
        <v>#VALUE!</v>
      </c>
      <c r="Y261" s="177" t="e">
        <f t="shared" ca="1" si="118"/>
        <v>#VALUE!</v>
      </c>
      <c r="Z261" s="178" t="e">
        <f t="shared" ca="1" si="101"/>
        <v>#VALUE!</v>
      </c>
      <c r="AA261" s="141">
        <v>234</v>
      </c>
    </row>
    <row r="262" spans="1:27" x14ac:dyDescent="0.35">
      <c r="A262" s="175" t="str">
        <f t="shared" si="106"/>
        <v/>
      </c>
      <c r="B262" s="172">
        <f t="shared" ca="1" si="102"/>
        <v>52347</v>
      </c>
      <c r="C262" s="172" t="str">
        <f t="shared" ca="1" si="103"/>
        <v xml:space="preserve"> </v>
      </c>
      <c r="D262" s="175" t="str">
        <f t="shared" si="109"/>
        <v/>
      </c>
      <c r="E262" s="173" t="e">
        <f t="shared" ca="1" si="97"/>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10"/>
        <v/>
      </c>
      <c r="J262" s="173" t="str">
        <f t="shared" si="111"/>
        <v/>
      </c>
      <c r="K262" s="173" t="str">
        <f t="shared" si="120"/>
        <v/>
      </c>
      <c r="L262" s="173" t="str">
        <f t="shared" si="112"/>
        <v/>
      </c>
      <c r="M262" s="173" t="str">
        <f t="shared" si="115"/>
        <v/>
      </c>
      <c r="N262" s="173" t="str">
        <f t="shared" si="116"/>
        <v/>
      </c>
      <c r="O262" s="173" t="str">
        <f t="shared" si="117"/>
        <v/>
      </c>
      <c r="P262" s="173" t="str">
        <f t="shared" si="108"/>
        <v/>
      </c>
      <c r="Q262" s="173" t="str">
        <f t="shared" si="122"/>
        <v/>
      </c>
      <c r="R262" s="173" t="str">
        <f t="shared" si="114"/>
        <v/>
      </c>
      <c r="S262" s="176" t="str">
        <f>IF(A261=$D$8,XIRR(U$27:U261,C$27:C261),"")</f>
        <v/>
      </c>
      <c r="T262" s="173" t="str">
        <f t="shared" si="98"/>
        <v/>
      </c>
      <c r="U262" s="173">
        <f t="shared" si="107"/>
        <v>0</v>
      </c>
      <c r="V262" s="141" t="e">
        <f t="shared" ca="1" si="99"/>
        <v>#VALUE!</v>
      </c>
      <c r="W262" s="141" t="e">
        <f t="shared" ca="1" si="105"/>
        <v>#VALUE!</v>
      </c>
      <c r="X262" s="141" t="e">
        <f t="shared" ca="1" si="100"/>
        <v>#VALUE!</v>
      </c>
      <c r="Y262" s="177" t="e">
        <f t="shared" ca="1" si="118"/>
        <v>#VALUE!</v>
      </c>
      <c r="Z262" s="178" t="e">
        <f t="shared" ca="1" si="101"/>
        <v>#VALUE!</v>
      </c>
      <c r="AA262" s="141">
        <v>235</v>
      </c>
    </row>
    <row r="263" spans="1:27" x14ac:dyDescent="0.35">
      <c r="A263" s="175" t="str">
        <f t="shared" si="106"/>
        <v/>
      </c>
      <c r="B263" s="172">
        <f t="shared" ca="1" si="102"/>
        <v>52377</v>
      </c>
      <c r="C263" s="172" t="str">
        <f t="shared" ca="1" si="103"/>
        <v xml:space="preserve"> </v>
      </c>
      <c r="D263" s="175" t="str">
        <f t="shared" si="109"/>
        <v/>
      </c>
      <c r="E263" s="173" t="e">
        <f t="shared" ca="1" si="97"/>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10"/>
        <v/>
      </c>
      <c r="J263" s="173" t="str">
        <f t="shared" si="111"/>
        <v/>
      </c>
      <c r="K263" s="173" t="str">
        <f t="shared" si="120"/>
        <v/>
      </c>
      <c r="L263" s="173" t="str">
        <f t="shared" si="112"/>
        <v/>
      </c>
      <c r="M263" s="173" t="str">
        <f t="shared" si="115"/>
        <v/>
      </c>
      <c r="N263" s="173" t="str">
        <f t="shared" si="116"/>
        <v/>
      </c>
      <c r="O263" s="173" t="str">
        <f t="shared" si="117"/>
        <v/>
      </c>
      <c r="P263" s="173" t="str">
        <f t="shared" si="108"/>
        <v/>
      </c>
      <c r="Q263" s="173" t="str">
        <f t="shared" si="122"/>
        <v/>
      </c>
      <c r="R263" s="173" t="str">
        <f t="shared" si="114"/>
        <v/>
      </c>
      <c r="S263" s="176" t="str">
        <f>IF(A262=$D$8,XIRR(U$27:U262,C$27:C262),"")</f>
        <v/>
      </c>
      <c r="T263" s="173" t="str">
        <f t="shared" si="98"/>
        <v/>
      </c>
      <c r="U263" s="173">
        <f t="shared" si="107"/>
        <v>0</v>
      </c>
      <c r="V263" s="141" t="e">
        <f t="shared" ca="1" si="99"/>
        <v>#VALUE!</v>
      </c>
      <c r="W263" s="141" t="e">
        <f t="shared" ca="1" si="105"/>
        <v>#VALUE!</v>
      </c>
      <c r="X263" s="141" t="e">
        <f t="shared" ca="1" si="100"/>
        <v>#VALUE!</v>
      </c>
      <c r="Y263" s="177" t="e">
        <f t="shared" ca="1" si="118"/>
        <v>#VALUE!</v>
      </c>
      <c r="Z263" s="178" t="e">
        <f t="shared" ca="1" si="101"/>
        <v>#VALUE!</v>
      </c>
      <c r="AA263" s="141">
        <v>236</v>
      </c>
    </row>
    <row r="264" spans="1:27" x14ac:dyDescent="0.35">
      <c r="A264" s="175" t="str">
        <f t="shared" si="106"/>
        <v/>
      </c>
      <c r="B264" s="172">
        <f t="shared" ca="1" si="102"/>
        <v>52408</v>
      </c>
      <c r="C264" s="172" t="str">
        <f t="shared" ca="1" si="103"/>
        <v xml:space="preserve"> </v>
      </c>
      <c r="D264" s="175" t="str">
        <f t="shared" si="109"/>
        <v/>
      </c>
      <c r="E264" s="173" t="e">
        <f t="shared" ca="1" si="97"/>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10"/>
        <v/>
      </c>
      <c r="J264" s="173" t="str">
        <f t="shared" si="111"/>
        <v/>
      </c>
      <c r="K264" s="173" t="str">
        <f t="shared" si="120"/>
        <v/>
      </c>
      <c r="L264" s="173" t="str">
        <f t="shared" si="112"/>
        <v/>
      </c>
      <c r="M264" s="173" t="str">
        <f t="shared" si="115"/>
        <v/>
      </c>
      <c r="N264" s="173" t="str">
        <f t="shared" si="116"/>
        <v/>
      </c>
      <c r="O264" s="173" t="str">
        <f t="shared" si="117"/>
        <v/>
      </c>
      <c r="P264" s="173" t="str">
        <f t="shared" si="108"/>
        <v/>
      </c>
      <c r="Q264" s="173" t="str">
        <f t="shared" si="122"/>
        <v/>
      </c>
      <c r="R264" s="173" t="str">
        <f t="shared" si="114"/>
        <v/>
      </c>
      <c r="S264" s="176" t="str">
        <f>IF(A263=$D$8,XIRR(U$27:U263,C$27:C263),"")</f>
        <v/>
      </c>
      <c r="T264" s="173" t="str">
        <f t="shared" si="98"/>
        <v/>
      </c>
      <c r="U264" s="173">
        <f t="shared" si="107"/>
        <v>0</v>
      </c>
      <c r="V264" s="141" t="e">
        <f t="shared" ca="1" si="99"/>
        <v>#VALUE!</v>
      </c>
      <c r="W264" s="141" t="e">
        <f t="shared" ca="1" si="105"/>
        <v>#VALUE!</v>
      </c>
      <c r="X264" s="141" t="e">
        <f t="shared" ca="1" si="100"/>
        <v>#VALUE!</v>
      </c>
      <c r="Y264" s="177" t="e">
        <f t="shared" ca="1" si="118"/>
        <v>#VALUE!</v>
      </c>
      <c r="Z264" s="178" t="e">
        <f t="shared" ca="1" si="101"/>
        <v>#VALUE!</v>
      </c>
      <c r="AA264" s="141">
        <v>237</v>
      </c>
    </row>
    <row r="265" spans="1:27" x14ac:dyDescent="0.35">
      <c r="A265" s="175" t="str">
        <f t="shared" si="106"/>
        <v/>
      </c>
      <c r="B265" s="172">
        <f t="shared" ca="1" si="102"/>
        <v>52438</v>
      </c>
      <c r="C265" s="172" t="str">
        <f t="shared" ca="1" si="103"/>
        <v xml:space="preserve"> </v>
      </c>
      <c r="D265" s="175" t="str">
        <f t="shared" si="109"/>
        <v/>
      </c>
      <c r="E265" s="173" t="e">
        <f t="shared" ca="1" si="97"/>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10"/>
        <v/>
      </c>
      <c r="J265" s="173" t="str">
        <f t="shared" si="111"/>
        <v/>
      </c>
      <c r="K265" s="173" t="str">
        <f t="shared" si="120"/>
        <v/>
      </c>
      <c r="L265" s="173" t="str">
        <f t="shared" si="112"/>
        <v/>
      </c>
      <c r="M265" s="173" t="str">
        <f t="shared" si="115"/>
        <v/>
      </c>
      <c r="N265" s="173" t="str">
        <f t="shared" si="116"/>
        <v/>
      </c>
      <c r="O265" s="173" t="str">
        <f t="shared" si="117"/>
        <v/>
      </c>
      <c r="P265" s="173" t="str">
        <f t="shared" si="108"/>
        <v/>
      </c>
      <c r="Q265" s="173" t="str">
        <f t="shared" si="122"/>
        <v/>
      </c>
      <c r="R265" s="173" t="str">
        <f t="shared" si="114"/>
        <v/>
      </c>
      <c r="S265" s="176" t="str">
        <f>IF(A264=$D$8,XIRR(U$27:U264,C$27:C264),"")</f>
        <v/>
      </c>
      <c r="T265" s="173" t="str">
        <f t="shared" si="98"/>
        <v/>
      </c>
      <c r="U265" s="173">
        <f t="shared" si="107"/>
        <v>0</v>
      </c>
      <c r="V265" s="141" t="e">
        <f t="shared" ca="1" si="99"/>
        <v>#VALUE!</v>
      </c>
      <c r="W265" s="141" t="e">
        <f t="shared" ca="1" si="105"/>
        <v>#VALUE!</v>
      </c>
      <c r="X265" s="141" t="e">
        <f t="shared" ca="1" si="100"/>
        <v>#VALUE!</v>
      </c>
      <c r="Y265" s="177" t="e">
        <f t="shared" ca="1" si="118"/>
        <v>#VALUE!</v>
      </c>
      <c r="Z265" s="178" t="e">
        <f t="shared" ca="1" si="101"/>
        <v>#VALUE!</v>
      </c>
      <c r="AA265" s="141">
        <v>238</v>
      </c>
    </row>
    <row r="266" spans="1:27" x14ac:dyDescent="0.35">
      <c r="A266" s="175" t="str">
        <f t="shared" si="106"/>
        <v/>
      </c>
      <c r="B266" s="172">
        <f t="shared" ca="1" si="102"/>
        <v>52469</v>
      </c>
      <c r="C266" s="172" t="str">
        <f t="shared" ca="1" si="103"/>
        <v xml:space="preserve"> </v>
      </c>
      <c r="D266" s="175" t="str">
        <f t="shared" si="109"/>
        <v/>
      </c>
      <c r="E266" s="173" t="e">
        <f t="shared" ca="1" si="97"/>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10"/>
        <v/>
      </c>
      <c r="J266" s="173" t="str">
        <f t="shared" si="111"/>
        <v/>
      </c>
      <c r="K266" s="173" t="str">
        <f t="shared" si="120"/>
        <v/>
      </c>
      <c r="L266" s="173" t="str">
        <f t="shared" si="112"/>
        <v/>
      </c>
      <c r="M266" s="173" t="str">
        <f t="shared" si="115"/>
        <v/>
      </c>
      <c r="N266" s="173" t="str">
        <f t="shared" si="116"/>
        <v/>
      </c>
      <c r="O266" s="173" t="str">
        <f t="shared" si="117"/>
        <v/>
      </c>
      <c r="P266" s="173" t="str">
        <f t="shared" si="108"/>
        <v/>
      </c>
      <c r="Q266" s="173" t="str">
        <f t="shared" si="122"/>
        <v/>
      </c>
      <c r="R266" s="173" t="str">
        <f t="shared" si="114"/>
        <v/>
      </c>
      <c r="S266" s="176" t="str">
        <f>IF(A265=$D$8,XIRR(U$27:U265,C$27:C265),"")</f>
        <v/>
      </c>
      <c r="T266" s="173" t="str">
        <f t="shared" si="98"/>
        <v/>
      </c>
      <c r="U266" s="173">
        <f t="shared" si="107"/>
        <v>0</v>
      </c>
      <c r="V266" s="141" t="e">
        <f t="shared" ca="1" si="99"/>
        <v>#VALUE!</v>
      </c>
      <c r="W266" s="141" t="e">
        <f t="shared" ca="1" si="105"/>
        <v>#VALUE!</v>
      </c>
      <c r="X266" s="141" t="e">
        <f t="shared" ca="1" si="100"/>
        <v>#VALUE!</v>
      </c>
      <c r="Y266" s="177" t="e">
        <f t="shared" ca="1" si="118"/>
        <v>#VALUE!</v>
      </c>
      <c r="Z266" s="178" t="e">
        <f t="shared" ca="1" si="101"/>
        <v>#VALUE!</v>
      </c>
      <c r="AA266" s="141">
        <v>239</v>
      </c>
    </row>
    <row r="267" spans="1:27" x14ac:dyDescent="0.35">
      <c r="A267" s="175" t="str">
        <f t="shared" si="106"/>
        <v/>
      </c>
      <c r="B267" s="172">
        <f t="shared" ca="1" si="102"/>
        <v>52500</v>
      </c>
      <c r="C267" s="172" t="str">
        <f t="shared" ref="C267" ca="1" si="123">IF(B267=$D$10,B267-1,(IF(B267&gt;$D$10," ",B267)))</f>
        <v xml:space="preserve"> </v>
      </c>
      <c r="D267" s="175" t="str">
        <f t="shared" si="109"/>
        <v/>
      </c>
      <c r="E267" s="173" t="e">
        <f t="shared" ca="1" si="97"/>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10"/>
        <v/>
      </c>
      <c r="J267" s="173" t="str">
        <f t="shared" si="111"/>
        <v/>
      </c>
      <c r="K267" s="173" t="str">
        <f t="shared" si="120"/>
        <v/>
      </c>
      <c r="L267" s="173" t="str">
        <f t="shared" si="112"/>
        <v/>
      </c>
      <c r="M267" s="173" t="str">
        <f t="shared" si="115"/>
        <v/>
      </c>
      <c r="N267" s="173" t="str">
        <f t="shared" si="116"/>
        <v/>
      </c>
      <c r="O267" s="173" t="str">
        <f t="shared" si="117"/>
        <v/>
      </c>
      <c r="P267" s="173" t="str">
        <f t="shared" si="108"/>
        <v/>
      </c>
      <c r="Q267" s="173" t="str">
        <f t="shared" si="122"/>
        <v/>
      </c>
      <c r="R267" s="173" t="str">
        <f t="shared" si="114"/>
        <v/>
      </c>
      <c r="S267" s="176" t="str">
        <f>IF(A266=$D$8,XIRR(U$27:U266,C$27:C266),"")</f>
        <v/>
      </c>
      <c r="T267" s="173" t="str">
        <f t="shared" si="98"/>
        <v/>
      </c>
      <c r="U267" s="173">
        <f t="shared" si="107"/>
        <v>0</v>
      </c>
      <c r="V267" s="141" t="e">
        <f t="shared" ca="1" si="99"/>
        <v>#VALUE!</v>
      </c>
      <c r="W267" s="141" t="e">
        <f t="shared" ca="1" si="105"/>
        <v>#VALUE!</v>
      </c>
      <c r="X267" s="141" t="e">
        <f t="shared" ca="1" si="100"/>
        <v>#VALUE!</v>
      </c>
      <c r="Y267" s="177" t="e">
        <f t="shared" ca="1" si="118"/>
        <v>#VALUE!</v>
      </c>
      <c r="Z267" s="178" t="e">
        <f t="shared" ca="1" si="101"/>
        <v>#VALUE!</v>
      </c>
      <c r="AA267" s="141">
        <v>240</v>
      </c>
    </row>
    <row r="268" spans="1:27" x14ac:dyDescent="0.35">
      <c r="A268" s="175" t="str">
        <f t="shared" si="106"/>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10"/>
        <v/>
      </c>
      <c r="J268" s="173" t="str">
        <f t="shared" si="111"/>
        <v/>
      </c>
      <c r="K268" s="174" t="str">
        <f>IF($F$8&gt;240,($S$8+$S$10),IF($A$267=$F$8,$K$27*$H$8,""))</f>
        <v/>
      </c>
      <c r="L268" s="173" t="str">
        <f t="shared" si="112"/>
        <v/>
      </c>
      <c r="M268" s="173" t="str">
        <f t="shared" si="115"/>
        <v/>
      </c>
      <c r="N268" s="173" t="str">
        <f t="shared" ref="N268" si="124">IF(A267=$F$8,$N$27,"")</f>
        <v/>
      </c>
      <c r="O268" s="173" t="str">
        <f t="shared" ref="O268" si="125">IF(A267=$F$8,$O$27,"")</f>
        <v/>
      </c>
      <c r="P268" s="173" t="str">
        <f t="shared" si="108"/>
        <v/>
      </c>
      <c r="Q268" s="173" t="str">
        <f>IF($F$8&gt;240,($R$14),IF(A267=$F$8,Q256+Q244+Q232+Q220+Q208+Q196+Q184+Q172+Q160+Q148+Q136+Q124+Q112+Q100+Q88+Q76+Q64+Q52+Q40+Q27,""))</f>
        <v/>
      </c>
      <c r="R268" s="173" t="str">
        <f t="shared" si="114"/>
        <v/>
      </c>
      <c r="S268" s="176" t="str">
        <f>IF(A267=$D$8,XIRR(U$27:U267,C$27:C267),"")</f>
        <v/>
      </c>
      <c r="T268" s="173" t="str">
        <f>IF(A267=$D$8,G268+P268+H268+I268+J268+K268+L268+Q268+R268,"")</f>
        <v/>
      </c>
      <c r="U268" s="173"/>
      <c r="V268" s="141" t="str">
        <f t="shared" si="99"/>
        <v/>
      </c>
      <c r="AA268" s="141">
        <v>241</v>
      </c>
    </row>
    <row r="269" spans="1:27" x14ac:dyDescent="0.35">
      <c r="A269" s="175" t="str">
        <f t="shared" si="106"/>
        <v/>
      </c>
      <c r="AA269" s="141">
        <v>242</v>
      </c>
    </row>
    <row r="270" spans="1:27" x14ac:dyDescent="0.35">
      <c r="A270" s="175" t="str">
        <f t="shared" si="106"/>
        <v/>
      </c>
      <c r="AA270" s="141">
        <v>243</v>
      </c>
    </row>
    <row r="271" spans="1:27" x14ac:dyDescent="0.35">
      <c r="A271" s="175" t="str">
        <f t="shared" si="106"/>
        <v/>
      </c>
      <c r="AA271" s="141">
        <v>244</v>
      </c>
    </row>
    <row r="272" spans="1:27" x14ac:dyDescent="0.35">
      <c r="A272" s="175" t="str">
        <f t="shared" si="106"/>
        <v/>
      </c>
      <c r="AA272" s="141">
        <v>245</v>
      </c>
    </row>
    <row r="273" spans="1:27" x14ac:dyDescent="0.35">
      <c r="A273" s="175" t="str">
        <f t="shared" si="106"/>
        <v/>
      </c>
      <c r="AA273" s="141">
        <v>246</v>
      </c>
    </row>
    <row r="274" spans="1:27" x14ac:dyDescent="0.35">
      <c r="A274" s="175" t="str">
        <f t="shared" si="106"/>
        <v/>
      </c>
      <c r="AA274" s="141">
        <v>247</v>
      </c>
    </row>
    <row r="275" spans="1:27" x14ac:dyDescent="0.35">
      <c r="A275" s="175" t="str">
        <f t="shared" si="106"/>
        <v/>
      </c>
      <c r="AA275" s="141">
        <v>248</v>
      </c>
    </row>
    <row r="276" spans="1:27" x14ac:dyDescent="0.35">
      <c r="A276" s="175" t="str">
        <f t="shared" si="106"/>
        <v/>
      </c>
      <c r="AA276" s="141">
        <v>249</v>
      </c>
    </row>
    <row r="277" spans="1:27" x14ac:dyDescent="0.35">
      <c r="A277" s="175" t="str">
        <f t="shared" si="106"/>
        <v/>
      </c>
      <c r="AA277" s="141">
        <v>250</v>
      </c>
    </row>
    <row r="278" spans="1:27" x14ac:dyDescent="0.35">
      <c r="A278" s="175" t="str">
        <f t="shared" si="106"/>
        <v/>
      </c>
      <c r="AA278" s="141">
        <v>251</v>
      </c>
    </row>
    <row r="279" spans="1:27" x14ac:dyDescent="0.35">
      <c r="A279" s="175" t="str">
        <f t="shared" si="106"/>
        <v/>
      </c>
      <c r="AA279" s="141">
        <v>252</v>
      </c>
    </row>
  </sheetData>
  <protectedRanges>
    <protectedRange password="C797" sqref="D28:D267 A28:B28 A29:A279 B29:B267 E89:H268" name="Диапазон1"/>
    <protectedRange password="C797" sqref="P28:R30 P41:Q51 P40 P53:Q63 P52 P65:Q75 P64 P77:Q87 P76 P89:Q99 P88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31:Q39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5 G23" name="Диапазон1_1_2_1"/>
    <protectedRange password="C797" sqref="H23:H25" name="Диапазон1_1_2_1_1"/>
    <protectedRange password="C797" sqref="G28 E28:F88" name="Диапазон1_1"/>
    <protectedRange password="C797" sqref="E27:H27" name="Диапазон1_5_1"/>
    <protectedRange password="C797" sqref="H28" name="Диапазон1_6"/>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5" t="s">
        <v>0</v>
      </c>
      <c r="B1" s="376"/>
      <c r="C1" s="376"/>
    </row>
    <row r="2" spans="1:3" ht="15" customHeight="1" x14ac:dyDescent="0.35">
      <c r="A2" s="373" t="s">
        <v>1</v>
      </c>
      <c r="B2" s="378" t="s">
        <v>95</v>
      </c>
      <c r="C2" s="379"/>
    </row>
    <row r="3" spans="1:3" x14ac:dyDescent="0.35">
      <c r="A3" s="374"/>
      <c r="B3" s="380"/>
      <c r="C3" s="381"/>
    </row>
    <row r="4" spans="1:3" ht="15" thickBot="1" x14ac:dyDescent="0.4">
      <c r="A4" s="377"/>
      <c r="B4" s="352" t="s">
        <v>2</v>
      </c>
      <c r="C4" s="353"/>
    </row>
    <row r="5" spans="1:3" ht="15" customHeight="1" x14ac:dyDescent="0.35">
      <c r="A5" s="373" t="s">
        <v>3</v>
      </c>
      <c r="B5" s="378" t="s">
        <v>4</v>
      </c>
      <c r="C5" s="379"/>
    </row>
    <row r="6" spans="1:3" x14ac:dyDescent="0.35">
      <c r="A6" s="374"/>
      <c r="B6" s="382" t="s">
        <v>5</v>
      </c>
      <c r="C6" s="383"/>
    </row>
    <row r="7" spans="1:3" ht="15" thickBot="1" x14ac:dyDescent="0.4">
      <c r="A7" s="377"/>
      <c r="B7" s="384"/>
      <c r="C7" s="385"/>
    </row>
    <row r="8" spans="1:3" x14ac:dyDescent="0.35">
      <c r="A8" s="386" t="s">
        <v>6</v>
      </c>
      <c r="B8" s="388" t="s">
        <v>7</v>
      </c>
      <c r="C8" s="389"/>
    </row>
    <row r="9" spans="1:3" ht="15" thickBot="1" x14ac:dyDescent="0.4">
      <c r="A9" s="387"/>
      <c r="B9" s="390" t="s">
        <v>96</v>
      </c>
      <c r="C9" s="391"/>
    </row>
    <row r="10" spans="1:3" ht="15" thickBot="1" x14ac:dyDescent="0.4">
      <c r="A10" s="14" t="s">
        <v>8</v>
      </c>
      <c r="B10" s="357" t="s">
        <v>9</v>
      </c>
      <c r="C10" s="358"/>
    </row>
    <row r="11" spans="1:3" ht="15" thickBot="1" x14ac:dyDescent="0.4">
      <c r="A11" s="14" t="s">
        <v>10</v>
      </c>
      <c r="B11" s="357" t="s">
        <v>11</v>
      </c>
      <c r="C11" s="358"/>
    </row>
    <row r="12" spans="1:3" ht="15" thickBot="1" x14ac:dyDescent="0.4">
      <c r="A12" s="14" t="s">
        <v>12</v>
      </c>
      <c r="B12" s="357" t="s">
        <v>13</v>
      </c>
      <c r="C12" s="358"/>
    </row>
    <row r="13" spans="1:3" ht="15.75" customHeight="1" thickBot="1" x14ac:dyDescent="0.4">
      <c r="A13" s="362" t="s">
        <v>14</v>
      </c>
      <c r="B13" s="363"/>
      <c r="C13" s="364"/>
    </row>
    <row r="14" spans="1:3" ht="15.75" customHeight="1" thickBot="1" x14ac:dyDescent="0.4">
      <c r="A14" s="362" t="s">
        <v>15</v>
      </c>
      <c r="B14" s="363"/>
      <c r="C14" s="364"/>
    </row>
    <row r="15" spans="1:3" ht="15" thickBot="1" x14ac:dyDescent="0.4">
      <c r="A15" s="14" t="s">
        <v>16</v>
      </c>
      <c r="B15" s="357" t="s">
        <v>78</v>
      </c>
      <c r="C15" s="358"/>
    </row>
    <row r="16" spans="1:3" ht="15" thickBot="1" x14ac:dyDescent="0.4">
      <c r="A16" s="14" t="s">
        <v>17</v>
      </c>
      <c r="B16" s="369">
        <f>'графік із підвищеною %'!F7</f>
        <v>750000</v>
      </c>
      <c r="C16" s="370"/>
    </row>
    <row r="17" spans="1:3" ht="15" thickBot="1" x14ac:dyDescent="0.4">
      <c r="A17" s="14" t="s">
        <v>77</v>
      </c>
      <c r="B17" s="357">
        <f>'графік із підвищеною %'!F8</f>
        <v>60</v>
      </c>
      <c r="C17" s="358"/>
    </row>
    <row r="18" spans="1:3" ht="15" thickBot="1" x14ac:dyDescent="0.4">
      <c r="A18" s="113" t="s">
        <v>18</v>
      </c>
      <c r="B18" s="350" t="s">
        <v>98</v>
      </c>
      <c r="C18" s="351"/>
    </row>
    <row r="19" spans="1:3" ht="13.5" customHeight="1" thickBot="1" x14ac:dyDescent="0.4">
      <c r="A19" s="118" t="s">
        <v>19</v>
      </c>
      <c r="B19" s="359" t="s">
        <v>99</v>
      </c>
      <c r="C19" s="358"/>
    </row>
    <row r="20" spans="1:3" ht="15" thickBot="1" x14ac:dyDescent="0.4">
      <c r="A20" s="1" t="s">
        <v>20</v>
      </c>
      <c r="B20" s="357" t="s">
        <v>116</v>
      </c>
      <c r="C20" s="358"/>
    </row>
    <row r="21" spans="1:3" ht="15" thickBot="1" x14ac:dyDescent="0.4">
      <c r="A21" s="1" t="s">
        <v>21</v>
      </c>
      <c r="B21" s="357" t="s">
        <v>22</v>
      </c>
      <c r="C21" s="358"/>
    </row>
    <row r="22" spans="1:3" ht="20.25" customHeight="1" x14ac:dyDescent="0.35">
      <c r="A22" s="373" t="s">
        <v>23</v>
      </c>
      <c r="B22" s="350" t="s">
        <v>100</v>
      </c>
      <c r="C22" s="351"/>
    </row>
    <row r="23" spans="1:3" ht="15" thickBot="1" x14ac:dyDescent="0.4">
      <c r="A23" s="374"/>
      <c r="B23" s="352"/>
      <c r="C23" s="353"/>
    </row>
    <row r="24" spans="1:3" ht="19.5" customHeight="1" thickBot="1" x14ac:dyDescent="0.4">
      <c r="A24" s="362" t="s">
        <v>24</v>
      </c>
      <c r="B24" s="363"/>
      <c r="C24" s="364"/>
    </row>
    <row r="25" spans="1:3" ht="19.5" customHeight="1" thickBot="1" x14ac:dyDescent="0.4">
      <c r="A25" s="116" t="s">
        <v>25</v>
      </c>
      <c r="B25" s="117">
        <f>'графік із підвищеною %'!F9</f>
        <v>0.44989999999999997</v>
      </c>
      <c r="C25" s="119" t="s">
        <v>118</v>
      </c>
    </row>
    <row r="26" spans="1:3" ht="15" thickBot="1" x14ac:dyDescent="0.4">
      <c r="A26" s="1" t="s">
        <v>26</v>
      </c>
      <c r="B26" s="352" t="s">
        <v>113</v>
      </c>
      <c r="C26" s="353"/>
    </row>
    <row r="27" spans="1:3" ht="21" customHeight="1" thickBot="1" x14ac:dyDescent="0.4">
      <c r="A27" s="1" t="s">
        <v>27</v>
      </c>
      <c r="B27" s="357" t="s">
        <v>114</v>
      </c>
      <c r="C27" s="358"/>
    </row>
    <row r="28" spans="1:3" ht="23.5" thickBot="1" x14ac:dyDescent="0.4">
      <c r="A28" s="1" t="s">
        <v>28</v>
      </c>
      <c r="B28" s="357" t="s">
        <v>29</v>
      </c>
      <c r="C28" s="358"/>
    </row>
    <row r="29" spans="1:3" ht="15" thickBot="1" x14ac:dyDescent="0.4">
      <c r="A29" s="1" t="s">
        <v>94</v>
      </c>
      <c r="B29" s="366">
        <f>'графік із підвищеною %'!K7</f>
        <v>0</v>
      </c>
      <c r="C29" s="367"/>
    </row>
    <row r="30" spans="1:3" ht="15" thickBot="1" x14ac:dyDescent="0.4">
      <c r="A30" s="1" t="s">
        <v>30</v>
      </c>
      <c r="B30" s="368">
        <v>0</v>
      </c>
      <c r="C30" s="358"/>
    </row>
    <row r="31" spans="1:3" ht="26.25" customHeight="1" thickBot="1" x14ac:dyDescent="0.4">
      <c r="A31" s="116" t="s">
        <v>31</v>
      </c>
      <c r="B31" s="369">
        <f>'графік із підвищеною %'!K9</f>
        <v>0</v>
      </c>
      <c r="C31" s="358"/>
    </row>
    <row r="32" spans="1:3" ht="15" hidden="1" thickBot="1" x14ac:dyDescent="0.4">
      <c r="A32" s="1"/>
      <c r="B32" s="2"/>
    </row>
    <row r="33" spans="1:3" ht="15" thickBot="1" x14ac:dyDescent="0.4">
      <c r="A33" s="1" t="s">
        <v>32</v>
      </c>
      <c r="B33" s="369" t="e">
        <f>B34-B16</f>
        <v>#REF!</v>
      </c>
      <c r="C33" s="370"/>
    </row>
    <row r="34" spans="1:3" ht="35" thickBot="1" x14ac:dyDescent="0.4">
      <c r="A34" s="1" t="s">
        <v>33</v>
      </c>
      <c r="B34" s="369" t="e">
        <f>SUM('Таблиця обчислення'!#REF!)</f>
        <v>#REF!</v>
      </c>
      <c r="C34" s="370"/>
    </row>
    <row r="35" spans="1:3" ht="15" thickBot="1" x14ac:dyDescent="0.4">
      <c r="A35" s="112" t="s">
        <v>34</v>
      </c>
      <c r="B35" s="371">
        <f ca="1">SUM('графік із підвищеною %'!K19:K103)</f>
        <v>0.55444064736366283</v>
      </c>
      <c r="C35" s="372"/>
    </row>
    <row r="36" spans="1:3" ht="48" customHeight="1" thickBot="1" x14ac:dyDescent="0.4">
      <c r="A36" s="354" t="s">
        <v>35</v>
      </c>
      <c r="B36" s="355"/>
      <c r="C36" s="356"/>
    </row>
    <row r="37" spans="1:3" ht="24" customHeight="1" thickBot="1" x14ac:dyDescent="0.4">
      <c r="A37" s="354" t="s">
        <v>36</v>
      </c>
      <c r="B37" s="355"/>
      <c r="C37" s="356"/>
    </row>
    <row r="38" spans="1:3" ht="24" customHeight="1" thickBot="1" x14ac:dyDescent="0.4">
      <c r="A38" s="354" t="s">
        <v>37</v>
      </c>
      <c r="B38" s="355"/>
      <c r="C38" s="356"/>
    </row>
    <row r="39" spans="1:3" ht="15" thickBot="1" x14ac:dyDescent="0.4">
      <c r="A39" s="362" t="s">
        <v>38</v>
      </c>
      <c r="B39" s="363"/>
      <c r="C39" s="364"/>
    </row>
    <row r="40" spans="1:3" ht="15" thickBot="1" x14ac:dyDescent="0.4">
      <c r="A40" s="116" t="s">
        <v>39</v>
      </c>
      <c r="B40" s="357" t="s">
        <v>40</v>
      </c>
      <c r="C40" s="358"/>
    </row>
    <row r="41" spans="1:3" ht="15" thickBot="1" x14ac:dyDescent="0.4">
      <c r="A41" s="362" t="s">
        <v>41</v>
      </c>
      <c r="B41" s="363"/>
      <c r="C41" s="364"/>
    </row>
    <row r="42" spans="1:3" ht="15" customHeight="1" thickBot="1" x14ac:dyDescent="0.4">
      <c r="A42" s="350" t="s">
        <v>42</v>
      </c>
      <c r="B42" s="365"/>
      <c r="C42" s="351"/>
    </row>
    <row r="43" spans="1:3" ht="15" thickBot="1" x14ac:dyDescent="0.4">
      <c r="A43" s="116" t="s">
        <v>43</v>
      </c>
      <c r="B43" s="357" t="s">
        <v>109</v>
      </c>
      <c r="C43" s="358"/>
    </row>
    <row r="44" spans="1:3" ht="15" thickBot="1" x14ac:dyDescent="0.4">
      <c r="A44" s="1" t="s">
        <v>110</v>
      </c>
      <c r="B44" s="357" t="s">
        <v>109</v>
      </c>
      <c r="C44" s="358"/>
    </row>
    <row r="45" spans="1:3" ht="30.75" customHeight="1" thickBot="1" x14ac:dyDescent="0.4">
      <c r="A45" s="1" t="s">
        <v>112</v>
      </c>
      <c r="B45" s="357" t="e">
        <f>паспорт!#REF!</f>
        <v>#REF!</v>
      </c>
      <c r="C45" s="358"/>
    </row>
    <row r="46" spans="1:3" ht="23.5" thickBot="1" x14ac:dyDescent="0.4">
      <c r="A46" s="1" t="s">
        <v>44</v>
      </c>
      <c r="B46" s="357"/>
      <c r="C46" s="358"/>
    </row>
    <row r="47" spans="1:3" ht="15" thickBot="1" x14ac:dyDescent="0.4">
      <c r="A47" s="1" t="s">
        <v>45</v>
      </c>
      <c r="B47" s="357" t="s">
        <v>46</v>
      </c>
      <c r="C47" s="358"/>
    </row>
    <row r="48" spans="1:3" ht="23.5" thickBot="1" x14ac:dyDescent="0.4">
      <c r="A48" s="1" t="s">
        <v>117</v>
      </c>
      <c r="B48" s="357" t="s">
        <v>82</v>
      </c>
      <c r="C48" s="358"/>
    </row>
    <row r="49" spans="1:3" ht="15" thickBot="1" x14ac:dyDescent="0.4">
      <c r="A49" s="112" t="s">
        <v>47</v>
      </c>
      <c r="B49" s="357" t="s">
        <v>79</v>
      </c>
      <c r="C49" s="358"/>
    </row>
    <row r="50" spans="1:3" ht="15" thickBot="1" x14ac:dyDescent="0.4">
      <c r="A50" s="362" t="s">
        <v>48</v>
      </c>
      <c r="B50" s="363"/>
      <c r="C50" s="364"/>
    </row>
    <row r="51" spans="1:3" ht="36" customHeight="1" thickBot="1" x14ac:dyDescent="0.4">
      <c r="A51" s="354" t="s">
        <v>49</v>
      </c>
      <c r="B51" s="355"/>
      <c r="C51" s="356"/>
    </row>
    <row r="52" spans="1:3" ht="46.5" thickBot="1" x14ac:dyDescent="0.4">
      <c r="A52" s="116" t="s">
        <v>50</v>
      </c>
      <c r="B52" s="357" t="s">
        <v>111</v>
      </c>
      <c r="C52" s="358"/>
    </row>
    <row r="53" spans="1:3" ht="36" customHeight="1" thickBot="1" x14ac:dyDescent="0.4">
      <c r="A53" s="357" t="s">
        <v>51</v>
      </c>
      <c r="B53" s="359"/>
      <c r="C53" s="358"/>
    </row>
    <row r="54" spans="1:3" ht="36" customHeight="1" thickBot="1" x14ac:dyDescent="0.4">
      <c r="A54" s="357" t="s">
        <v>52</v>
      </c>
      <c r="B54" s="359"/>
      <c r="C54" s="358"/>
    </row>
    <row r="55" spans="1:3" ht="15" customHeight="1" x14ac:dyDescent="0.35">
      <c r="A55" s="360" t="s">
        <v>53</v>
      </c>
      <c r="B55" s="350" t="s">
        <v>54</v>
      </c>
      <c r="C55" s="351"/>
    </row>
    <row r="56" spans="1:3" ht="15" thickBot="1" x14ac:dyDescent="0.4">
      <c r="A56" s="361"/>
      <c r="B56" s="352"/>
      <c r="C56" s="353"/>
    </row>
    <row r="57" spans="1:3" x14ac:dyDescent="0.35">
      <c r="A57" s="113"/>
      <c r="B57" s="350" t="s">
        <v>56</v>
      </c>
      <c r="C57" s="351"/>
    </row>
    <row r="58" spans="1:3" ht="15" thickBot="1" x14ac:dyDescent="0.4">
      <c r="A58" s="4" t="s">
        <v>55</v>
      </c>
      <c r="B58" s="352"/>
      <c r="C58" s="353"/>
    </row>
    <row r="59" spans="1:3" ht="24" customHeight="1" thickBot="1" x14ac:dyDescent="0.4">
      <c r="A59" s="354" t="s">
        <v>57</v>
      </c>
      <c r="B59" s="355"/>
      <c r="C59" s="356"/>
    </row>
    <row r="60" spans="1:3" ht="48" customHeight="1" thickBot="1" x14ac:dyDescent="0.4">
      <c r="A60" s="354" t="s">
        <v>58</v>
      </c>
      <c r="B60" s="355"/>
      <c r="C60" s="356"/>
    </row>
    <row r="61" spans="1:3" x14ac:dyDescent="0.35">
      <c r="A61" s="3"/>
      <c r="B61" s="350" t="s">
        <v>60</v>
      </c>
      <c r="C61" s="351"/>
    </row>
    <row r="62" spans="1:3" ht="15" thickBot="1" x14ac:dyDescent="0.4">
      <c r="A62" s="4" t="s">
        <v>59</v>
      </c>
      <c r="B62" s="352"/>
      <c r="C62" s="353"/>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5" t="s">
        <v>93</v>
      </c>
      <c r="B1" s="395"/>
      <c r="C1" s="395"/>
      <c r="D1" s="395"/>
      <c r="E1" s="395"/>
      <c r="F1" s="395"/>
      <c r="G1" s="395"/>
      <c r="H1" s="395"/>
      <c r="I1" s="395"/>
      <c r="J1" s="395"/>
      <c r="K1" s="395"/>
      <c r="L1" s="395"/>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396"/>
      <c r="I3" s="396"/>
      <c r="J3" s="114"/>
      <c r="K3" s="52"/>
      <c r="L3" s="9"/>
    </row>
    <row r="4" spans="1:23" hidden="1" x14ac:dyDescent="0.35">
      <c r="A4" s="9"/>
      <c r="B4" s="8" t="s">
        <v>66</v>
      </c>
      <c r="C4" s="94" t="s">
        <v>66</v>
      </c>
      <c r="D4" s="62">
        <f t="shared" ref="D4:D9" si="0">F4</f>
        <v>1000000</v>
      </c>
      <c r="E4" s="48"/>
      <c r="F4" s="85">
        <v>1000000</v>
      </c>
      <c r="G4" s="9"/>
      <c r="H4" s="397"/>
      <c r="I4" s="397"/>
      <c r="J4" s="115"/>
      <c r="K4" s="53"/>
      <c r="L4" s="9"/>
    </row>
    <row r="5" spans="1:23" hidden="1" x14ac:dyDescent="0.35">
      <c r="A5" s="9"/>
      <c r="B5" s="8" t="s">
        <v>65</v>
      </c>
      <c r="C5" s="95" t="s">
        <v>65</v>
      </c>
      <c r="D5" s="49">
        <f t="shared" si="0"/>
        <v>500000</v>
      </c>
      <c r="E5" s="48"/>
      <c r="F5" s="66">
        <v>500000</v>
      </c>
      <c r="G5" s="10"/>
      <c r="H5" s="398"/>
      <c r="I5" s="398"/>
      <c r="J5" s="398"/>
      <c r="K5" s="398"/>
      <c r="L5" s="9"/>
    </row>
    <row r="6" spans="1:23" hidden="1" x14ac:dyDescent="0.35">
      <c r="A6" s="9"/>
      <c r="B6" s="8" t="s">
        <v>67</v>
      </c>
      <c r="C6" s="96" t="s">
        <v>67</v>
      </c>
      <c r="D6" s="61">
        <f t="shared" si="0"/>
        <v>0.5</v>
      </c>
      <c r="E6" s="73"/>
      <c r="F6" s="67">
        <f>F5/F4</f>
        <v>0.5</v>
      </c>
      <c r="G6" s="11"/>
      <c r="H6" s="397"/>
      <c r="I6" s="397"/>
      <c r="J6" s="115"/>
      <c r="K6" s="47"/>
      <c r="L6" s="9"/>
    </row>
    <row r="7" spans="1:23" x14ac:dyDescent="0.35">
      <c r="A7" s="9"/>
      <c r="B7" s="8" t="s">
        <v>64</v>
      </c>
      <c r="C7" s="97" t="s">
        <v>64</v>
      </c>
      <c r="D7" s="63">
        <f t="shared" si="0"/>
        <v>750000</v>
      </c>
      <c r="E7" s="75"/>
      <c r="F7" s="68">
        <f>графік!F7</f>
        <v>750000</v>
      </c>
      <c r="G7" s="11"/>
      <c r="H7" s="403" t="s">
        <v>106</v>
      </c>
      <c r="I7" s="404"/>
      <c r="J7" s="404"/>
      <c r="K7" s="120">
        <f>графік!T7</f>
        <v>0</v>
      </c>
      <c r="L7" s="70"/>
      <c r="U7" t="s">
        <v>104</v>
      </c>
    </row>
    <row r="8" spans="1:23" x14ac:dyDescent="0.35">
      <c r="A8" s="9"/>
      <c r="B8" s="8" t="s">
        <v>63</v>
      </c>
      <c r="C8" s="98" t="s">
        <v>63</v>
      </c>
      <c r="D8" s="64">
        <f t="shared" si="0"/>
        <v>60</v>
      </c>
      <c r="E8" s="74"/>
      <c r="F8" s="69">
        <f>графік!F8</f>
        <v>60</v>
      </c>
      <c r="G8" s="11"/>
      <c r="H8" s="401" t="s">
        <v>76</v>
      </c>
      <c r="I8" s="402"/>
      <c r="J8" s="402"/>
      <c r="K8" s="121">
        <f>F7*K7</f>
        <v>0</v>
      </c>
      <c r="L8" s="83"/>
      <c r="N8" t="s">
        <v>91</v>
      </c>
      <c r="U8" s="9" t="s">
        <v>105</v>
      </c>
      <c r="V8" t="s">
        <v>83</v>
      </c>
      <c r="W8">
        <v>1700</v>
      </c>
    </row>
    <row r="9" spans="1:23" x14ac:dyDescent="0.35">
      <c r="A9" s="9"/>
      <c r="B9" s="8" t="s">
        <v>62</v>
      </c>
      <c r="C9" s="99" t="s">
        <v>62</v>
      </c>
      <c r="D9" s="76">
        <f t="shared" si="0"/>
        <v>0.44989999999999997</v>
      </c>
      <c r="E9" s="72"/>
      <c r="F9" s="77">
        <f>графік!F9+11%</f>
        <v>0.44989999999999997</v>
      </c>
      <c r="G9" s="17">
        <f>F12+F13</f>
        <v>0.1187</v>
      </c>
      <c r="H9" s="399" t="s">
        <v>115</v>
      </c>
      <c r="I9" s="400"/>
      <c r="J9" s="400"/>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392">
        <f ca="1">графік!D11</f>
        <v>47022</v>
      </c>
      <c r="E11" s="393"/>
      <c r="F11" s="394"/>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27733.56</v>
      </c>
      <c r="H19" s="20">
        <f ca="1">F19+G19</f>
        <v>40233.56</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28180.38</v>
      </c>
      <c r="H20" s="20">
        <f ca="1">IF(A19=$D$8,SUM(H7:H19),IF(A19&gt;$D$8,"",F20+G20))</f>
        <v>40680.380000000005</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26809.11</v>
      </c>
      <c r="H21" s="20">
        <f ca="1">IF(A20=$D$8,SUM(H8:H20),IF(A20&gt;$D$8,"",F21+G21))</f>
        <v>39309.11</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27165.119999999999</v>
      </c>
      <c r="H22" s="20">
        <f ca="1">IF(A21=$D$8,SUM(H9:H21),IF(A21&gt;$D$8,"",F22+G22))</f>
        <v>39665.119999999995</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26674.400000000001</v>
      </c>
      <c r="H23" s="20">
        <f ca="1">IF(A22=$D$8,SUM(H10:H22),IF(A22&gt;$D$8,"",F23+G23))</f>
        <v>39174.400000000001</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24507.87</v>
      </c>
      <c r="H24" s="20">
        <f t="shared" ref="H24:H30" ca="1" si="13">IF(A23=$D$8,SUM(H12:H23),IF(A23&gt;$D$8,"",F24+G24))</f>
        <v>37007.869999999995</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25721.74</v>
      </c>
      <c r="H25" s="20">
        <f t="shared" ca="1" si="13"/>
        <v>38221.740000000005</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24431.05</v>
      </c>
      <c r="H26" s="20">
        <f t="shared" ca="1" si="13"/>
        <v>36931.050000000003</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24769.08</v>
      </c>
      <c r="H27" s="20">
        <f t="shared" ca="1" si="13"/>
        <v>37269.08</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23509.119999999999</v>
      </c>
      <c r="H28" s="20">
        <f t="shared" ca="1" si="13"/>
        <v>36009.119999999995</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23816.43</v>
      </c>
      <c r="H29" s="20">
        <f t="shared" ca="1" si="13"/>
        <v>36316.43</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23340.1</v>
      </c>
      <c r="H30" s="20">
        <f t="shared" ca="1" si="13"/>
        <v>35840.1</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22126.23</v>
      </c>
      <c r="H31" s="20">
        <f ca="1">IF(A30=$D$8,SUM(H19:H30),IF(A30&gt;$D$8,"",F31+G31))</f>
        <v>34626.229999999996</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22387.439999999999</v>
      </c>
      <c r="H32" s="20">
        <f ca="1">IF(A31=$D$8,SUM($H$19:H31),IF(A31&gt;$D$8,"",F32+G32))</f>
        <v>34887.440000000002</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21204.3</v>
      </c>
      <c r="H33" s="20">
        <f ca="1">IF(A32=$D$8,SUM($H$19:H32),IF(A32&gt;$D$8,"",F33+G33))</f>
        <v>33704.300000000003</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21482.14</v>
      </c>
      <c r="H34" s="20">
        <f ca="1">IF(A33=$D$8,SUM($H$19:H33),IF(A33&gt;$D$8,"",F34+G34))</f>
        <v>33982.14</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21015.88</v>
      </c>
      <c r="H35" s="20">
        <f ca="1">IF(A34=$D$8,SUM($H$19:H34),IF(A34&gt;$D$8,"",F35+G35))</f>
        <v>33515.880000000005</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18550.669999999998</v>
      </c>
      <c r="H36" s="20">
        <f ca="1">IF(A35=$D$8,SUM($H$19:H35),IF(A35&gt;$D$8,"",F36+G36))</f>
        <v>31050.67</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20060.61</v>
      </c>
      <c r="H37" s="20">
        <f ca="1">IF(A36=$D$8,SUM($H$19:H36),IF(A36&gt;$D$8,"",F37+G37))</f>
        <v>32560.61</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18951.27</v>
      </c>
      <c r="H38" s="20">
        <f ca="1">IF(A37=$D$8,SUM($H$19:H37),IF(A37&gt;$D$8,"",F38+G38))</f>
        <v>31451.27</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19105.34</v>
      </c>
      <c r="H39" s="20">
        <f ca="1">IF(A38=$D$8,SUM($H$19:H38),IF(A38&gt;$D$8,"",F39+G39))</f>
        <v>31605.34</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18026.82</v>
      </c>
      <c r="H40" s="20">
        <f ca="1">IF(A39=$D$8,SUM($H$19:H39),IF(A39&gt;$D$8,"",F40+G40))</f>
        <v>30526.82</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18150.080000000002</v>
      </c>
      <c r="H41" s="20">
        <f ca="1">IF(A40=$D$8,SUM($H$19:H40),IF(A40&gt;$D$8,"",F41+G41))</f>
        <v>30650.080000000002</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17672.439999999999</v>
      </c>
      <c r="H42" s="20">
        <f ca="1">IF(A41=$D$8,SUM($H$19:H41),IF(A41&gt;$D$8,"",F42+G42))</f>
        <v>30172.44</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16640.14</v>
      </c>
      <c r="H43" s="20">
        <f ca="1">IF(A42=$D$8,SUM($H$19:H42),IF(A42&gt;$D$8,"",F43+G43))</f>
        <v>29140.14</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16717.169999999998</v>
      </c>
      <c r="H44" s="20">
        <f ca="1">IF(A43=$D$8,SUM($H$19:H43),IF(A43&gt;$D$8,"",F44+G44))</f>
        <v>29217.17</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15715.68</v>
      </c>
      <c r="H45" s="20">
        <f ca="1">IF(A44=$D$8,SUM($H$19:H44),IF(A44&gt;$D$8,"",F45+G45))</f>
        <v>28215.68</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15761.91</v>
      </c>
      <c r="H46" s="20">
        <f ca="1">IF(A45=$D$8,SUM($H$19:H45),IF(A45&gt;$D$8,"",F46+G46))</f>
        <v>28261.91</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15284.27</v>
      </c>
      <c r="H47" s="20">
        <f ca="1">IF(A46=$D$8,SUM($H$19:H46),IF(A46&gt;$D$8,"",F47+G47))</f>
        <v>27784.27</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13373.74</v>
      </c>
      <c r="H48" s="20">
        <f ca="1">IF(A47=$D$8,SUM($H$19:H47),IF(A47&gt;$D$8,"",F48+G48))</f>
        <v>25873.739999999998</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14329.01</v>
      </c>
      <c r="H49" s="20">
        <f ca="1">IF(A48=$D$8,SUM($H$19:H48),IF(A48&gt;$D$8,"",F49+G49))</f>
        <v>26829.010000000002</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13404.55</v>
      </c>
      <c r="H50" s="20">
        <f ca="1">IF(A49=$D$8,SUM($H$19:H49),IF(A49&gt;$D$8,"",F50+G50))</f>
        <v>25904.55</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13373.74</v>
      </c>
      <c r="H51" s="20">
        <f ca="1">IF(A50=$D$8,SUM($H$19:H50),IF(A50&gt;$D$8,"",F51+G51))</f>
        <v>25873.739999999998</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12480.1</v>
      </c>
      <c r="H52" s="20">
        <f ca="1">IF(A51=$D$8,SUM($H$19:H51),IF(A51&gt;$D$8,"",F52+G52))</f>
        <v>24980.1</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12418.47</v>
      </c>
      <c r="H53" s="20">
        <f ca="1">IF(A52=$D$8,SUM($H$19:H52),IF(A52&gt;$D$8,"",F53+G53))</f>
        <v>24918.47</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11940.84</v>
      </c>
      <c r="H54" s="20">
        <f ca="1">IF(A53=$D$8,SUM($H$19:H53),IF(A53&gt;$D$8,"",F54+G54))</f>
        <v>24440.84</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11093.42</v>
      </c>
      <c r="H55" s="20">
        <f ca="1">IF(A54=$D$8,SUM($H$19:H54),IF(A54&gt;$D$8,"",F55+G55))</f>
        <v>23593.42</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10985.57</v>
      </c>
      <c r="H56" s="20">
        <f ca="1">IF(A55=$D$8,SUM($H$19:H55),IF(A55&gt;$D$8,"",F56+G56))</f>
        <v>23485.57</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10168.969999999999</v>
      </c>
      <c r="H57" s="20">
        <f ca="1">IF(A56=$D$8,SUM($H$19:H56),IF(A56&gt;$D$8,"",F57+G57))</f>
        <v>22668.97</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10030.299999999999</v>
      </c>
      <c r="H58" s="20">
        <f ca="1">IF(A57=$D$8,SUM($H$19:H57),IF(A57&gt;$D$8,"",F58+G58))</f>
        <v>22530.3</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9552.67</v>
      </c>
      <c r="H59" s="20">
        <f ca="1">IF(A58=$D$8,SUM($H$19:H58),IF(A58&gt;$D$8,"",F59+G59))</f>
        <v>22052.67</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8196.81</v>
      </c>
      <c r="H60" s="20">
        <f ca="1">IF(A59=$D$8,SUM($H$19:H59),IF(A59&gt;$D$8,"",F60+G60))</f>
        <v>20696.809999999998</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8597.4</v>
      </c>
      <c r="H61" s="20">
        <f ca="1">IF(A60=$D$8,SUM($H$19:H60),IF(A60&gt;$D$8,"",F61+G61))</f>
        <v>21097.4</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7857.84</v>
      </c>
      <c r="H62" s="20">
        <f ca="1">IF(A61=$D$8,SUM($H$19:H61),IF(A61&gt;$D$8,"",F62+G62))</f>
        <v>20357.84</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7642.14</v>
      </c>
      <c r="H63" s="20">
        <f ca="1">IF(A62=$D$8,SUM($H$19:H62),IF(A62&gt;$D$8,"",F63+G63))</f>
        <v>20142.14</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6933.39</v>
      </c>
      <c r="H64" s="20">
        <f ca="1">IF(A63=$D$8,SUM($H$19:H63),IF(A63&gt;$D$8,"",F64+G64))</f>
        <v>19433.39</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6686.87</v>
      </c>
      <c r="H65" s="20">
        <f ca="1">IF(A64=$D$8,SUM($H$19:H64),IF(A64&gt;$D$8,"",F65+G65))</f>
        <v>19186.87</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6209.24</v>
      </c>
      <c r="H66" s="20">
        <f ca="1">IF(A65=$D$8,SUM($H$19:H65),IF(A65&gt;$D$8,"",F66+G66))</f>
        <v>18709.239999999998</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5546.71</v>
      </c>
      <c r="H67" s="20">
        <f ca="1">IF(A66=$D$8,SUM($H$19:H66),IF(A66&gt;$D$8,"",F67+G67))</f>
        <v>18046.71</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5253.97</v>
      </c>
      <c r="H68" s="20">
        <f ca="1">IF(A67=$D$8,SUM($H$19:H67),IF(A67&gt;$D$8,"",F68+G68))</f>
        <v>17753.97</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4622.26</v>
      </c>
      <c r="H69" s="20">
        <f ca="1">IF(A68=$D$8,SUM($H$19:H68),IF(A68&gt;$D$8,"",F69+G69))</f>
        <v>17122.260000000002</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4289.2299999999996</v>
      </c>
      <c r="H70" s="20">
        <f ca="1">IF(A69=$D$8,SUM($H$19:H69),IF(A69&gt;$D$8,"",F70+G70))</f>
        <v>16789.23</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3810.63</v>
      </c>
      <c r="H71" s="20">
        <f ca="1">IF(A70=$D$8,SUM($H$19:H70),IF(A70&gt;$D$8,"",F71+G71))</f>
        <v>16310.630000000001</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3119.18</v>
      </c>
      <c r="H72" s="20">
        <f ca="1">IF(A71=$D$8,SUM($H$19:H71),IF(A71&gt;$D$8,"",F72+G72))</f>
        <v>15619.18</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2857.97</v>
      </c>
      <c r="H73" s="20">
        <f ca="1">IF(A72=$D$8,SUM($H$19:H72),IF(A72&gt;$D$8,"",F73+G73))</f>
        <v>15357.97</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2304.8200000000002</v>
      </c>
      <c r="H74" s="20">
        <f ca="1">IF(A73=$D$8,SUM($H$19:H73),IF(A73&gt;$D$8,"",F74+G74))</f>
        <v>14804.82</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1905.31</v>
      </c>
      <c r="H75" s="20">
        <f ca="1">IF(A74=$D$8,SUM($H$19:H74),IF(A74&gt;$D$8,"",F75+G75))</f>
        <v>14405.31</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1382.89</v>
      </c>
      <c r="H76" s="20">
        <f ca="1">IF(A75=$D$8,SUM($H$19:H75),IF(A75&gt;$D$8,"",F76+G76))</f>
        <v>13882.89</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952.66</v>
      </c>
      <c r="H77" s="20">
        <f ca="1">IF(A76=$D$8,SUM($H$19:H76),IF(A76&gt;$D$8,"",F77+G77))</f>
        <v>13452.66</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460.96</v>
      </c>
      <c r="H78" s="20">
        <f ca="1">IF(A77=$D$8,SUM($H$19:H77),IF(A77&gt;$D$8,"",F78+G78))</f>
        <v>12960.96</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857292.01000000013</v>
      </c>
      <c r="H79" s="20">
        <f ca="1">IF(A78=$D$8,SUM($H$19:H78),IF(A78&gt;$D$8,"",F79+G79))</f>
        <v>1607292.0099999995</v>
      </c>
      <c r="I79" s="20">
        <f t="shared" si="14"/>
        <v>0</v>
      </c>
      <c r="J79" s="20"/>
      <c r="K79" s="44">
        <f ca="1">IF(A78=$D$8,XIRR(H$18:H78,C$18:C78),"")</f>
        <v>0.55444064736366283</v>
      </c>
      <c r="L79" s="20">
        <f ca="1">IF(A78=$D$8,G79+$I$18+$J$18+F79,"")</f>
        <v>1607292.0100000002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60"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6" t="s">
        <v>508</v>
      </c>
      <c r="B2" s="416"/>
      <c r="C2" s="416"/>
      <c r="D2" s="416"/>
      <c r="E2" s="416"/>
      <c r="F2" s="416"/>
      <c r="G2" s="416"/>
      <c r="H2" s="416"/>
      <c r="I2" s="416"/>
      <c r="J2" s="416"/>
      <c r="K2" s="416"/>
      <c r="L2" s="416"/>
      <c r="M2" s="416"/>
      <c r="N2" s="416"/>
      <c r="O2" s="416"/>
      <c r="P2" s="416"/>
      <c r="Q2" s="416"/>
      <c r="R2" s="416"/>
    </row>
    <row r="3" spans="1:18" hidden="1" x14ac:dyDescent="0.35">
      <c r="A3" s="417" t="s">
        <v>84</v>
      </c>
      <c r="B3" s="417"/>
      <c r="C3" s="417"/>
      <c r="D3" s="417"/>
      <c r="E3" s="417"/>
      <c r="F3" s="28"/>
      <c r="G3" s="26"/>
      <c r="H3" s="26"/>
      <c r="I3" s="26"/>
      <c r="J3" s="26"/>
      <c r="K3" s="26"/>
      <c r="L3" s="26"/>
      <c r="M3" s="26"/>
      <c r="N3" s="26"/>
      <c r="O3" s="26"/>
      <c r="P3" s="26"/>
      <c r="Q3" s="27"/>
      <c r="R3" s="27"/>
    </row>
    <row r="4" spans="1:18" hidden="1" x14ac:dyDescent="0.35">
      <c r="A4" s="418" t="s">
        <v>85</v>
      </c>
      <c r="B4" s="419"/>
      <c r="C4" s="29"/>
      <c r="D4" s="29" t="s">
        <v>86</v>
      </c>
      <c r="E4" s="30" t="s">
        <v>87</v>
      </c>
      <c r="F4" s="30" t="s">
        <v>88</v>
      </c>
      <c r="G4" s="31"/>
      <c r="H4" s="31"/>
      <c r="I4" s="31"/>
      <c r="J4" s="31"/>
      <c r="K4" s="31"/>
      <c r="L4" s="31"/>
      <c r="M4" s="31"/>
      <c r="N4" s="31"/>
      <c r="O4" s="31"/>
      <c r="P4" s="31"/>
      <c r="Q4" s="27"/>
      <c r="R4" s="27"/>
    </row>
    <row r="5" spans="1:18" hidden="1" x14ac:dyDescent="0.35">
      <c r="A5" s="424" t="e">
        <f xml:space="preserve"> IF(#REF!&gt;60,графік!D11," ")</f>
        <v>#REF!</v>
      </c>
      <c r="B5" s="419"/>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0" t="str">
        <f>графік!A22</f>
        <v>№ з/п</v>
      </c>
      <c r="B9" s="421" t="str">
        <f>графік!C22</f>
        <v>Дата видачі кредиту/дата платежу</v>
      </c>
      <c r="C9" s="422" t="s">
        <v>503</v>
      </c>
      <c r="D9" s="423" t="str">
        <f>графік!F22</f>
        <v>Чиста сума кредиту/сума платежу за розрахунковий період, грн</v>
      </c>
      <c r="E9" s="425" t="str">
        <f>графік!G22</f>
        <v>Види платежів за кредитом</v>
      </c>
      <c r="F9" s="425"/>
      <c r="G9" s="425"/>
      <c r="H9" s="425"/>
      <c r="I9" s="425"/>
      <c r="J9" s="425"/>
      <c r="K9" s="425"/>
      <c r="L9" s="425"/>
      <c r="M9" s="425"/>
      <c r="N9" s="425"/>
      <c r="O9" s="425"/>
      <c r="P9" s="425"/>
      <c r="Q9" s="408" t="str">
        <f>графік!S22</f>
        <v>Реальна річна процентна ставка, %</v>
      </c>
      <c r="R9" s="405" t="str">
        <f>графік!T22</f>
        <v>Загальна вартість кредиту, грн</v>
      </c>
    </row>
    <row r="10" spans="1:18" ht="24" customHeight="1" x14ac:dyDescent="0.35">
      <c r="A10" s="420"/>
      <c r="B10" s="421"/>
      <c r="C10" s="422"/>
      <c r="D10" s="423"/>
      <c r="E10" s="405" t="str">
        <f>графік!G23</f>
        <v>Cума кредиту за договором/погашення суми кредиту</v>
      </c>
      <c r="F10" s="405" t="str">
        <f>графік!H23</f>
        <v>Проценти за користування кредитом</v>
      </c>
      <c r="G10" s="425" t="str">
        <f>графік!I23</f>
        <v>Платежі за супровідні послуги</v>
      </c>
      <c r="H10" s="425"/>
      <c r="I10" s="425"/>
      <c r="J10" s="425"/>
      <c r="K10" s="425"/>
      <c r="L10" s="425"/>
      <c r="M10" s="425"/>
      <c r="N10" s="425"/>
      <c r="O10" s="425"/>
      <c r="P10" s="425"/>
      <c r="Q10" s="408"/>
      <c r="R10" s="405"/>
    </row>
    <row r="11" spans="1:18" ht="24" customHeight="1" x14ac:dyDescent="0.35">
      <c r="A11" s="420"/>
      <c r="B11" s="421"/>
      <c r="C11" s="422"/>
      <c r="D11" s="423"/>
      <c r="E11" s="405"/>
      <c r="F11" s="405"/>
      <c r="G11" s="409" t="str">
        <f>графік!I24</f>
        <v>Банку</v>
      </c>
      <c r="H11" s="410"/>
      <c r="I11" s="410"/>
      <c r="J11" s="411"/>
      <c r="K11" s="409" t="str">
        <f>графік!M24</f>
        <v>Кредитного посередника (за наявності)</v>
      </c>
      <c r="L11" s="411"/>
      <c r="M11" s="409" t="str">
        <f>графік!O24</f>
        <v>Третіх осіб</v>
      </c>
      <c r="N11" s="410"/>
      <c r="O11" s="410"/>
      <c r="P11" s="411"/>
      <c r="Q11" s="408"/>
      <c r="R11" s="405"/>
    </row>
    <row r="12" spans="1:18" ht="24" customHeight="1" x14ac:dyDescent="0.35">
      <c r="A12" s="420"/>
      <c r="B12" s="421"/>
      <c r="C12" s="422"/>
      <c r="D12" s="423"/>
      <c r="E12" s="405"/>
      <c r="F12" s="405"/>
      <c r="G12" s="405" t="str">
        <f>графік!I25</f>
        <v>За обслуговування кредитної заборгованості</v>
      </c>
      <c r="H12" s="405" t="str">
        <f>графік!J25</f>
        <v>За розрахунково-касове обслуговування</v>
      </c>
      <c r="I12" s="405" t="str">
        <f>графік!K25</f>
        <v>Комісія за надання кредиту</v>
      </c>
      <c r="J12" s="412" t="str">
        <f>графік!L25</f>
        <v>Інші послуги банку</v>
      </c>
      <c r="K12" s="414" t="str">
        <f>графік!M25</f>
        <v>Комісійний збір</v>
      </c>
      <c r="L12" s="412" t="str">
        <f>графік!N25</f>
        <v>Інша плата за послуги кредитного посередника</v>
      </c>
      <c r="M12" s="405" t="str">
        <f>графік!O25</f>
        <v>Послуги нотаріуса</v>
      </c>
      <c r="N12" s="405" t="str">
        <f>графік!P25</f>
        <v>Послуги оцінювача</v>
      </c>
      <c r="O12" s="407" t="str">
        <f>графік!Q25</f>
        <v>Послуги страховика</v>
      </c>
      <c r="P12" s="405" t="str">
        <f>графік!R25</f>
        <v>Інші послуги третіх осіб</v>
      </c>
      <c r="Q12" s="408"/>
      <c r="R12" s="405"/>
    </row>
    <row r="13" spans="1:18" ht="15" customHeight="1" x14ac:dyDescent="0.35">
      <c r="A13" s="420"/>
      <c r="B13" s="421"/>
      <c r="C13" s="422"/>
      <c r="D13" s="423"/>
      <c r="E13" s="405"/>
      <c r="F13" s="405"/>
      <c r="G13" s="405"/>
      <c r="H13" s="405"/>
      <c r="I13" s="405"/>
      <c r="J13" s="413"/>
      <c r="K13" s="414"/>
      <c r="L13" s="413"/>
      <c r="M13" s="405"/>
      <c r="N13" s="405"/>
      <c r="O13" s="408"/>
      <c r="P13" s="405"/>
      <c r="Q13" s="408"/>
      <c r="R13" s="405"/>
    </row>
    <row r="14" spans="1:18" x14ac:dyDescent="0.35">
      <c r="A14" s="420"/>
      <c r="B14" s="421"/>
      <c r="C14" s="422"/>
      <c r="D14" s="423"/>
      <c r="E14" s="405"/>
      <c r="F14" s="405"/>
      <c r="G14" s="405"/>
      <c r="H14" s="405"/>
      <c r="I14" s="405"/>
      <c r="J14" s="413"/>
      <c r="K14" s="414"/>
      <c r="L14" s="413"/>
      <c r="M14" s="405"/>
      <c r="N14" s="405"/>
      <c r="O14" s="408"/>
      <c r="P14" s="405"/>
      <c r="Q14" s="408"/>
      <c r="R14" s="405"/>
    </row>
    <row r="15" spans="1:18" x14ac:dyDescent="0.35">
      <c r="A15" s="420"/>
      <c r="B15" s="421"/>
      <c r="C15" s="422"/>
      <c r="D15" s="423"/>
      <c r="E15" s="405"/>
      <c r="F15" s="405"/>
      <c r="G15" s="405"/>
      <c r="H15" s="405"/>
      <c r="I15" s="405"/>
      <c r="J15" s="413"/>
      <c r="K15" s="414"/>
      <c r="L15" s="413"/>
      <c r="M15" s="405"/>
      <c r="N15" s="405"/>
      <c r="O15" s="408"/>
      <c r="P15" s="405"/>
      <c r="Q15" s="408"/>
      <c r="R15" s="405"/>
    </row>
    <row r="16" spans="1:18" x14ac:dyDescent="0.35">
      <c r="A16" s="420"/>
      <c r="B16" s="421"/>
      <c r="C16" s="422"/>
      <c r="D16" s="423"/>
      <c r="E16" s="405"/>
      <c r="F16" s="405"/>
      <c r="G16" s="405"/>
      <c r="H16" s="405"/>
      <c r="I16" s="405"/>
      <c r="J16" s="413"/>
      <c r="K16" s="414"/>
      <c r="L16" s="413"/>
      <c r="M16" s="405"/>
      <c r="N16" s="405"/>
      <c r="O16" s="408"/>
      <c r="P16" s="405"/>
      <c r="Q16" s="408"/>
      <c r="R16" s="405"/>
    </row>
    <row r="17" spans="1:18" x14ac:dyDescent="0.35">
      <c r="A17" s="420"/>
      <c r="B17" s="421"/>
      <c r="C17" s="422"/>
      <c r="D17" s="423"/>
      <c r="E17" s="405"/>
      <c r="F17" s="405"/>
      <c r="G17" s="405"/>
      <c r="H17" s="405"/>
      <c r="I17" s="405"/>
      <c r="J17" s="413"/>
      <c r="K17" s="414"/>
      <c r="L17" s="413"/>
      <c r="M17" s="405"/>
      <c r="N17" s="405"/>
      <c r="O17" s="408"/>
      <c r="P17" s="405"/>
      <c r="Q17" s="408"/>
      <c r="R17" s="405"/>
    </row>
    <row r="18" spans="1:18" x14ac:dyDescent="0.35">
      <c r="A18" s="420"/>
      <c r="B18" s="421"/>
      <c r="C18" s="422"/>
      <c r="D18" s="423"/>
      <c r="E18" s="405"/>
      <c r="F18" s="405"/>
      <c r="G18" s="405"/>
      <c r="H18" s="405"/>
      <c r="I18" s="405"/>
      <c r="J18" s="413"/>
      <c r="K18" s="414"/>
      <c r="L18" s="413"/>
      <c r="M18" s="405"/>
      <c r="N18" s="405"/>
      <c r="O18" s="408"/>
      <c r="P18" s="405"/>
      <c r="Q18" s="408"/>
      <c r="R18" s="405"/>
    </row>
    <row r="19" spans="1:18" ht="15" thickBot="1" x14ac:dyDescent="0.4">
      <c r="A19" s="420"/>
      <c r="B19" s="421"/>
      <c r="C19" s="422"/>
      <c r="D19" s="423"/>
      <c r="E19" s="406"/>
      <c r="F19" s="406"/>
      <c r="G19" s="406"/>
      <c r="H19" s="406"/>
      <c r="I19" s="406"/>
      <c r="J19" s="413"/>
      <c r="K19" s="415"/>
      <c r="L19" s="413"/>
      <c r="M19" s="406"/>
      <c r="N19" s="406"/>
      <c r="O19" s="408"/>
      <c r="P19" s="406"/>
      <c r="Q19" s="408"/>
      <c r="R19" s="406"/>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45195</v>
      </c>
      <c r="C21" s="192"/>
      <c r="D21" s="194">
        <f>графік!F27</f>
        <v>735075</v>
      </c>
      <c r="E21" s="194">
        <f>графік!G27</f>
        <v>750000</v>
      </c>
      <c r="F21" s="194"/>
      <c r="G21" s="194">
        <f>графік!I27</f>
        <v>0</v>
      </c>
      <c r="H21" s="194">
        <f>графік!J27</f>
        <v>0</v>
      </c>
      <c r="I21" s="194">
        <f>графік!K27</f>
        <v>14925</v>
      </c>
      <c r="J21" s="194">
        <f>графік!L27</f>
        <v>0</v>
      </c>
      <c r="K21" s="194">
        <f>графік!M27</f>
        <v>0</v>
      </c>
      <c r="L21" s="194">
        <f>графік!N27</f>
        <v>0</v>
      </c>
      <c r="M21" s="194">
        <f>графік!O27</f>
        <v>0</v>
      </c>
      <c r="N21" s="194">
        <f>графік!P27</f>
        <v>0</v>
      </c>
      <c r="O21" s="194">
        <f>графік!Q27</f>
        <v>0</v>
      </c>
      <c r="P21" s="194">
        <f>графік!R27</f>
        <v>0</v>
      </c>
      <c r="Q21" s="194"/>
      <c r="R21" s="194"/>
    </row>
    <row r="22" spans="1:18" x14ac:dyDescent="0.35">
      <c r="A22" s="40">
        <f>графік!A28</f>
        <v>1</v>
      </c>
      <c r="B22" s="42">
        <f ca="1">графік!C28</f>
        <v>45225</v>
      </c>
      <c r="C22" s="41">
        <f ca="1">графік!D28</f>
        <v>30</v>
      </c>
      <c r="D22" s="194">
        <f ca="1">графік!F28</f>
        <v>26134.70889836779</v>
      </c>
      <c r="E22" s="193">
        <f ca="1">графік!G28</f>
        <v>5181.9688983677879</v>
      </c>
      <c r="F22" s="194">
        <f ca="1">графік!H28</f>
        <v>20952.740000000002</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45256</v>
      </c>
      <c r="C23" s="41">
        <f ca="1">графік!D29</f>
        <v>31</v>
      </c>
      <c r="D23" s="194">
        <f ca="1">графік!F29</f>
        <v>26134.70889836779</v>
      </c>
      <c r="E23" s="193">
        <f ca="1">графік!G29</f>
        <v>4633.1387287382349</v>
      </c>
      <c r="F23" s="194">
        <f ca="1">графік!H29</f>
        <v>21501.570169629555</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45286</v>
      </c>
      <c r="C24" s="41">
        <f ca="1">графік!D30</f>
        <v>30</v>
      </c>
      <c r="D24" s="194">
        <f ca="1">графік!F30</f>
        <v>26134.70889836779</v>
      </c>
      <c r="E24" s="193">
        <f ca="1">графік!G30</f>
        <v>5456.1736996653235</v>
      </c>
      <c r="F24" s="194">
        <f ca="1">графік!H30</f>
        <v>20678.535198702466</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45317</v>
      </c>
      <c r="C25" s="41">
        <f ca="1">графік!D31</f>
        <v>31</v>
      </c>
      <c r="D25" s="194">
        <f ca="1">графік!F31</f>
        <v>26134.70889836779</v>
      </c>
      <c r="E25" s="193">
        <f ca="1">графік!G31</f>
        <v>4924.3992112775377</v>
      </c>
      <c r="F25" s="194">
        <f ca="1">графік!H31</f>
        <v>21210.309687090252</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45348</v>
      </c>
      <c r="C26" s="41">
        <f ca="1">графік!D32</f>
        <v>31</v>
      </c>
      <c r="D26" s="194">
        <f ca="1">графік!F32</f>
        <v>26134.70889836779</v>
      </c>
      <c r="E26" s="193">
        <f ca="1">графік!G32</f>
        <v>5124.1211012677013</v>
      </c>
      <c r="F26" s="194">
        <f ca="1">графік!H32</f>
        <v>21010.587797100088</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45377</v>
      </c>
      <c r="C27" s="41">
        <f ca="1">графік!D33</f>
        <v>29</v>
      </c>
      <c r="D27" s="194">
        <f ca="1">графік!F33</f>
        <v>26134.70889836779</v>
      </c>
      <c r="E27" s="193">
        <f ca="1">графік!G33</f>
        <v>6617.6455561243711</v>
      </c>
      <c r="F27" s="194">
        <f ca="1">графік!H33</f>
        <v>19517.063342243418</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45408</v>
      </c>
      <c r="C28" s="41">
        <f ca="1">графік!D34</f>
        <v>31</v>
      </c>
      <c r="D28" s="194">
        <f ca="1">графік!F34</f>
        <v>26134.70889836779</v>
      </c>
      <c r="E28" s="193">
        <f ca="1">графік!G34</f>
        <v>5462.1588638149005</v>
      </c>
      <c r="F28" s="194">
        <f ca="1">графік!H34</f>
        <v>20672.550034552889</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45438</v>
      </c>
      <c r="C29" s="41">
        <f ca="1">графік!D35</f>
        <v>30</v>
      </c>
      <c r="D29" s="194">
        <f ca="1">графік!F35</f>
        <v>26134.70889836779</v>
      </c>
      <c r="E29" s="193">
        <f ca="1">графік!G35</f>
        <v>6281.1946442318149</v>
      </c>
      <c r="F29" s="194">
        <f ca="1">графік!H35</f>
        <v>19853.514254135975</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45469</v>
      </c>
      <c r="C30" s="41">
        <f ca="1">графік!D36</f>
        <v>31</v>
      </c>
      <c r="D30" s="194">
        <f ca="1">графік!F36</f>
        <v>26134.70889836779</v>
      </c>
      <c r="E30" s="193">
        <f ca="1">графік!G36</f>
        <v>5800.242310751888</v>
      </c>
      <c r="F30" s="194">
        <f ca="1">графік!H36</f>
        <v>20334.466587615902</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45499</v>
      </c>
      <c r="C31" s="41">
        <f ca="1">графік!D37</f>
        <v>30</v>
      </c>
      <c r="D31" s="194">
        <f ca="1">графік!F37</f>
        <v>26134.70889836779</v>
      </c>
      <c r="E31" s="193">
        <f ca="1">графік!G37</f>
        <v>6617.7914000514029</v>
      </c>
      <c r="F31" s="194">
        <f ca="1">графік!H37</f>
        <v>19516.917498316387</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45530</v>
      </c>
      <c r="C32" s="41">
        <f ca="1">графік!D38</f>
        <v>31</v>
      </c>
      <c r="D32" s="194">
        <f ca="1">графік!F38</f>
        <v>26134.70889836779</v>
      </c>
      <c r="E32" s="193">
        <f ca="1">графік!G38</f>
        <v>6157.7493583129908</v>
      </c>
      <c r="F32" s="194">
        <f ca="1">графік!H38</f>
        <v>19976.959540054799</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45561</v>
      </c>
      <c r="C33" s="41">
        <f ca="1">графік!D39</f>
        <v>31</v>
      </c>
      <c r="D33" s="194">
        <f ca="1">графік!F39</f>
        <v>26134.70889836779</v>
      </c>
      <c r="E33" s="193">
        <f ca="1">графік!G39</f>
        <v>6335.0269244703923</v>
      </c>
      <c r="F33" s="194">
        <f ca="1">графік!H39</f>
        <v>19799.681973897397</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45591</v>
      </c>
      <c r="C34" s="41">
        <f ca="1">графік!D40</f>
        <v>30</v>
      </c>
      <c r="D34" s="194">
        <f ca="1">графік!F40</f>
        <v>26134.70889836779</v>
      </c>
      <c r="E34" s="193">
        <f ca="1">графік!G40</f>
        <v>7150.2243472149748</v>
      </c>
      <c r="F34" s="194">
        <f ca="1">графік!H40</f>
        <v>18984.484551152815</v>
      </c>
      <c r="G34" s="194" t="str">
        <f>графік!I40</f>
        <v/>
      </c>
      <c r="H34" s="194" t="str">
        <f>графік!J40</f>
        <v/>
      </c>
      <c r="I34" s="194" t="str">
        <f>графік!K40</f>
        <v/>
      </c>
      <c r="J34" s="194">
        <f>графік!L40</f>
        <v>0</v>
      </c>
      <c r="K34" s="194" t="str">
        <f>графік!M40</f>
        <v/>
      </c>
      <c r="L34" s="194" t="str">
        <f>графік!N40</f>
        <v/>
      </c>
      <c r="M34" s="194" t="str">
        <f>графік!O40</f>
        <v/>
      </c>
      <c r="N34" s="194" t="str">
        <f>графік!P40</f>
        <v/>
      </c>
      <c r="O34" s="194">
        <f>графік!Q40</f>
        <v>0</v>
      </c>
      <c r="P34" s="194" t="str">
        <f>графік!R40</f>
        <v/>
      </c>
      <c r="Q34" s="209" t="str">
        <f>графік!S40</f>
        <v/>
      </c>
      <c r="R34" s="194" t="str">
        <f>графік!T40</f>
        <v/>
      </c>
    </row>
    <row r="35" spans="1:18" x14ac:dyDescent="0.35">
      <c r="A35" s="40">
        <f>графік!A41</f>
        <v>14</v>
      </c>
      <c r="B35" s="42">
        <f ca="1">графік!C41</f>
        <v>45622</v>
      </c>
      <c r="C35" s="41">
        <f ca="1">графік!D41</f>
        <v>31</v>
      </c>
      <c r="D35" s="194">
        <f ca="1">графік!F41</f>
        <v>26134.70889836779</v>
      </c>
      <c r="E35" s="193">
        <f ca="1">графік!G41</f>
        <v>6723.2584657944972</v>
      </c>
      <c r="F35" s="194">
        <f ca="1">графік!H41</f>
        <v>19411.450432573292</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45652</v>
      </c>
      <c r="C36" s="41">
        <f ca="1">графік!D42</f>
        <v>30</v>
      </c>
      <c r="D36" s="194">
        <f ca="1">графік!F42</f>
        <v>26134.70889836779</v>
      </c>
      <c r="E36" s="193">
        <f ca="1">графік!G42</f>
        <v>7536.7486757511979</v>
      </c>
      <c r="F36" s="194">
        <f ca="1">графік!H42</f>
        <v>18597.960222616592</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45683</v>
      </c>
      <c r="C37" s="41">
        <f ca="1">графік!D43</f>
        <v>31</v>
      </c>
      <c r="D37" s="194">
        <f ca="1">графік!F43</f>
        <v>26134.70889836779</v>
      </c>
      <c r="E37" s="193">
        <f ca="1">графік!G43</f>
        <v>7133.7947205752389</v>
      </c>
      <c r="F37" s="194">
        <f ca="1">графік!H43</f>
        <v>19000.914177792551</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45714</v>
      </c>
      <c r="C38" s="41">
        <f ca="1">графік!D44</f>
        <v>31</v>
      </c>
      <c r="D38" s="194">
        <f ca="1">графік!F44</f>
        <v>26134.70889836779</v>
      </c>
      <c r="E38" s="193">
        <f ca="1">графік!G44</f>
        <v>7287.6773710230118</v>
      </c>
      <c r="F38" s="194">
        <f ca="1">графік!H44</f>
        <v>18847.031527344778</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45742</v>
      </c>
      <c r="C39" s="41">
        <f ca="1">графік!D45</f>
        <v>28</v>
      </c>
      <c r="D39" s="194">
        <f ca="1">графік!F45</f>
        <v>26134.70889836779</v>
      </c>
      <c r="E39" s="193">
        <f ca="1">графік!G45</f>
        <v>9301.6063412203621</v>
      </c>
      <c r="F39" s="194">
        <f ca="1">графік!H45</f>
        <v>16833.102557147427</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45773</v>
      </c>
      <c r="C40" s="41">
        <f ca="1">графік!D46</f>
        <v>31</v>
      </c>
      <c r="D40" s="194">
        <f ca="1">графік!F46</f>
        <v>26134.70889836779</v>
      </c>
      <c r="E40" s="193">
        <f ca="1">графік!G46</f>
        <v>7766.5804492354437</v>
      </c>
      <c r="F40" s="194">
        <f ca="1">графік!H46</f>
        <v>18368.128449132346</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45803</v>
      </c>
      <c r="C41" s="41">
        <f ca="1">графік!D47</f>
        <v>30</v>
      </c>
      <c r="D41" s="194">
        <f ca="1">графік!F47</f>
        <v>26134.70889836779</v>
      </c>
      <c r="E41" s="193">
        <f ca="1">графік!G47</f>
        <v>8576.0755734068734</v>
      </c>
      <c r="F41" s="194">
        <f ca="1">графік!H47</f>
        <v>17558.633324960916</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45834</v>
      </c>
      <c r="C42" s="41">
        <f ca="1">графік!D48</f>
        <v>31</v>
      </c>
      <c r="D42" s="194">
        <f ca="1">графік!F48</f>
        <v>26134.70889836779</v>
      </c>
      <c r="E42" s="193">
        <f ca="1">графік!G48</f>
        <v>8238.3638252490855</v>
      </c>
      <c r="F42" s="194">
        <f ca="1">графік!H48</f>
        <v>17896.345073118704</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45864</v>
      </c>
      <c r="C43" s="41">
        <f ca="1">графік!D49</f>
        <v>30</v>
      </c>
      <c r="D43" s="194">
        <f ca="1">графік!F49</f>
        <v>26134.70889836779</v>
      </c>
      <c r="E43" s="193">
        <f ca="1">графік!G49</f>
        <v>9045.8203365523404</v>
      </c>
      <c r="F43" s="194">
        <f ca="1">графік!H49</f>
        <v>17088.888561815449</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45895</v>
      </c>
      <c r="C44" s="41">
        <f ca="1">графік!D50</f>
        <v>31</v>
      </c>
      <c r="D44" s="194">
        <f ca="1">графік!F50</f>
        <v>26134.70889836779</v>
      </c>
      <c r="E44" s="193">
        <f ca="1">графік!G50</f>
        <v>8737.3274419463087</v>
      </c>
      <c r="F44" s="194">
        <f ca="1">графік!H50</f>
        <v>17397.381456421481</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45926</v>
      </c>
      <c r="C45" s="41">
        <f ca="1">графік!D51</f>
        <v>31</v>
      </c>
      <c r="D45" s="194">
        <f ca="1">графік!F51</f>
        <v>26134.70889836779</v>
      </c>
      <c r="E45" s="193">
        <f ca="1">графік!G51</f>
        <v>8989.558525571083</v>
      </c>
      <c r="F45" s="194">
        <f ca="1">графік!H51</f>
        <v>17145.150372796707</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45956</v>
      </c>
      <c r="C46" s="41">
        <f ca="1">графік!D52</f>
        <v>30</v>
      </c>
      <c r="D46" s="194">
        <f ca="1">графік!F52</f>
        <v>26134.70889836779</v>
      </c>
      <c r="E46" s="193">
        <f ca="1">графік!G52</f>
        <v>9793.7690658197353</v>
      </c>
      <c r="F46" s="194">
        <f ca="1">графік!H52</f>
        <v>16340.939832548054</v>
      </c>
      <c r="G46" s="194" t="str">
        <f>графік!I52</f>
        <v/>
      </c>
      <c r="H46" s="194" t="str">
        <f>графік!J52</f>
        <v/>
      </c>
      <c r="I46" s="194" t="str">
        <f>графік!K52</f>
        <v/>
      </c>
      <c r="J46" s="194">
        <f>графік!L52</f>
        <v>0</v>
      </c>
      <c r="K46" s="194" t="str">
        <f>графік!M52</f>
        <v/>
      </c>
      <c r="L46" s="194" t="str">
        <f>графік!N52</f>
        <v/>
      </c>
      <c r="M46" s="194" t="str">
        <f>графік!O52</f>
        <v/>
      </c>
      <c r="N46" s="194" t="str">
        <f>графік!P52</f>
        <v/>
      </c>
      <c r="O46" s="194">
        <f>графік!Q52</f>
        <v>0</v>
      </c>
      <c r="P46" s="194" t="str">
        <f>графік!R52</f>
        <v/>
      </c>
      <c r="Q46" s="209" t="str">
        <f>графік!S52</f>
        <v/>
      </c>
      <c r="R46" s="194" t="str">
        <f>графік!T52</f>
        <v/>
      </c>
    </row>
    <row r="47" spans="1:18" x14ac:dyDescent="0.35">
      <c r="A47" s="40">
        <f>графік!A53</f>
        <v>26</v>
      </c>
      <c r="B47" s="42">
        <f ca="1">графік!C53</f>
        <v>45987</v>
      </c>
      <c r="C47" s="41">
        <f ca="1">графік!D53</f>
        <v>31</v>
      </c>
      <c r="D47" s="194">
        <f ca="1">графік!F53</f>
        <v>26134.70889836779</v>
      </c>
      <c r="E47" s="193">
        <f ca="1">графік!G53</f>
        <v>9531.7997433730707</v>
      </c>
      <c r="F47" s="194">
        <f ca="1">графік!H53</f>
        <v>16602.909154994719</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46017</v>
      </c>
      <c r="C48" s="41">
        <f ca="1">графік!D54</f>
        <v>30</v>
      </c>
      <c r="D48" s="194">
        <f ca="1">графік!F54</f>
        <v>26134.70889836779</v>
      </c>
      <c r="E48" s="193">
        <f ca="1">графік!G54</f>
        <v>10333.667216908336</v>
      </c>
      <c r="F48" s="194">
        <f ca="1">графік!H54</f>
        <v>15801.041681459454</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46048</v>
      </c>
      <c r="C49" s="41">
        <f ca="1">графік!D55</f>
        <v>31</v>
      </c>
      <c r="D49" s="194">
        <f ca="1">графік!F55</f>
        <v>26134.70889836779</v>
      </c>
      <c r="E49" s="193">
        <f ca="1">графік!G55</f>
        <v>10105.280397657423</v>
      </c>
      <c r="F49" s="194">
        <f ca="1">графік!H55</f>
        <v>16029.428500710366</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46079</v>
      </c>
      <c r="C50" s="41">
        <f ca="1">графік!D56</f>
        <v>31</v>
      </c>
      <c r="D50" s="194">
        <f ca="1">графік!F56</f>
        <v>26134.70889836779</v>
      </c>
      <c r="E50" s="193">
        <f ca="1">графік!G56</f>
        <v>10397.001847032976</v>
      </c>
      <c r="F50" s="194">
        <f ca="1">графік!H56</f>
        <v>15737.707051334814</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46107</v>
      </c>
      <c r="C51" s="41">
        <f ca="1">графік!D57</f>
        <v>28</v>
      </c>
      <c r="D51" s="194">
        <f ca="1">графік!F57</f>
        <v>26134.70889836779</v>
      </c>
      <c r="E51" s="193">
        <f ca="1">графік!G57</f>
        <v>12191.102593524152</v>
      </c>
      <c r="F51" s="194">
        <f ca="1">графік!H57</f>
        <v>13943.606304843637</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46138</v>
      </c>
      <c r="C52" s="41">
        <f ca="1">графік!D58</f>
        <v>31</v>
      </c>
      <c r="D52" s="194">
        <f ca="1">графік!F58</f>
        <v>26134.70889836779</v>
      </c>
      <c r="E52" s="193">
        <f ca="1">графік!G58</f>
        <v>11049.08019684039</v>
      </c>
      <c r="F52" s="194">
        <f ca="1">графік!H58</f>
        <v>15085.628701527399</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46168</v>
      </c>
      <c r="C53" s="41">
        <f ca="1">графік!D59</f>
        <v>30</v>
      </c>
      <c r="D53" s="194">
        <f ca="1">графік!F59</f>
        <v>26134.70889836779</v>
      </c>
      <c r="E53" s="193">
        <f ca="1">графік!G59</f>
        <v>11844.391382862495</v>
      </c>
      <c r="F53" s="194">
        <f ca="1">графік!H59</f>
        <v>14290.317515505294</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46199</v>
      </c>
      <c r="C54" s="41">
        <f ca="1">графік!D60</f>
        <v>31</v>
      </c>
      <c r="D54" s="194">
        <f ca="1">графік!F60</f>
        <v>26134.70889836779</v>
      </c>
      <c r="E54" s="193">
        <f ca="1">графік!G60</f>
        <v>11709.973952150451</v>
      </c>
      <c r="F54" s="194">
        <f ca="1">графік!H60</f>
        <v>14424.734946217339</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46229</v>
      </c>
      <c r="C55" s="41">
        <f ca="1">графік!D61</f>
        <v>30</v>
      </c>
      <c r="D55" s="194">
        <f ca="1">графік!F61</f>
        <v>26134.70889836779</v>
      </c>
      <c r="E55" s="193">
        <f ca="1">графік!G61</f>
        <v>12502.429364564214</v>
      </c>
      <c r="F55" s="194">
        <f ca="1">графік!H61</f>
        <v>13632.279533803576</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46260</v>
      </c>
      <c r="C56" s="41">
        <f ca="1">графік!D62</f>
        <v>31</v>
      </c>
      <c r="D56" s="194">
        <f ca="1">графік!F62</f>
        <v>26134.70889836779</v>
      </c>
      <c r="E56" s="193">
        <f ca="1">графік!G62</f>
        <v>12408.942917925489</v>
      </c>
      <c r="F56" s="194">
        <f ca="1">графік!H62</f>
        <v>13725.7659804423</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46291</v>
      </c>
      <c r="C57" s="41">
        <f ca="1">графік!D63</f>
        <v>31</v>
      </c>
      <c r="D57" s="194">
        <f ca="1">графік!F63</f>
        <v>26134.70889836779</v>
      </c>
      <c r="E57" s="193">
        <f ca="1">графік!G63</f>
        <v>12767.167001848475</v>
      </c>
      <c r="F57" s="194">
        <f ca="1">графік!H63</f>
        <v>13367.541896519315</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46321</v>
      </c>
      <c r="C58" s="41">
        <f ca="1">графік!D64</f>
        <v>30</v>
      </c>
      <c r="D58" s="194">
        <f ca="1">графік!F64</f>
        <v>26134.70889836779</v>
      </c>
      <c r="E58" s="193">
        <f ca="1">графік!G64</f>
        <v>13555.054200406394</v>
      </c>
      <c r="F58" s="194">
        <f ca="1">графік!H64</f>
        <v>12579.654697961396</v>
      </c>
      <c r="G58" s="194" t="str">
        <f>графік!I64</f>
        <v/>
      </c>
      <c r="H58" s="194" t="str">
        <f>графік!J64</f>
        <v/>
      </c>
      <c r="I58" s="194" t="str">
        <f>графік!K64</f>
        <v/>
      </c>
      <c r="J58" s="194">
        <f>графік!L64</f>
        <v>0</v>
      </c>
      <c r="K58" s="194" t="str">
        <f>графік!M64</f>
        <v/>
      </c>
      <c r="L58" s="194" t="str">
        <f>графік!N64</f>
        <v/>
      </c>
      <c r="M58" s="194" t="str">
        <f>графік!O64</f>
        <v/>
      </c>
      <c r="N58" s="194" t="str">
        <f>графік!P64</f>
        <v/>
      </c>
      <c r="O58" s="194">
        <f>графік!Q64</f>
        <v>0</v>
      </c>
      <c r="P58" s="194" t="str">
        <f>графік!R64</f>
        <v/>
      </c>
      <c r="Q58" s="209" t="str">
        <f>графік!S64</f>
        <v/>
      </c>
      <c r="R58" s="194" t="str">
        <f>графік!T64</f>
        <v/>
      </c>
    </row>
    <row r="59" spans="1:18" x14ac:dyDescent="0.35">
      <c r="A59" s="40">
        <f>графік!A65</f>
        <v>38</v>
      </c>
      <c r="B59" s="42">
        <f ca="1">графік!C65</f>
        <v>46352</v>
      </c>
      <c r="C59" s="41">
        <f ca="1">графік!D65</f>
        <v>31</v>
      </c>
      <c r="D59" s="194">
        <f ca="1">графік!F65</f>
        <v>26134.70889836779</v>
      </c>
      <c r="E59" s="193">
        <f ca="1">графік!G65</f>
        <v>13527.042652769129</v>
      </c>
      <c r="F59" s="194">
        <f ca="1">графік!H65</f>
        <v>12607.666245598661</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46382</v>
      </c>
      <c r="C60" s="41">
        <f ca="1">графік!D66</f>
        <v>30</v>
      </c>
      <c r="D60" s="194">
        <f ca="1">графік!F66</f>
        <v>26134.70889836779</v>
      </c>
      <c r="E60" s="193">
        <f ca="1">графік!G66</f>
        <v>14311.646369205928</v>
      </c>
      <c r="F60" s="194">
        <f ca="1">графік!H66</f>
        <v>11823.062529161862</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46413</v>
      </c>
      <c r="C61" s="41">
        <f ca="1">графік!D67</f>
        <v>31</v>
      </c>
      <c r="D61" s="194">
        <f ca="1">графік!F67</f>
        <v>26134.70889836779</v>
      </c>
      <c r="E61" s="193">
        <f ca="1">графік!G67</f>
        <v>14330.696029085975</v>
      </c>
      <c r="F61" s="194">
        <f ca="1">графік!H67</f>
        <v>11804.012869281814</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46444</v>
      </c>
      <c r="C62" s="41">
        <f ca="1">графік!D68</f>
        <v>31</v>
      </c>
      <c r="D62" s="194">
        <f ca="1">графік!F68</f>
        <v>26134.70889836779</v>
      </c>
      <c r="E62" s="193">
        <f ca="1">графік!G68</f>
        <v>14744.3977030281</v>
      </c>
      <c r="F62" s="194">
        <f ca="1">графік!H68</f>
        <v>11390.311195339689</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46472</v>
      </c>
      <c r="C63" s="41">
        <f ca="1">графік!D69</f>
        <v>28</v>
      </c>
      <c r="D63" s="194">
        <f ca="1">графік!F69</f>
        <v>26134.70889836779</v>
      </c>
      <c r="E63" s="193">
        <f ca="1">графік!G69</f>
        <v>16231.138984096946</v>
      </c>
      <c r="F63" s="194">
        <f ca="1">графік!H69</f>
        <v>9903.5699142708436</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46503</v>
      </c>
      <c r="C64" s="41">
        <f ca="1">графік!D70</f>
        <v>31</v>
      </c>
      <c r="D64" s="194">
        <f ca="1">графік!F70</f>
        <v>26134.70889836779</v>
      </c>
      <c r="E64" s="193">
        <f ca="1">графік!G70</f>
        <v>15638.606285270753</v>
      </c>
      <c r="F64" s="194">
        <f ca="1">графік!H70</f>
        <v>10496.102613097037</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46533</v>
      </c>
      <c r="C65" s="41">
        <f ca="1">графік!D71</f>
        <v>30</v>
      </c>
      <c r="D65" s="194">
        <f ca="1">графік!F71</f>
        <v>26134.70889836779</v>
      </c>
      <c r="E65" s="193">
        <f ca="1">графік!G71</f>
        <v>16414.085770096077</v>
      </c>
      <c r="F65" s="194">
        <f ca="1">графік!H71</f>
        <v>9720.6231282717144</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46564</v>
      </c>
      <c r="C66" s="41">
        <f ca="1">графік!D72</f>
        <v>31</v>
      </c>
      <c r="D66" s="194">
        <f ca="1">графік!F72</f>
        <v>26134.70889836779</v>
      </c>
      <c r="E66" s="193">
        <f ca="1">графік!G72</f>
        <v>16563.910424772657</v>
      </c>
      <c r="F66" s="194">
        <f ca="1">графік!H72</f>
        <v>9570.7984735951341</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46594</v>
      </c>
      <c r="C67" s="41">
        <f ca="1">графік!D73</f>
        <v>30</v>
      </c>
      <c r="D67" s="194">
        <f ca="1">графік!F73</f>
        <v>26134.70889836779</v>
      </c>
      <c r="E67" s="193">
        <f ca="1">графік!G73</f>
        <v>17335.391598038746</v>
      </c>
      <c r="F67" s="194">
        <f ca="1">графік!H73</f>
        <v>8799.3173003290412</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46625</v>
      </c>
      <c r="C68" s="41">
        <f ca="1">графік!D74</f>
        <v>31</v>
      </c>
      <c r="D68" s="194">
        <f ca="1">графік!F74</f>
        <v>26134.70889836779</v>
      </c>
      <c r="E68" s="193">
        <f ca="1">графік!G74</f>
        <v>17542.522905551181</v>
      </c>
      <c r="F68" s="194">
        <f ca="1">графік!H74</f>
        <v>8592.1859928166086</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46656</v>
      </c>
      <c r="C69" s="41">
        <f ca="1">графік!D75</f>
        <v>31</v>
      </c>
      <c r="D69" s="194">
        <f ca="1">графік!F75</f>
        <v>26134.70889836779</v>
      </c>
      <c r="E69" s="193">
        <f ca="1">графік!G75</f>
        <v>18048.944301725158</v>
      </c>
      <c r="F69" s="194">
        <f ca="1">графік!H75</f>
        <v>8085.7645966426317</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46686</v>
      </c>
      <c r="C70" s="41">
        <f ca="1">графік!D76</f>
        <v>30</v>
      </c>
      <c r="D70" s="194">
        <f ca="1">графік!F76</f>
        <v>26134.70889836779</v>
      </c>
      <c r="E70" s="193">
        <f ca="1">графік!G76</f>
        <v>18814.008527457372</v>
      </c>
      <c r="F70" s="194">
        <f ca="1">графік!H76</f>
        <v>7320.7003709104183</v>
      </c>
      <c r="G70" s="194" t="str">
        <f>графік!I76</f>
        <v/>
      </c>
      <c r="H70" s="194" t="str">
        <f>графік!J76</f>
        <v/>
      </c>
      <c r="I70" s="194" t="str">
        <f>графік!K76</f>
        <v/>
      </c>
      <c r="J70" s="194">
        <f>графік!L76</f>
        <v>0</v>
      </c>
      <c r="K70" s="194" t="str">
        <f>графік!M76</f>
        <v/>
      </c>
      <c r="L70" s="194" t="str">
        <f>графік!N76</f>
        <v/>
      </c>
      <c r="M70" s="194" t="str">
        <f>графік!O76</f>
        <v/>
      </c>
      <c r="N70" s="194" t="str">
        <f>графік!P76</f>
        <v/>
      </c>
      <c r="O70" s="194">
        <f>графік!Q76</f>
        <v>0</v>
      </c>
      <c r="P70" s="194" t="str">
        <f>графік!R76</f>
        <v/>
      </c>
      <c r="Q70" s="209" t="str">
        <f>графік!S76</f>
        <v/>
      </c>
      <c r="R70" s="194" t="str">
        <f>графік!T76</f>
        <v/>
      </c>
    </row>
    <row r="71" spans="1:18" x14ac:dyDescent="0.35">
      <c r="A71" s="40">
        <f>графік!A77</f>
        <v>50</v>
      </c>
      <c r="B71" s="42">
        <f ca="1">графік!C77</f>
        <v>46717</v>
      </c>
      <c r="C71" s="41">
        <f ca="1">графік!D77</f>
        <v>31</v>
      </c>
      <c r="D71" s="194">
        <f ca="1">графік!F77</f>
        <v>26134.70889836779</v>
      </c>
      <c r="E71" s="193">
        <f ca="1">графік!G77</f>
        <v>19113.112103549305</v>
      </c>
      <c r="F71" s="194">
        <f ca="1">графік!H77</f>
        <v>7021.5967948184843</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46747</v>
      </c>
      <c r="C72" s="41">
        <f ca="1">графік!D78</f>
        <v>30</v>
      </c>
      <c r="D72" s="194">
        <f ca="1">графік!F78</f>
        <v>26134.70889836779</v>
      </c>
      <c r="E72" s="193">
        <f ca="1">графік!G78</f>
        <v>19873.577976976208</v>
      </c>
      <c r="F72" s="194">
        <f ca="1">графік!H78</f>
        <v>6261.1309213915829</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46778</v>
      </c>
      <c r="C73" s="41">
        <f ca="1">графік!D79</f>
        <v>31</v>
      </c>
      <c r="D73" s="194">
        <f ca="1">графік!F79</f>
        <v>26134.70889836779</v>
      </c>
      <c r="E73" s="193">
        <f ca="1">графік!G79</f>
        <v>20238.588417821877</v>
      </c>
      <c r="F73" s="194">
        <f ca="1">графік!H79</f>
        <v>5896.1204805459129</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46809</v>
      </c>
      <c r="C74" s="41">
        <f ca="1">графік!D80</f>
        <v>31</v>
      </c>
      <c r="D74" s="194">
        <f ca="1">графік!F80</f>
        <v>26134.70889836779</v>
      </c>
      <c r="E74" s="193">
        <f ca="1">графік!G80</f>
        <v>20837.353725964756</v>
      </c>
      <c r="F74" s="194">
        <f ca="1">графік!H80</f>
        <v>5297.355172403034</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46838</v>
      </c>
      <c r="C75" s="41">
        <f ca="1">графік!D81</f>
        <v>29</v>
      </c>
      <c r="D75" s="194">
        <f ca="1">графік!F81</f>
        <v>26134.70889836779</v>
      </c>
      <c r="E75" s="193">
        <f ca="1">графік!G81</f>
        <v>21740.309503152966</v>
      </c>
      <c r="F75" s="194">
        <f ca="1">графік!H81</f>
        <v>4394.399395214823</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46869</v>
      </c>
      <c r="C76" s="41">
        <f ca="1">графік!D82</f>
        <v>31</v>
      </c>
      <c r="D76" s="194">
        <f ca="1">графік!F82</f>
        <v>26134.70889836779</v>
      </c>
      <c r="E76" s="193">
        <f ca="1">графік!G82</f>
        <v>22063.136730551887</v>
      </c>
      <c r="F76" s="194">
        <f ca="1">графік!H82</f>
        <v>4071.572167815902</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46899</v>
      </c>
      <c r="C77" s="41">
        <f ca="1">графік!D83</f>
        <v>30</v>
      </c>
      <c r="D77" s="194">
        <f ca="1">графік!F83</f>
        <v>26134.70889836779</v>
      </c>
      <c r="E77" s="193">
        <f ca="1">графік!G83</f>
        <v>22809.171225167189</v>
      </c>
      <c r="F77" s="194">
        <f ca="1">графік!H83</f>
        <v>3325.5376732006021</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46930</v>
      </c>
      <c r="C78" s="41">
        <f ca="1">графік!D84</f>
        <v>31</v>
      </c>
      <c r="D78" s="194">
        <f ca="1">графік!F84</f>
        <v>26134.70889836779</v>
      </c>
      <c r="E78" s="193">
        <f ca="1">графік!G84</f>
        <v>23354.981052132807</v>
      </c>
      <c r="F78" s="194">
        <f ca="1">графік!H84</f>
        <v>2779.7278462349823</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46960</v>
      </c>
      <c r="C79" s="41">
        <f ca="1">графік!D85</f>
        <v>30</v>
      </c>
      <c r="D79" s="194">
        <f ca="1">графік!F85</f>
        <v>26134.70889836779</v>
      </c>
      <c r="E79" s="193">
        <f ca="1">графік!G85</f>
        <v>24095.33477918803</v>
      </c>
      <c r="F79" s="194">
        <f ca="1">графік!H85</f>
        <v>2039.3741191797603</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46991</v>
      </c>
      <c r="C80" s="41">
        <f ca="1">графік!D86</f>
        <v>31</v>
      </c>
      <c r="D80" s="194">
        <f ca="1">графік!F86</f>
        <v>26134.70889836779</v>
      </c>
      <c r="E80" s="193">
        <f ca="1">графік!G86</f>
        <v>24721.044529955332</v>
      </c>
      <c r="F80" s="194">
        <f ca="1">графік!H86</f>
        <v>1413.6643684124567</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47021</v>
      </c>
      <c r="C81" s="41">
        <f ca="1">графік!D87</f>
        <v>30</v>
      </c>
      <c r="D81" s="194">
        <f ca="1">графік!F87</f>
        <v>25062.009533799788</v>
      </c>
      <c r="E81" s="193">
        <f ca="1">графік!G87</f>
        <v>24382.691752913292</v>
      </c>
      <c r="F81" s="194">
        <f ca="1">графік!H87</f>
        <v>679.31778088649617</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t="str">
        <f>графік!A88</f>
        <v/>
      </c>
      <c r="B82" s="42" t="str">
        <f ca="1">графік!C88</f>
        <v xml:space="preserve"> </v>
      </c>
      <c r="C82" s="41" t="str">
        <f>графік!D88</f>
        <v/>
      </c>
      <c r="D82" s="194">
        <f ca="1">графік!F88</f>
        <v>1567009.8345375005</v>
      </c>
      <c r="E82" s="193">
        <f ca="1">графік!G88</f>
        <v>750000</v>
      </c>
      <c r="F82" s="194">
        <f ca="1">графік!H88</f>
        <v>817009.83453749935</v>
      </c>
      <c r="G82" s="194">
        <f>графік!I88</f>
        <v>0</v>
      </c>
      <c r="H82" s="194">
        <f>графік!J88</f>
        <v>0</v>
      </c>
      <c r="I82" s="194">
        <f>графік!K88</f>
        <v>14925</v>
      </c>
      <c r="J82" s="194">
        <f>графік!L88</f>
        <v>0</v>
      </c>
      <c r="K82" s="194">
        <f>графік!M88</f>
        <v>0</v>
      </c>
      <c r="L82" s="194">
        <f>графік!N88</f>
        <v>0</v>
      </c>
      <c r="M82" s="194">
        <f>графік!O88</f>
        <v>0</v>
      </c>
      <c r="N82" s="194">
        <f>графік!P88</f>
        <v>0</v>
      </c>
      <c r="O82" s="194">
        <f>графік!Q88</f>
        <v>0</v>
      </c>
      <c r="P82" s="194">
        <f>графік!R88</f>
        <v>0</v>
      </c>
      <c r="Q82" s="209">
        <f ca="1">графік!S88</f>
        <v>0.41282240748405463</v>
      </c>
      <c r="R82" s="194">
        <f ca="1">графік!T88</f>
        <v>1581934.8345374994</v>
      </c>
    </row>
    <row r="83" spans="1:18" x14ac:dyDescent="0.35">
      <c r="A83" s="40" t="str">
        <f>графік!A89</f>
        <v/>
      </c>
      <c r="B83" s="42" t="str">
        <f ca="1">графік!C89</f>
        <v xml:space="preserve"> </v>
      </c>
      <c r="C83" s="41" t="str">
        <f>графік!D89</f>
        <v/>
      </c>
      <c r="D83" s="194" t="str">
        <f>графік!F89</f>
        <v/>
      </c>
      <c r="E83" s="193" t="str">
        <f>графік!G89</f>
        <v/>
      </c>
      <c r="F83" s="194" t="str">
        <f>графік!H89</f>
        <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t="str">
        <f>графік!A90</f>
        <v/>
      </c>
      <c r="B84" s="42" t="str">
        <f ca="1">графік!C90</f>
        <v xml:space="preserve"> </v>
      </c>
      <c r="C84" s="41" t="str">
        <f>графік!D90</f>
        <v/>
      </c>
      <c r="D84" s="194" t="str">
        <f>графік!F90</f>
        <v/>
      </c>
      <c r="E84" s="193" t="str">
        <f>графік!G90</f>
        <v/>
      </c>
      <c r="F84" s="194" t="str">
        <f>графік!H90</f>
        <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t="str">
        <f>графік!A91</f>
        <v/>
      </c>
      <c r="B85" s="42" t="str">
        <f ca="1">графік!C91</f>
        <v xml:space="preserve"> </v>
      </c>
      <c r="C85" s="41" t="str">
        <f>графік!D91</f>
        <v/>
      </c>
      <c r="D85" s="194" t="str">
        <f>графік!F91</f>
        <v/>
      </c>
      <c r="E85" s="193" t="str">
        <f>графік!G91</f>
        <v/>
      </c>
      <c r="F85" s="194" t="str">
        <f>графік!H91</f>
        <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t="str">
        <f>графік!A92</f>
        <v/>
      </c>
      <c r="B86" s="42" t="str">
        <f ca="1">графік!C92</f>
        <v xml:space="preserve"> </v>
      </c>
      <c r="C86" s="41" t="str">
        <f>графік!D92</f>
        <v/>
      </c>
      <c r="D86" s="194" t="str">
        <f>графік!F92</f>
        <v/>
      </c>
      <c r="E86" s="193" t="str">
        <f>графік!G92</f>
        <v/>
      </c>
      <c r="F86" s="194" t="str">
        <f>графік!H92</f>
        <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t="str">
        <f>графік!A93</f>
        <v/>
      </c>
      <c r="B87" s="42" t="str">
        <f ca="1">графік!C93</f>
        <v xml:space="preserve"> </v>
      </c>
      <c r="C87" s="41" t="str">
        <f>графік!D93</f>
        <v/>
      </c>
      <c r="D87" s="194" t="str">
        <f>графік!F93</f>
        <v/>
      </c>
      <c r="E87" s="193" t="str">
        <f>графік!G93</f>
        <v/>
      </c>
      <c r="F87" s="194" t="str">
        <f>графік!H93</f>
        <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t="str">
        <f>графік!A94</f>
        <v/>
      </c>
      <c r="B88" s="42" t="str">
        <f ca="1">графік!C94</f>
        <v xml:space="preserve"> </v>
      </c>
      <c r="C88" s="41" t="str">
        <f>графік!D94</f>
        <v/>
      </c>
      <c r="D88" s="194" t="str">
        <f>графік!F94</f>
        <v/>
      </c>
      <c r="E88" s="193" t="str">
        <f>графік!G94</f>
        <v/>
      </c>
      <c r="F88" s="194" t="str">
        <f>графік!H94</f>
        <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t="str">
        <f>графік!A95</f>
        <v/>
      </c>
      <c r="B89" s="42" t="str">
        <f ca="1">графік!C95</f>
        <v xml:space="preserve"> </v>
      </c>
      <c r="C89" s="41" t="str">
        <f>графік!D95</f>
        <v/>
      </c>
      <c r="D89" s="194" t="str">
        <f>графік!F95</f>
        <v/>
      </c>
      <c r="E89" s="193" t="str">
        <f>графік!G95</f>
        <v/>
      </c>
      <c r="F89" s="194" t="str">
        <f>графік!H95</f>
        <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t="str">
        <f>графік!A96</f>
        <v/>
      </c>
      <c r="B90" s="42" t="str">
        <f ca="1">графік!C96</f>
        <v xml:space="preserve"> </v>
      </c>
      <c r="C90" s="41" t="str">
        <f>графік!D96</f>
        <v/>
      </c>
      <c r="D90" s="194" t="str">
        <f>графік!F96</f>
        <v/>
      </c>
      <c r="E90" s="193" t="str">
        <f>графік!G96</f>
        <v/>
      </c>
      <c r="F90" s="194" t="str">
        <f>графік!H96</f>
        <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t="str">
        <f>графік!A97</f>
        <v/>
      </c>
      <c r="B91" s="42" t="str">
        <f ca="1">графік!C97</f>
        <v xml:space="preserve"> </v>
      </c>
      <c r="C91" s="41" t="str">
        <f>графік!D97</f>
        <v/>
      </c>
      <c r="D91" s="194" t="str">
        <f>графік!F97</f>
        <v/>
      </c>
      <c r="E91" s="193" t="str">
        <f>графік!G97</f>
        <v/>
      </c>
      <c r="F91" s="194" t="str">
        <f>графік!H97</f>
        <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t="str">
        <f>графік!A98</f>
        <v/>
      </c>
      <c r="B92" s="42" t="str">
        <f ca="1">графік!C98</f>
        <v xml:space="preserve"> </v>
      </c>
      <c r="C92" s="41" t="str">
        <f>графік!D98</f>
        <v/>
      </c>
      <c r="D92" s="194" t="str">
        <f>графік!F98</f>
        <v/>
      </c>
      <c r="E92" s="193" t="str">
        <f>графік!G98</f>
        <v/>
      </c>
      <c r="F92" s="194" t="str">
        <f>графік!H98</f>
        <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t="str">
        <f>графік!A99</f>
        <v/>
      </c>
      <c r="B93" s="42" t="str">
        <f ca="1">графік!C99</f>
        <v xml:space="preserve"> </v>
      </c>
      <c r="C93" s="41" t="str">
        <f>графік!D99</f>
        <v/>
      </c>
      <c r="D93" s="194" t="str">
        <f>графік!F99</f>
        <v/>
      </c>
      <c r="E93" s="193" t="str">
        <f>графік!G99</f>
        <v/>
      </c>
      <c r="F93" s="194" t="str">
        <f>графік!H99</f>
        <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t="str">
        <f>графік!A100</f>
        <v/>
      </c>
      <c r="B94" s="42" t="str">
        <f ca="1">графік!C100</f>
        <v xml:space="preserve"> </v>
      </c>
      <c r="C94" s="41" t="str">
        <f>графік!D100</f>
        <v/>
      </c>
      <c r="D94" s="194" t="str">
        <f>графік!F100</f>
        <v/>
      </c>
      <c r="E94" s="193" t="str">
        <f>графік!G100</f>
        <v/>
      </c>
      <c r="F94" s="194" t="str">
        <f>графік!H100</f>
        <v/>
      </c>
      <c r="G94" s="194" t="str">
        <f>графік!I100</f>
        <v/>
      </c>
      <c r="H94" s="194" t="str">
        <f>графік!J100</f>
        <v/>
      </c>
      <c r="I94" s="194" t="str">
        <f>графік!K100</f>
        <v/>
      </c>
      <c r="J94" s="194" t="str">
        <f>графік!L100</f>
        <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t="str">
        <f>графік!A101</f>
        <v/>
      </c>
      <c r="B95" s="42" t="str">
        <f ca="1">графік!C101</f>
        <v xml:space="preserve"> </v>
      </c>
      <c r="C95" s="41" t="str">
        <f>графік!D101</f>
        <v/>
      </c>
      <c r="D95" s="194" t="str">
        <f>графік!F101</f>
        <v/>
      </c>
      <c r="E95" s="193" t="str">
        <f>графік!G101</f>
        <v/>
      </c>
      <c r="F95" s="194" t="str">
        <f>графік!H101</f>
        <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t="str">
        <f>графік!A102</f>
        <v/>
      </c>
      <c r="B96" s="42" t="str">
        <f ca="1">графік!C102</f>
        <v xml:space="preserve"> </v>
      </c>
      <c r="C96" s="41" t="str">
        <f>графік!D102</f>
        <v/>
      </c>
      <c r="D96" s="194" t="str">
        <f>графік!F102</f>
        <v/>
      </c>
      <c r="E96" s="193" t="str">
        <f>графік!G102</f>
        <v/>
      </c>
      <c r="F96" s="194" t="str">
        <f>графік!H102</f>
        <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t="str">
        <f>графік!A103</f>
        <v/>
      </c>
      <c r="B97" s="42" t="str">
        <f ca="1">графік!C103</f>
        <v xml:space="preserve"> </v>
      </c>
      <c r="C97" s="41" t="str">
        <f>графік!D103</f>
        <v/>
      </c>
      <c r="D97" s="194" t="str">
        <f>графік!F103</f>
        <v/>
      </c>
      <c r="E97" s="193" t="str">
        <f>графік!G103</f>
        <v/>
      </c>
      <c r="F97" s="194" t="str">
        <f>графік!H103</f>
        <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t="str">
        <f>графік!A104</f>
        <v/>
      </c>
      <c r="B98" s="42" t="str">
        <f ca="1">графік!C104</f>
        <v xml:space="preserve"> </v>
      </c>
      <c r="C98" s="41" t="str">
        <f>графік!D104</f>
        <v/>
      </c>
      <c r="D98" s="194" t="str">
        <f>графік!F104</f>
        <v/>
      </c>
      <c r="E98" s="193" t="str">
        <f>графік!G104</f>
        <v/>
      </c>
      <c r="F98" s="194" t="str">
        <f>графік!H104</f>
        <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t="str">
        <f>графік!A105</f>
        <v/>
      </c>
      <c r="B99" s="42" t="str">
        <f ca="1">графік!C105</f>
        <v xml:space="preserve"> </v>
      </c>
      <c r="C99" s="41" t="str">
        <f>графік!D105</f>
        <v/>
      </c>
      <c r="D99" s="194" t="str">
        <f>графік!F105</f>
        <v/>
      </c>
      <c r="E99" s="193" t="str">
        <f>графік!G105</f>
        <v/>
      </c>
      <c r="F99" s="194" t="str">
        <f>графік!H105</f>
        <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t="str">
        <f>графік!A106</f>
        <v/>
      </c>
      <c r="B100" s="42" t="str">
        <f ca="1">графік!C106</f>
        <v xml:space="preserve"> </v>
      </c>
      <c r="C100" s="41" t="str">
        <f>графік!D106</f>
        <v/>
      </c>
      <c r="D100" s="194" t="str">
        <f>графік!F106</f>
        <v/>
      </c>
      <c r="E100" s="193" t="str">
        <f>графік!G106</f>
        <v/>
      </c>
      <c r="F100" s="194" t="str">
        <f>графік!H106</f>
        <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t="str">
        <f>графік!A107</f>
        <v/>
      </c>
      <c r="B101" s="42" t="str">
        <f ca="1">графік!C107</f>
        <v xml:space="preserve"> </v>
      </c>
      <c r="C101" s="41" t="str">
        <f>графік!D107</f>
        <v/>
      </c>
      <c r="D101" s="194" t="str">
        <f>графік!F107</f>
        <v/>
      </c>
      <c r="E101" s="193" t="str">
        <f>графік!G107</f>
        <v/>
      </c>
      <c r="F101" s="194" t="str">
        <f>графік!H107</f>
        <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t="str">
        <f>графік!A108</f>
        <v/>
      </c>
      <c r="B102" s="42" t="str">
        <f ca="1">графік!C108</f>
        <v xml:space="preserve"> </v>
      </c>
      <c r="C102" s="41" t="str">
        <f>графік!D108</f>
        <v/>
      </c>
      <c r="D102" s="194" t="str">
        <f>графік!F108</f>
        <v/>
      </c>
      <c r="E102" s="193" t="str">
        <f>графік!G108</f>
        <v/>
      </c>
      <c r="F102" s="194" t="str">
        <f>графік!H108</f>
        <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t="str">
        <f>графік!A109</f>
        <v/>
      </c>
      <c r="B103" s="42" t="str">
        <f ca="1">графік!C109</f>
        <v xml:space="preserve"> </v>
      </c>
      <c r="C103" s="41" t="str">
        <f>графік!D109</f>
        <v/>
      </c>
      <c r="D103" s="194" t="str">
        <f>графік!F109</f>
        <v/>
      </c>
      <c r="E103" s="193" t="str">
        <f>графік!G109</f>
        <v/>
      </c>
      <c r="F103" s="194" t="str">
        <f>графік!H109</f>
        <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t="str">
        <f>графік!A110</f>
        <v/>
      </c>
      <c r="B104" s="42" t="str">
        <f ca="1">графік!C110</f>
        <v xml:space="preserve"> </v>
      </c>
      <c r="C104" s="41" t="str">
        <f>графік!D110</f>
        <v/>
      </c>
      <c r="D104" s="194" t="str">
        <f>графік!F110</f>
        <v/>
      </c>
      <c r="E104" s="193" t="str">
        <f>графік!G110</f>
        <v/>
      </c>
      <c r="F104" s="194" t="str">
        <f>графік!H110</f>
        <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t="str">
        <f>графік!A111</f>
        <v/>
      </c>
      <c r="B105" s="42" t="str">
        <f ca="1">графік!C111</f>
        <v xml:space="preserve"> </v>
      </c>
      <c r="C105" s="41" t="str">
        <f>графік!D111</f>
        <v/>
      </c>
      <c r="D105" s="194" t="str">
        <f>графік!F111</f>
        <v/>
      </c>
      <c r="E105" s="193" t="str">
        <f>графік!G111</f>
        <v/>
      </c>
      <c r="F105" s="194" t="str">
        <f>графік!H111</f>
        <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t="str">
        <f>графік!F112</f>
        <v/>
      </c>
      <c r="E106" s="193" t="str">
        <f>графік!G112</f>
        <v/>
      </c>
      <c r="F106" s="194" t="str">
        <f>графік!H112</f>
        <v/>
      </c>
      <c r="G106" s="194" t="str">
        <f>графік!I112</f>
        <v/>
      </c>
      <c r="H106" s="194" t="str">
        <f>графік!J112</f>
        <v/>
      </c>
      <c r="I106" s="194" t="str">
        <f>графік!K112</f>
        <v/>
      </c>
      <c r="J106" s="194" t="str">
        <f>графік!L112</f>
        <v/>
      </c>
      <c r="K106" s="194" t="str">
        <f>графік!M112</f>
        <v/>
      </c>
      <c r="L106" s="194" t="str">
        <f>графік!N112</f>
        <v/>
      </c>
      <c r="M106" s="194" t="str">
        <f>графік!O112</f>
        <v/>
      </c>
      <c r="N106" s="194" t="str">
        <f>графік!P112</f>
        <v/>
      </c>
      <c r="O106" s="194" t="str">
        <f>графік!Q112</f>
        <v/>
      </c>
      <c r="P106" s="194" t="str">
        <f>графік!R112</f>
        <v/>
      </c>
      <c r="Q106" s="209" t="str">
        <f>графік!S112</f>
        <v/>
      </c>
      <c r="R106" s="194" t="str">
        <f>графік!T112</f>
        <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B8AB-DB0C-481F-96A9-74EE8587722F}">
  <dimension ref="A1:E86"/>
  <sheetViews>
    <sheetView zoomScale="55" zoomScaleNormal="55" workbookViewId="0">
      <selection activeCell="H20" sqref="H20"/>
    </sheetView>
  </sheetViews>
  <sheetFormatPr defaultRowHeight="14" x14ac:dyDescent="0.3"/>
  <cols>
    <col min="1" max="1" width="40" style="243" customWidth="1"/>
    <col min="2" max="2" width="40.1796875" style="243" bestFit="1" customWidth="1"/>
    <col min="3" max="3" width="37.90625" style="243" customWidth="1"/>
    <col min="4" max="4" width="35.453125" style="243" bestFit="1" customWidth="1"/>
    <col min="5" max="16384" width="8.7265625" style="243"/>
  </cols>
  <sheetData>
    <row r="1" spans="1:5" x14ac:dyDescent="0.3">
      <c r="A1" s="428" t="s">
        <v>563</v>
      </c>
      <c r="B1" s="428"/>
      <c r="C1" s="428"/>
      <c r="D1" s="428"/>
    </row>
    <row r="2" spans="1:5" ht="14.5" x14ac:dyDescent="0.35">
      <c r="A2" s="429" t="s">
        <v>564</v>
      </c>
      <c r="B2" s="429"/>
      <c r="C2" s="429"/>
      <c r="D2" s="429"/>
    </row>
    <row r="4" spans="1:5" x14ac:dyDescent="0.3">
      <c r="A4" s="430" t="s">
        <v>565</v>
      </c>
      <c r="B4" s="430"/>
      <c r="C4" s="430"/>
      <c r="D4" s="430"/>
    </row>
    <row r="5" spans="1:5" x14ac:dyDescent="0.3">
      <c r="A5" s="244" t="s">
        <v>528</v>
      </c>
      <c r="B5" s="244" t="s">
        <v>566</v>
      </c>
      <c r="C5" s="244" t="s">
        <v>69</v>
      </c>
      <c r="D5" s="244" t="s">
        <v>579</v>
      </c>
    </row>
    <row r="6" spans="1:5" x14ac:dyDescent="0.3">
      <c r="A6" s="245">
        <v>1</v>
      </c>
      <c r="B6" s="245" t="s">
        <v>567</v>
      </c>
      <c r="C6" s="246">
        <f ca="1">графік!F3</f>
        <v>45195</v>
      </c>
      <c r="D6" s="435">
        <f>'Таблиця обчислення'!G21</f>
        <v>0</v>
      </c>
      <c r="E6" s="248" t="s">
        <v>580</v>
      </c>
    </row>
    <row r="7" spans="1:5" x14ac:dyDescent="0.3">
      <c r="A7" s="245">
        <v>2</v>
      </c>
      <c r="B7" s="245" t="s">
        <v>568</v>
      </c>
      <c r="C7" s="246">
        <f ca="1">C6</f>
        <v>45195</v>
      </c>
      <c r="D7" s="435">
        <f>'Таблиця обчислення'!H21</f>
        <v>0</v>
      </c>
      <c r="E7" s="248" t="s">
        <v>580</v>
      </c>
    </row>
    <row r="8" spans="1:5" x14ac:dyDescent="0.3">
      <c r="A8" s="245">
        <v>3</v>
      </c>
      <c r="B8" s="245" t="s">
        <v>569</v>
      </c>
      <c r="C8" s="246">
        <f ca="1">C6</f>
        <v>45195</v>
      </c>
      <c r="D8" s="435">
        <f>'Таблиця обчислення'!I21</f>
        <v>14925</v>
      </c>
      <c r="E8" s="248" t="s">
        <v>580</v>
      </c>
    </row>
    <row r="10" spans="1:5" x14ac:dyDescent="0.3">
      <c r="A10" s="430" t="s">
        <v>570</v>
      </c>
      <c r="B10" s="430"/>
      <c r="C10" s="430"/>
      <c r="D10" s="430"/>
    </row>
    <row r="11" spans="1:5" x14ac:dyDescent="0.3">
      <c r="A11" s="244" t="s">
        <v>528</v>
      </c>
      <c r="B11" s="245" t="s">
        <v>571</v>
      </c>
      <c r="C11" s="245"/>
      <c r="D11" s="245"/>
    </row>
    <row r="12" spans="1:5" x14ac:dyDescent="0.3">
      <c r="A12" s="245">
        <v>1</v>
      </c>
      <c r="B12" s="432" t="s">
        <v>138</v>
      </c>
      <c r="C12" s="433"/>
      <c r="D12" s="434"/>
    </row>
    <row r="13" spans="1:5" x14ac:dyDescent="0.3">
      <c r="A13" s="245">
        <v>2</v>
      </c>
      <c r="B13" s="432" t="s">
        <v>139</v>
      </c>
      <c r="C13" s="433"/>
      <c r="D13" s="434"/>
    </row>
    <row r="14" spans="1:5" x14ac:dyDescent="0.3">
      <c r="A14" s="245">
        <v>3</v>
      </c>
      <c r="B14" s="432" t="s">
        <v>140</v>
      </c>
      <c r="C14" s="433"/>
      <c r="D14" s="434"/>
    </row>
    <row r="17" spans="1:4" x14ac:dyDescent="0.3">
      <c r="A17" s="426" t="s">
        <v>572</v>
      </c>
      <c r="B17" s="426"/>
      <c r="C17" s="426"/>
      <c r="D17" s="426"/>
    </row>
    <row r="18" spans="1:4" x14ac:dyDescent="0.3">
      <c r="A18" s="245" t="s">
        <v>573</v>
      </c>
      <c r="B18" s="245"/>
      <c r="C18" s="245"/>
      <c r="D18" s="436">
        <f ca="1">паспорт!B42</f>
        <v>0.41282240748405463</v>
      </c>
    </row>
    <row r="19" spans="1:4" x14ac:dyDescent="0.3">
      <c r="A19" s="245" t="s">
        <v>574</v>
      </c>
      <c r="B19" s="245"/>
      <c r="C19" s="245"/>
      <c r="D19" s="435">
        <f ca="1">паспорт!B41</f>
        <v>1581934.8345374994</v>
      </c>
    </row>
    <row r="21" spans="1:4" ht="28" customHeight="1" x14ac:dyDescent="0.3">
      <c r="A21" s="431" t="s">
        <v>581</v>
      </c>
      <c r="B21" s="431"/>
      <c r="C21" s="431"/>
      <c r="D21" s="431"/>
    </row>
    <row r="23" spans="1:4" x14ac:dyDescent="0.3">
      <c r="A23" s="426" t="s">
        <v>575</v>
      </c>
      <c r="B23" s="426"/>
      <c r="C23" s="426"/>
      <c r="D23" s="426"/>
    </row>
    <row r="24" spans="1:4" x14ac:dyDescent="0.3">
      <c r="A24" s="427" t="s">
        <v>576</v>
      </c>
      <c r="B24" s="427"/>
      <c r="C24" s="427"/>
      <c r="D24" s="427"/>
    </row>
    <row r="25" spans="1:4" x14ac:dyDescent="0.3">
      <c r="A25" s="244" t="s">
        <v>528</v>
      </c>
      <c r="B25" s="244" t="s">
        <v>69</v>
      </c>
      <c r="C25" s="245" t="s">
        <v>577</v>
      </c>
      <c r="D25" s="245" t="s">
        <v>578</v>
      </c>
    </row>
    <row r="26" spans="1:4" x14ac:dyDescent="0.3">
      <c r="A26" s="245">
        <f>'Таблиця обчислення'!A22</f>
        <v>1</v>
      </c>
      <c r="B26" s="246">
        <f ca="1">'Таблиця обчислення'!B22</f>
        <v>45225</v>
      </c>
      <c r="C26" s="247">
        <f ca="1">'Таблиця обчислення'!E22</f>
        <v>5181.9688983677879</v>
      </c>
      <c r="D26" s="247">
        <f ca="1">'Таблиця обчислення'!F22</f>
        <v>20952.740000000002</v>
      </c>
    </row>
    <row r="27" spans="1:4" x14ac:dyDescent="0.3">
      <c r="A27" s="245">
        <f>'Таблиця обчислення'!A23</f>
        <v>2</v>
      </c>
      <c r="B27" s="246">
        <f ca="1">'Таблиця обчислення'!B23</f>
        <v>45256</v>
      </c>
      <c r="C27" s="247">
        <f ca="1">'Таблиця обчислення'!E23</f>
        <v>4633.1387287382349</v>
      </c>
      <c r="D27" s="247">
        <f ca="1">'Таблиця обчислення'!F23</f>
        <v>21501.570169629555</v>
      </c>
    </row>
    <row r="28" spans="1:4" x14ac:dyDescent="0.3">
      <c r="A28" s="245">
        <f>'Таблиця обчислення'!A24</f>
        <v>3</v>
      </c>
      <c r="B28" s="246">
        <f ca="1">'Таблиця обчислення'!B24</f>
        <v>45286</v>
      </c>
      <c r="C28" s="247">
        <f ca="1">'Таблиця обчислення'!E24</f>
        <v>5456.1736996653235</v>
      </c>
      <c r="D28" s="247">
        <f ca="1">'Таблиця обчислення'!F24</f>
        <v>20678.535198702466</v>
      </c>
    </row>
    <row r="29" spans="1:4" x14ac:dyDescent="0.3">
      <c r="A29" s="245">
        <f>'Таблиця обчислення'!A25</f>
        <v>4</v>
      </c>
      <c r="B29" s="246">
        <f ca="1">'Таблиця обчислення'!B25</f>
        <v>45317</v>
      </c>
      <c r="C29" s="247">
        <f ca="1">'Таблиця обчислення'!E25</f>
        <v>4924.3992112775377</v>
      </c>
      <c r="D29" s="247">
        <f ca="1">'Таблиця обчислення'!F25</f>
        <v>21210.309687090252</v>
      </c>
    </row>
    <row r="30" spans="1:4" x14ac:dyDescent="0.3">
      <c r="A30" s="245">
        <f>'Таблиця обчислення'!A26</f>
        <v>5</v>
      </c>
      <c r="B30" s="246">
        <f ca="1">'Таблиця обчислення'!B26</f>
        <v>45348</v>
      </c>
      <c r="C30" s="247">
        <f ca="1">'Таблиця обчислення'!E26</f>
        <v>5124.1211012677013</v>
      </c>
      <c r="D30" s="247">
        <f ca="1">'Таблиця обчислення'!F26</f>
        <v>21010.587797100088</v>
      </c>
    </row>
    <row r="31" spans="1:4" x14ac:dyDescent="0.3">
      <c r="A31" s="245">
        <f>'Таблиця обчислення'!A27</f>
        <v>6</v>
      </c>
      <c r="B31" s="246">
        <f ca="1">'Таблиця обчислення'!B27</f>
        <v>45377</v>
      </c>
      <c r="C31" s="247">
        <f ca="1">'Таблиця обчислення'!E27</f>
        <v>6617.6455561243711</v>
      </c>
      <c r="D31" s="247">
        <f ca="1">'Таблиця обчислення'!F27</f>
        <v>19517.063342243418</v>
      </c>
    </row>
    <row r="32" spans="1:4" x14ac:dyDescent="0.3">
      <c r="A32" s="245">
        <f>'Таблиця обчислення'!A28</f>
        <v>7</v>
      </c>
      <c r="B32" s="246">
        <f ca="1">'Таблиця обчислення'!B28</f>
        <v>45408</v>
      </c>
      <c r="C32" s="247">
        <f ca="1">'Таблиця обчислення'!E28</f>
        <v>5462.1588638149005</v>
      </c>
      <c r="D32" s="247">
        <f ca="1">'Таблиця обчислення'!F28</f>
        <v>20672.550034552889</v>
      </c>
    </row>
    <row r="33" spans="1:4" x14ac:dyDescent="0.3">
      <c r="A33" s="245">
        <f>'Таблиця обчислення'!A29</f>
        <v>8</v>
      </c>
      <c r="B33" s="246">
        <f ca="1">'Таблиця обчислення'!B29</f>
        <v>45438</v>
      </c>
      <c r="C33" s="247">
        <f ca="1">'Таблиця обчислення'!E29</f>
        <v>6281.1946442318149</v>
      </c>
      <c r="D33" s="247">
        <f ca="1">'Таблиця обчислення'!F29</f>
        <v>19853.514254135975</v>
      </c>
    </row>
    <row r="34" spans="1:4" x14ac:dyDescent="0.3">
      <c r="A34" s="245">
        <f>'Таблиця обчислення'!A30</f>
        <v>9</v>
      </c>
      <c r="B34" s="246">
        <f ca="1">'Таблиця обчислення'!B30</f>
        <v>45469</v>
      </c>
      <c r="C34" s="247">
        <f ca="1">'Таблиця обчислення'!E30</f>
        <v>5800.242310751888</v>
      </c>
      <c r="D34" s="247">
        <f ca="1">'Таблиця обчислення'!F30</f>
        <v>20334.466587615902</v>
      </c>
    </row>
    <row r="35" spans="1:4" x14ac:dyDescent="0.3">
      <c r="A35" s="245">
        <f>'Таблиця обчислення'!A31</f>
        <v>10</v>
      </c>
      <c r="B35" s="246">
        <f ca="1">'Таблиця обчислення'!B31</f>
        <v>45499</v>
      </c>
      <c r="C35" s="247">
        <f ca="1">'Таблиця обчислення'!E31</f>
        <v>6617.7914000514029</v>
      </c>
      <c r="D35" s="247">
        <f ca="1">'Таблиця обчислення'!F31</f>
        <v>19516.917498316387</v>
      </c>
    </row>
    <row r="36" spans="1:4" x14ac:dyDescent="0.3">
      <c r="A36" s="245">
        <f>'Таблиця обчислення'!A32</f>
        <v>11</v>
      </c>
      <c r="B36" s="246">
        <f ca="1">'Таблиця обчислення'!B32</f>
        <v>45530</v>
      </c>
      <c r="C36" s="247">
        <f ca="1">'Таблиця обчислення'!E32</f>
        <v>6157.7493583129908</v>
      </c>
      <c r="D36" s="247">
        <f ca="1">'Таблиця обчислення'!F32</f>
        <v>19976.959540054799</v>
      </c>
    </row>
    <row r="37" spans="1:4" x14ac:dyDescent="0.3">
      <c r="A37" s="245">
        <f>'Таблиця обчислення'!A33</f>
        <v>12</v>
      </c>
      <c r="B37" s="246">
        <f ca="1">'Таблиця обчислення'!B33</f>
        <v>45561</v>
      </c>
      <c r="C37" s="247">
        <f ca="1">'Таблиця обчислення'!E33</f>
        <v>6335.0269244703923</v>
      </c>
      <c r="D37" s="247">
        <f ca="1">'Таблиця обчислення'!F33</f>
        <v>19799.681973897397</v>
      </c>
    </row>
    <row r="38" spans="1:4" x14ac:dyDescent="0.3">
      <c r="A38" s="245">
        <f>'Таблиця обчислення'!A34</f>
        <v>13</v>
      </c>
      <c r="B38" s="246">
        <f ca="1">'Таблиця обчислення'!B34</f>
        <v>45591</v>
      </c>
      <c r="C38" s="247">
        <f ca="1">'Таблиця обчислення'!E34</f>
        <v>7150.2243472149748</v>
      </c>
      <c r="D38" s="247">
        <f ca="1">'Таблиця обчислення'!F34</f>
        <v>18984.484551152815</v>
      </c>
    </row>
    <row r="39" spans="1:4" x14ac:dyDescent="0.3">
      <c r="A39" s="245">
        <f>'Таблиця обчислення'!A35</f>
        <v>14</v>
      </c>
      <c r="B39" s="246">
        <f ca="1">'Таблиця обчислення'!B35</f>
        <v>45622</v>
      </c>
      <c r="C39" s="247">
        <f ca="1">'Таблиця обчислення'!E35</f>
        <v>6723.2584657944972</v>
      </c>
      <c r="D39" s="247">
        <f ca="1">'Таблиця обчислення'!F35</f>
        <v>19411.450432573292</v>
      </c>
    </row>
    <row r="40" spans="1:4" x14ac:dyDescent="0.3">
      <c r="A40" s="245">
        <f>'Таблиця обчислення'!A36</f>
        <v>15</v>
      </c>
      <c r="B40" s="246">
        <f ca="1">'Таблиця обчислення'!B36</f>
        <v>45652</v>
      </c>
      <c r="C40" s="247">
        <f ca="1">'Таблиця обчислення'!E36</f>
        <v>7536.7486757511979</v>
      </c>
      <c r="D40" s="247">
        <f ca="1">'Таблиця обчислення'!F36</f>
        <v>18597.960222616592</v>
      </c>
    </row>
    <row r="41" spans="1:4" x14ac:dyDescent="0.3">
      <c r="A41" s="245">
        <f>'Таблиця обчислення'!A37</f>
        <v>16</v>
      </c>
      <c r="B41" s="246">
        <f ca="1">'Таблиця обчислення'!B37</f>
        <v>45683</v>
      </c>
      <c r="C41" s="247">
        <f ca="1">'Таблиця обчислення'!E37</f>
        <v>7133.7947205752389</v>
      </c>
      <c r="D41" s="247">
        <f ca="1">'Таблиця обчислення'!F37</f>
        <v>19000.914177792551</v>
      </c>
    </row>
    <row r="42" spans="1:4" x14ac:dyDescent="0.3">
      <c r="A42" s="245">
        <f>'Таблиця обчислення'!A38</f>
        <v>17</v>
      </c>
      <c r="B42" s="246">
        <f ca="1">'Таблиця обчислення'!B38</f>
        <v>45714</v>
      </c>
      <c r="C42" s="247">
        <f ca="1">'Таблиця обчислення'!E38</f>
        <v>7287.6773710230118</v>
      </c>
      <c r="D42" s="247">
        <f ca="1">'Таблиця обчислення'!F38</f>
        <v>18847.031527344778</v>
      </c>
    </row>
    <row r="43" spans="1:4" x14ac:dyDescent="0.3">
      <c r="A43" s="245">
        <f>'Таблиця обчислення'!A39</f>
        <v>18</v>
      </c>
      <c r="B43" s="246">
        <f ca="1">'Таблиця обчислення'!B39</f>
        <v>45742</v>
      </c>
      <c r="C43" s="247">
        <f ca="1">'Таблиця обчислення'!E39</f>
        <v>9301.6063412203621</v>
      </c>
      <c r="D43" s="247">
        <f ca="1">'Таблиця обчислення'!F39</f>
        <v>16833.102557147427</v>
      </c>
    </row>
    <row r="44" spans="1:4" x14ac:dyDescent="0.3">
      <c r="A44" s="245">
        <f>'Таблиця обчислення'!A40</f>
        <v>19</v>
      </c>
      <c r="B44" s="246">
        <f ca="1">'Таблиця обчислення'!B40</f>
        <v>45773</v>
      </c>
      <c r="C44" s="247">
        <f ca="1">'Таблиця обчислення'!E40</f>
        <v>7766.5804492354437</v>
      </c>
      <c r="D44" s="247">
        <f ca="1">'Таблиця обчислення'!F40</f>
        <v>18368.128449132346</v>
      </c>
    </row>
    <row r="45" spans="1:4" x14ac:dyDescent="0.3">
      <c r="A45" s="245">
        <f>'Таблиця обчислення'!A41</f>
        <v>20</v>
      </c>
      <c r="B45" s="246">
        <f ca="1">'Таблиця обчислення'!B41</f>
        <v>45803</v>
      </c>
      <c r="C45" s="247">
        <f ca="1">'Таблиця обчислення'!E41</f>
        <v>8576.0755734068734</v>
      </c>
      <c r="D45" s="247">
        <f ca="1">'Таблиця обчислення'!F41</f>
        <v>17558.633324960916</v>
      </c>
    </row>
    <row r="46" spans="1:4" x14ac:dyDescent="0.3">
      <c r="A46" s="245">
        <f>'Таблиця обчислення'!A42</f>
        <v>21</v>
      </c>
      <c r="B46" s="246">
        <f ca="1">'Таблиця обчислення'!B42</f>
        <v>45834</v>
      </c>
      <c r="C46" s="247">
        <f ca="1">'Таблиця обчислення'!E42</f>
        <v>8238.3638252490855</v>
      </c>
      <c r="D46" s="247">
        <f ca="1">'Таблиця обчислення'!F42</f>
        <v>17896.345073118704</v>
      </c>
    </row>
    <row r="47" spans="1:4" x14ac:dyDescent="0.3">
      <c r="A47" s="245">
        <f>'Таблиця обчислення'!A43</f>
        <v>22</v>
      </c>
      <c r="B47" s="246">
        <f ca="1">'Таблиця обчислення'!B43</f>
        <v>45864</v>
      </c>
      <c r="C47" s="247">
        <f ca="1">'Таблиця обчислення'!E43</f>
        <v>9045.8203365523404</v>
      </c>
      <c r="D47" s="247">
        <f ca="1">'Таблиця обчислення'!F43</f>
        <v>17088.888561815449</v>
      </c>
    </row>
    <row r="48" spans="1:4" x14ac:dyDescent="0.3">
      <c r="A48" s="245">
        <f>'Таблиця обчислення'!A44</f>
        <v>23</v>
      </c>
      <c r="B48" s="246">
        <f ca="1">'Таблиця обчислення'!B44</f>
        <v>45895</v>
      </c>
      <c r="C48" s="247">
        <f ca="1">'Таблиця обчислення'!E44</f>
        <v>8737.3274419463087</v>
      </c>
      <c r="D48" s="247">
        <f ca="1">'Таблиця обчислення'!F44</f>
        <v>17397.381456421481</v>
      </c>
    </row>
    <row r="49" spans="1:4" x14ac:dyDescent="0.3">
      <c r="A49" s="245">
        <f>'Таблиця обчислення'!A45</f>
        <v>24</v>
      </c>
      <c r="B49" s="246">
        <f ca="1">'Таблиця обчислення'!B45</f>
        <v>45926</v>
      </c>
      <c r="C49" s="247">
        <f ca="1">'Таблиця обчислення'!E45</f>
        <v>8989.558525571083</v>
      </c>
      <c r="D49" s="247">
        <f ca="1">'Таблиця обчислення'!F45</f>
        <v>17145.150372796707</v>
      </c>
    </row>
    <row r="50" spans="1:4" x14ac:dyDescent="0.3">
      <c r="A50" s="245">
        <f>'Таблиця обчислення'!A46</f>
        <v>25</v>
      </c>
      <c r="B50" s="246">
        <f ca="1">'Таблиця обчислення'!B46</f>
        <v>45956</v>
      </c>
      <c r="C50" s="247">
        <f ca="1">'Таблиця обчислення'!E46</f>
        <v>9793.7690658197353</v>
      </c>
      <c r="D50" s="247">
        <f ca="1">'Таблиця обчислення'!F46</f>
        <v>16340.939832548054</v>
      </c>
    </row>
    <row r="51" spans="1:4" x14ac:dyDescent="0.3">
      <c r="A51" s="245">
        <f>'Таблиця обчислення'!A47</f>
        <v>26</v>
      </c>
      <c r="B51" s="246">
        <f ca="1">'Таблиця обчислення'!B47</f>
        <v>45987</v>
      </c>
      <c r="C51" s="247">
        <f ca="1">'Таблиця обчислення'!E47</f>
        <v>9531.7997433730707</v>
      </c>
      <c r="D51" s="247">
        <f ca="1">'Таблиця обчислення'!F47</f>
        <v>16602.909154994719</v>
      </c>
    </row>
    <row r="52" spans="1:4" x14ac:dyDescent="0.3">
      <c r="A52" s="245">
        <f>'Таблиця обчислення'!A48</f>
        <v>27</v>
      </c>
      <c r="B52" s="246">
        <f ca="1">'Таблиця обчислення'!B48</f>
        <v>46017</v>
      </c>
      <c r="C52" s="247">
        <f ca="1">'Таблиця обчислення'!E48</f>
        <v>10333.667216908336</v>
      </c>
      <c r="D52" s="247">
        <f ca="1">'Таблиця обчислення'!F48</f>
        <v>15801.041681459454</v>
      </c>
    </row>
    <row r="53" spans="1:4" x14ac:dyDescent="0.3">
      <c r="A53" s="245">
        <f>'Таблиця обчислення'!A49</f>
        <v>28</v>
      </c>
      <c r="B53" s="246">
        <f ca="1">'Таблиця обчислення'!B49</f>
        <v>46048</v>
      </c>
      <c r="C53" s="247">
        <f ca="1">'Таблиця обчислення'!E49</f>
        <v>10105.280397657423</v>
      </c>
      <c r="D53" s="247">
        <f ca="1">'Таблиця обчислення'!F49</f>
        <v>16029.428500710366</v>
      </c>
    </row>
    <row r="54" spans="1:4" x14ac:dyDescent="0.3">
      <c r="A54" s="245">
        <f>'Таблиця обчислення'!A50</f>
        <v>29</v>
      </c>
      <c r="B54" s="246">
        <f ca="1">'Таблиця обчислення'!B50</f>
        <v>46079</v>
      </c>
      <c r="C54" s="247">
        <f ca="1">'Таблиця обчислення'!E50</f>
        <v>10397.001847032976</v>
      </c>
      <c r="D54" s="247">
        <f ca="1">'Таблиця обчислення'!F50</f>
        <v>15737.707051334814</v>
      </c>
    </row>
    <row r="55" spans="1:4" x14ac:dyDescent="0.3">
      <c r="A55" s="245">
        <f>'Таблиця обчислення'!A51</f>
        <v>30</v>
      </c>
      <c r="B55" s="246">
        <f ca="1">'Таблиця обчислення'!B51</f>
        <v>46107</v>
      </c>
      <c r="C55" s="247">
        <f ca="1">'Таблиця обчислення'!E51</f>
        <v>12191.102593524152</v>
      </c>
      <c r="D55" s="247">
        <f ca="1">'Таблиця обчислення'!F51</f>
        <v>13943.606304843637</v>
      </c>
    </row>
    <row r="56" spans="1:4" x14ac:dyDescent="0.3">
      <c r="A56" s="245">
        <f>'Таблиця обчислення'!A52</f>
        <v>31</v>
      </c>
      <c r="B56" s="246">
        <f ca="1">'Таблиця обчислення'!B52</f>
        <v>46138</v>
      </c>
      <c r="C56" s="247">
        <f ca="1">'Таблиця обчислення'!E52</f>
        <v>11049.08019684039</v>
      </c>
      <c r="D56" s="247">
        <f ca="1">'Таблиця обчислення'!F52</f>
        <v>15085.628701527399</v>
      </c>
    </row>
    <row r="57" spans="1:4" x14ac:dyDescent="0.3">
      <c r="A57" s="245">
        <f>'Таблиця обчислення'!A53</f>
        <v>32</v>
      </c>
      <c r="B57" s="246">
        <f ca="1">'Таблиця обчислення'!B53</f>
        <v>46168</v>
      </c>
      <c r="C57" s="247">
        <f ca="1">'Таблиця обчислення'!E53</f>
        <v>11844.391382862495</v>
      </c>
      <c r="D57" s="247">
        <f ca="1">'Таблиця обчислення'!F53</f>
        <v>14290.317515505294</v>
      </c>
    </row>
    <row r="58" spans="1:4" x14ac:dyDescent="0.3">
      <c r="A58" s="245">
        <f>'Таблиця обчислення'!A54</f>
        <v>33</v>
      </c>
      <c r="B58" s="246">
        <f ca="1">'Таблиця обчислення'!B54</f>
        <v>46199</v>
      </c>
      <c r="C58" s="247">
        <f ca="1">'Таблиця обчислення'!E54</f>
        <v>11709.973952150451</v>
      </c>
      <c r="D58" s="247">
        <f ca="1">'Таблиця обчислення'!F54</f>
        <v>14424.734946217339</v>
      </c>
    </row>
    <row r="59" spans="1:4" x14ac:dyDescent="0.3">
      <c r="A59" s="245">
        <f>'Таблиця обчислення'!A55</f>
        <v>34</v>
      </c>
      <c r="B59" s="246">
        <f ca="1">'Таблиця обчислення'!B55</f>
        <v>46229</v>
      </c>
      <c r="C59" s="247">
        <f ca="1">'Таблиця обчислення'!E55</f>
        <v>12502.429364564214</v>
      </c>
      <c r="D59" s="247">
        <f ca="1">'Таблиця обчислення'!F55</f>
        <v>13632.279533803576</v>
      </c>
    </row>
    <row r="60" spans="1:4" x14ac:dyDescent="0.3">
      <c r="A60" s="245">
        <f>'Таблиця обчислення'!A56</f>
        <v>35</v>
      </c>
      <c r="B60" s="246">
        <f ca="1">'Таблиця обчислення'!B56</f>
        <v>46260</v>
      </c>
      <c r="C60" s="247">
        <f ca="1">'Таблиця обчислення'!E56</f>
        <v>12408.942917925489</v>
      </c>
      <c r="D60" s="247">
        <f ca="1">'Таблиця обчислення'!F56</f>
        <v>13725.7659804423</v>
      </c>
    </row>
    <row r="61" spans="1:4" x14ac:dyDescent="0.3">
      <c r="A61" s="245">
        <f>'Таблиця обчислення'!A57</f>
        <v>36</v>
      </c>
      <c r="B61" s="246">
        <f ca="1">'Таблиця обчислення'!B57</f>
        <v>46291</v>
      </c>
      <c r="C61" s="247">
        <f ca="1">'Таблиця обчислення'!E57</f>
        <v>12767.167001848475</v>
      </c>
      <c r="D61" s="247">
        <f ca="1">'Таблиця обчислення'!F57</f>
        <v>13367.541896519315</v>
      </c>
    </row>
    <row r="62" spans="1:4" x14ac:dyDescent="0.3">
      <c r="A62" s="245">
        <f>'Таблиця обчислення'!A58</f>
        <v>37</v>
      </c>
      <c r="B62" s="246">
        <f ca="1">'Таблиця обчислення'!B58</f>
        <v>46321</v>
      </c>
      <c r="C62" s="247">
        <f ca="1">'Таблиця обчислення'!E58</f>
        <v>13555.054200406394</v>
      </c>
      <c r="D62" s="247">
        <f ca="1">'Таблиця обчислення'!F58</f>
        <v>12579.654697961396</v>
      </c>
    </row>
    <row r="63" spans="1:4" x14ac:dyDescent="0.3">
      <c r="A63" s="245">
        <f>'Таблиця обчислення'!A59</f>
        <v>38</v>
      </c>
      <c r="B63" s="246">
        <f ca="1">'Таблиця обчислення'!B59</f>
        <v>46352</v>
      </c>
      <c r="C63" s="247">
        <f ca="1">'Таблиця обчислення'!E59</f>
        <v>13527.042652769129</v>
      </c>
      <c r="D63" s="247">
        <f ca="1">'Таблиця обчислення'!F59</f>
        <v>12607.666245598661</v>
      </c>
    </row>
    <row r="64" spans="1:4" x14ac:dyDescent="0.3">
      <c r="A64" s="245">
        <f>'Таблиця обчислення'!A60</f>
        <v>39</v>
      </c>
      <c r="B64" s="246">
        <f ca="1">'Таблиця обчислення'!B60</f>
        <v>46382</v>
      </c>
      <c r="C64" s="247">
        <f ca="1">'Таблиця обчислення'!E60</f>
        <v>14311.646369205928</v>
      </c>
      <c r="D64" s="247">
        <f ca="1">'Таблиця обчислення'!F60</f>
        <v>11823.062529161862</v>
      </c>
    </row>
    <row r="65" spans="1:4" x14ac:dyDescent="0.3">
      <c r="A65" s="245">
        <f>'Таблиця обчислення'!A61</f>
        <v>40</v>
      </c>
      <c r="B65" s="246">
        <f ca="1">'Таблиця обчислення'!B61</f>
        <v>46413</v>
      </c>
      <c r="C65" s="247">
        <f ca="1">'Таблиця обчислення'!E61</f>
        <v>14330.696029085975</v>
      </c>
      <c r="D65" s="247">
        <f ca="1">'Таблиця обчислення'!F61</f>
        <v>11804.012869281814</v>
      </c>
    </row>
    <row r="66" spans="1:4" x14ac:dyDescent="0.3">
      <c r="A66" s="245">
        <f>'Таблиця обчислення'!A62</f>
        <v>41</v>
      </c>
      <c r="B66" s="246">
        <f ca="1">'Таблиця обчислення'!B62</f>
        <v>46444</v>
      </c>
      <c r="C66" s="247">
        <f ca="1">'Таблиця обчислення'!E62</f>
        <v>14744.3977030281</v>
      </c>
      <c r="D66" s="247">
        <f ca="1">'Таблиця обчислення'!F62</f>
        <v>11390.311195339689</v>
      </c>
    </row>
    <row r="67" spans="1:4" x14ac:dyDescent="0.3">
      <c r="A67" s="245">
        <f>'Таблиця обчислення'!A63</f>
        <v>42</v>
      </c>
      <c r="B67" s="246">
        <f ca="1">'Таблиця обчислення'!B63</f>
        <v>46472</v>
      </c>
      <c r="C67" s="247">
        <f ca="1">'Таблиця обчислення'!E63</f>
        <v>16231.138984096946</v>
      </c>
      <c r="D67" s="247">
        <f ca="1">'Таблиця обчислення'!F63</f>
        <v>9903.5699142708436</v>
      </c>
    </row>
    <row r="68" spans="1:4" x14ac:dyDescent="0.3">
      <c r="A68" s="245">
        <f>'Таблиця обчислення'!A64</f>
        <v>43</v>
      </c>
      <c r="B68" s="246">
        <f ca="1">'Таблиця обчислення'!B64</f>
        <v>46503</v>
      </c>
      <c r="C68" s="247">
        <f ca="1">'Таблиця обчислення'!E64</f>
        <v>15638.606285270753</v>
      </c>
      <c r="D68" s="247">
        <f ca="1">'Таблиця обчислення'!F64</f>
        <v>10496.102613097037</v>
      </c>
    </row>
    <row r="69" spans="1:4" x14ac:dyDescent="0.3">
      <c r="A69" s="245">
        <f>'Таблиця обчислення'!A65</f>
        <v>44</v>
      </c>
      <c r="B69" s="246">
        <f ca="1">'Таблиця обчислення'!B65</f>
        <v>46533</v>
      </c>
      <c r="C69" s="247">
        <f ca="1">'Таблиця обчислення'!E65</f>
        <v>16414.085770096077</v>
      </c>
      <c r="D69" s="247">
        <f ca="1">'Таблиця обчислення'!F65</f>
        <v>9720.6231282717144</v>
      </c>
    </row>
    <row r="70" spans="1:4" x14ac:dyDescent="0.3">
      <c r="A70" s="245">
        <f>'Таблиця обчислення'!A66</f>
        <v>45</v>
      </c>
      <c r="B70" s="246">
        <f ca="1">'Таблиця обчислення'!B66</f>
        <v>46564</v>
      </c>
      <c r="C70" s="247">
        <f ca="1">'Таблиця обчислення'!E66</f>
        <v>16563.910424772657</v>
      </c>
      <c r="D70" s="247">
        <f ca="1">'Таблиця обчислення'!F66</f>
        <v>9570.7984735951341</v>
      </c>
    </row>
    <row r="71" spans="1:4" x14ac:dyDescent="0.3">
      <c r="A71" s="245">
        <f>'Таблиця обчислення'!A67</f>
        <v>46</v>
      </c>
      <c r="B71" s="246">
        <f ca="1">'Таблиця обчислення'!B67</f>
        <v>46594</v>
      </c>
      <c r="C71" s="247">
        <f ca="1">'Таблиця обчислення'!E67</f>
        <v>17335.391598038746</v>
      </c>
      <c r="D71" s="247">
        <f ca="1">'Таблиця обчислення'!F67</f>
        <v>8799.3173003290412</v>
      </c>
    </row>
    <row r="72" spans="1:4" x14ac:dyDescent="0.3">
      <c r="A72" s="245">
        <f>'Таблиця обчислення'!A68</f>
        <v>47</v>
      </c>
      <c r="B72" s="246">
        <f ca="1">'Таблиця обчислення'!B68</f>
        <v>46625</v>
      </c>
      <c r="C72" s="247">
        <f ca="1">'Таблиця обчислення'!E68</f>
        <v>17542.522905551181</v>
      </c>
      <c r="D72" s="247">
        <f ca="1">'Таблиця обчислення'!F68</f>
        <v>8592.1859928166086</v>
      </c>
    </row>
    <row r="73" spans="1:4" x14ac:dyDescent="0.3">
      <c r="A73" s="245">
        <f>'Таблиця обчислення'!A69</f>
        <v>48</v>
      </c>
      <c r="B73" s="246">
        <f ca="1">'Таблиця обчислення'!B69</f>
        <v>46656</v>
      </c>
      <c r="C73" s="247">
        <f ca="1">'Таблиця обчислення'!E69</f>
        <v>18048.944301725158</v>
      </c>
      <c r="D73" s="247">
        <f ca="1">'Таблиця обчислення'!F69</f>
        <v>8085.7645966426317</v>
      </c>
    </row>
    <row r="74" spans="1:4" x14ac:dyDescent="0.3">
      <c r="A74" s="245">
        <f>'Таблиця обчислення'!A70</f>
        <v>49</v>
      </c>
      <c r="B74" s="246">
        <f ca="1">'Таблиця обчислення'!B70</f>
        <v>46686</v>
      </c>
      <c r="C74" s="247">
        <f ca="1">'Таблиця обчислення'!E70</f>
        <v>18814.008527457372</v>
      </c>
      <c r="D74" s="247">
        <f ca="1">'Таблиця обчислення'!F70</f>
        <v>7320.7003709104183</v>
      </c>
    </row>
    <row r="75" spans="1:4" x14ac:dyDescent="0.3">
      <c r="A75" s="245">
        <f>'Таблиця обчислення'!A71</f>
        <v>50</v>
      </c>
      <c r="B75" s="246">
        <f ca="1">'Таблиця обчислення'!B71</f>
        <v>46717</v>
      </c>
      <c r="C75" s="247">
        <f ca="1">'Таблиця обчислення'!E71</f>
        <v>19113.112103549305</v>
      </c>
      <c r="D75" s="247">
        <f ca="1">'Таблиця обчислення'!F71</f>
        <v>7021.5967948184843</v>
      </c>
    </row>
    <row r="76" spans="1:4" x14ac:dyDescent="0.3">
      <c r="A76" s="245">
        <f>'Таблиця обчислення'!A72</f>
        <v>51</v>
      </c>
      <c r="B76" s="246">
        <f ca="1">'Таблиця обчислення'!B72</f>
        <v>46747</v>
      </c>
      <c r="C76" s="247">
        <f ca="1">'Таблиця обчислення'!E72</f>
        <v>19873.577976976208</v>
      </c>
      <c r="D76" s="247">
        <f ca="1">'Таблиця обчислення'!F72</f>
        <v>6261.1309213915829</v>
      </c>
    </row>
    <row r="77" spans="1:4" x14ac:dyDescent="0.3">
      <c r="A77" s="245">
        <f>'Таблиця обчислення'!A73</f>
        <v>52</v>
      </c>
      <c r="B77" s="246">
        <f ca="1">'Таблиця обчислення'!B73</f>
        <v>46778</v>
      </c>
      <c r="C77" s="247">
        <f ca="1">'Таблиця обчислення'!E73</f>
        <v>20238.588417821877</v>
      </c>
      <c r="D77" s="247">
        <f ca="1">'Таблиця обчислення'!F73</f>
        <v>5896.1204805459129</v>
      </c>
    </row>
    <row r="78" spans="1:4" x14ac:dyDescent="0.3">
      <c r="A78" s="245">
        <f>'Таблиця обчислення'!A74</f>
        <v>53</v>
      </c>
      <c r="B78" s="246">
        <f ca="1">'Таблиця обчислення'!B74</f>
        <v>46809</v>
      </c>
      <c r="C78" s="247">
        <f ca="1">'Таблиця обчислення'!E74</f>
        <v>20837.353725964756</v>
      </c>
      <c r="D78" s="247">
        <f ca="1">'Таблиця обчислення'!F74</f>
        <v>5297.355172403034</v>
      </c>
    </row>
    <row r="79" spans="1:4" x14ac:dyDescent="0.3">
      <c r="A79" s="245">
        <f>'Таблиця обчислення'!A75</f>
        <v>54</v>
      </c>
      <c r="B79" s="246">
        <f ca="1">'Таблиця обчислення'!B75</f>
        <v>46838</v>
      </c>
      <c r="C79" s="247">
        <f ca="1">'Таблиця обчислення'!E75</f>
        <v>21740.309503152966</v>
      </c>
      <c r="D79" s="247">
        <f ca="1">'Таблиця обчислення'!F75</f>
        <v>4394.399395214823</v>
      </c>
    </row>
    <row r="80" spans="1:4" x14ac:dyDescent="0.3">
      <c r="A80" s="245">
        <f>'Таблиця обчислення'!A76</f>
        <v>55</v>
      </c>
      <c r="B80" s="246">
        <f ca="1">'Таблиця обчислення'!B76</f>
        <v>46869</v>
      </c>
      <c r="C80" s="247">
        <f ca="1">'Таблиця обчислення'!E76</f>
        <v>22063.136730551887</v>
      </c>
      <c r="D80" s="247">
        <f ca="1">'Таблиця обчислення'!F76</f>
        <v>4071.572167815902</v>
      </c>
    </row>
    <row r="81" spans="1:4" x14ac:dyDescent="0.3">
      <c r="A81" s="245">
        <f>'Таблиця обчислення'!A77</f>
        <v>56</v>
      </c>
      <c r="B81" s="246">
        <f ca="1">'Таблиця обчислення'!B77</f>
        <v>46899</v>
      </c>
      <c r="C81" s="247">
        <f ca="1">'Таблиця обчислення'!E77</f>
        <v>22809.171225167189</v>
      </c>
      <c r="D81" s="247">
        <f ca="1">'Таблиця обчислення'!F77</f>
        <v>3325.5376732006021</v>
      </c>
    </row>
    <row r="82" spans="1:4" x14ac:dyDescent="0.3">
      <c r="A82" s="245">
        <f>'Таблиця обчислення'!A78</f>
        <v>57</v>
      </c>
      <c r="B82" s="246">
        <f ca="1">'Таблиця обчислення'!B78</f>
        <v>46930</v>
      </c>
      <c r="C82" s="247">
        <f ca="1">'Таблиця обчислення'!E78</f>
        <v>23354.981052132807</v>
      </c>
      <c r="D82" s="247">
        <f ca="1">'Таблиця обчислення'!F78</f>
        <v>2779.7278462349823</v>
      </c>
    </row>
    <row r="83" spans="1:4" x14ac:dyDescent="0.3">
      <c r="A83" s="245">
        <f>'Таблиця обчислення'!A79</f>
        <v>58</v>
      </c>
      <c r="B83" s="246">
        <f ca="1">'Таблиця обчислення'!B79</f>
        <v>46960</v>
      </c>
      <c r="C83" s="247">
        <f ca="1">'Таблиця обчислення'!E79</f>
        <v>24095.33477918803</v>
      </c>
      <c r="D83" s="247">
        <f ca="1">'Таблиця обчислення'!F79</f>
        <v>2039.3741191797603</v>
      </c>
    </row>
    <row r="84" spans="1:4" x14ac:dyDescent="0.3">
      <c r="A84" s="245">
        <f>'Таблиця обчислення'!A80</f>
        <v>59</v>
      </c>
      <c r="B84" s="246">
        <f ca="1">'Таблиця обчислення'!B80</f>
        <v>46991</v>
      </c>
      <c r="C84" s="247">
        <f ca="1">'Таблиця обчислення'!E80</f>
        <v>24721.044529955332</v>
      </c>
      <c r="D84" s="247">
        <f ca="1">'Таблиця обчислення'!F80</f>
        <v>1413.6643684124567</v>
      </c>
    </row>
    <row r="85" spans="1:4" x14ac:dyDescent="0.3">
      <c r="A85" s="245">
        <f>'Таблиця обчислення'!A81</f>
        <v>60</v>
      </c>
      <c r="B85" s="246">
        <f ca="1">'Таблиця обчислення'!B81</f>
        <v>47021</v>
      </c>
      <c r="C85" s="247">
        <f ca="1">'Таблиця обчислення'!E81</f>
        <v>24382.691752913292</v>
      </c>
      <c r="D85" s="247">
        <f ca="1">'Таблиця обчислення'!F81</f>
        <v>679.31778088649617</v>
      </c>
    </row>
    <row r="86" spans="1:4" x14ac:dyDescent="0.3">
      <c r="A86" s="245" t="str">
        <f>'Таблиця обчислення'!A82</f>
        <v/>
      </c>
      <c r="B86" s="246" t="str">
        <f ca="1">'Таблиця обчислення'!B82</f>
        <v xml:space="preserve"> </v>
      </c>
      <c r="C86" s="247">
        <f ca="1">'Таблиця обчислення'!E82</f>
        <v>750000</v>
      </c>
      <c r="D86" s="247">
        <f ca="1">'Таблиця обчислення'!F82</f>
        <v>817009.83453749935</v>
      </c>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155</v>
      </c>
      <c r="C1" s="129"/>
      <c r="D1" s="130"/>
      <c r="E1" s="130"/>
      <c r="F1" s="128"/>
      <c r="G1" s="128"/>
      <c r="H1" s="131"/>
      <c r="I1" s="131"/>
      <c r="J1" s="132"/>
    </row>
    <row r="2" spans="1:10" ht="54" customHeight="1" x14ac:dyDescent="0.35">
      <c r="A2" s="133">
        <v>1</v>
      </c>
      <c r="B2" s="134" t="s">
        <v>531</v>
      </c>
      <c r="C2" s="133" t="s">
        <v>156</v>
      </c>
      <c r="D2" s="135" t="s">
        <v>157</v>
      </c>
      <c r="E2" s="133" t="s">
        <v>158</v>
      </c>
      <c r="F2" s="134" t="s">
        <v>532</v>
      </c>
      <c r="G2" s="133" t="s">
        <v>533</v>
      </c>
      <c r="H2" s="136" t="s">
        <v>159</v>
      </c>
      <c r="I2" s="137" t="s">
        <v>160</v>
      </c>
      <c r="J2" s="138" t="s">
        <v>161</v>
      </c>
    </row>
    <row r="3" spans="1:10" ht="49" customHeight="1" x14ac:dyDescent="0.35">
      <c r="A3" s="133">
        <v>2</v>
      </c>
      <c r="B3" s="239" t="s">
        <v>162</v>
      </c>
      <c r="C3" s="133" t="s">
        <v>163</v>
      </c>
      <c r="D3" s="135" t="s">
        <v>164</v>
      </c>
      <c r="E3" s="133" t="s">
        <v>165</v>
      </c>
      <c r="F3" s="134" t="s">
        <v>166</v>
      </c>
      <c r="G3" s="133" t="s">
        <v>167</v>
      </c>
      <c r="H3" s="136" t="s">
        <v>168</v>
      </c>
      <c r="I3" s="137" t="s">
        <v>169</v>
      </c>
      <c r="J3" s="138" t="s">
        <v>161</v>
      </c>
    </row>
    <row r="4" spans="1:10" ht="33.75" customHeight="1" x14ac:dyDescent="0.35">
      <c r="A4" s="133">
        <v>3</v>
      </c>
      <c r="B4" s="134" t="s">
        <v>534</v>
      </c>
      <c r="C4" s="133" t="s">
        <v>170</v>
      </c>
      <c r="D4" s="135" t="s">
        <v>535</v>
      </c>
      <c r="E4" s="133" t="s">
        <v>536</v>
      </c>
      <c r="F4" s="133" t="s">
        <v>537</v>
      </c>
      <c r="G4" s="133" t="s">
        <v>538</v>
      </c>
      <c r="H4" s="133" t="s">
        <v>539</v>
      </c>
      <c r="I4" s="137" t="s">
        <v>171</v>
      </c>
      <c r="J4" s="138" t="s">
        <v>161</v>
      </c>
    </row>
    <row r="5" spans="1:10" ht="45.5" customHeight="1" x14ac:dyDescent="0.35">
      <c r="A5" s="133">
        <v>4</v>
      </c>
      <c r="B5" s="239" t="s">
        <v>172</v>
      </c>
      <c r="C5" s="133" t="s">
        <v>173</v>
      </c>
      <c r="D5" s="135" t="s">
        <v>174</v>
      </c>
      <c r="E5" s="133" t="s">
        <v>175</v>
      </c>
      <c r="F5" s="134" t="s">
        <v>176</v>
      </c>
      <c r="G5" s="133" t="s">
        <v>177</v>
      </c>
      <c r="H5" s="136" t="s">
        <v>178</v>
      </c>
      <c r="I5" s="137" t="s">
        <v>179</v>
      </c>
      <c r="J5" s="138" t="s">
        <v>161</v>
      </c>
    </row>
    <row r="6" spans="1:10" ht="44" customHeight="1" x14ac:dyDescent="0.35">
      <c r="A6" s="133">
        <v>5</v>
      </c>
      <c r="B6" s="239" t="s">
        <v>180</v>
      </c>
      <c r="C6" s="133" t="s">
        <v>181</v>
      </c>
      <c r="D6" s="135" t="s">
        <v>182</v>
      </c>
      <c r="E6" s="133" t="s">
        <v>183</v>
      </c>
      <c r="F6" s="134" t="s">
        <v>184</v>
      </c>
      <c r="G6" s="133" t="s">
        <v>185</v>
      </c>
      <c r="H6" s="136" t="s">
        <v>186</v>
      </c>
      <c r="I6" s="137" t="s">
        <v>187</v>
      </c>
      <c r="J6" s="138" t="s">
        <v>161</v>
      </c>
    </row>
    <row r="7" spans="1:10" ht="41.25" customHeight="1" x14ac:dyDescent="0.35">
      <c r="A7" s="133">
        <v>6</v>
      </c>
      <c r="B7" s="239" t="s">
        <v>188</v>
      </c>
      <c r="C7" s="133" t="s">
        <v>189</v>
      </c>
      <c r="D7" s="135" t="s">
        <v>190</v>
      </c>
      <c r="E7" s="133" t="s">
        <v>191</v>
      </c>
      <c r="F7" s="134" t="s">
        <v>192</v>
      </c>
      <c r="G7" s="133" t="s">
        <v>193</v>
      </c>
      <c r="H7" s="136" t="s">
        <v>194</v>
      </c>
      <c r="I7" s="137" t="s">
        <v>195</v>
      </c>
      <c r="J7" s="138" t="s">
        <v>161</v>
      </c>
    </row>
    <row r="8" spans="1:10" ht="52" customHeight="1" x14ac:dyDescent="0.35">
      <c r="A8" s="133">
        <v>7</v>
      </c>
      <c r="B8" s="134" t="s">
        <v>196</v>
      </c>
      <c r="C8" s="133" t="s">
        <v>197</v>
      </c>
      <c r="D8" s="135" t="s">
        <v>198</v>
      </c>
      <c r="E8" s="133" t="s">
        <v>199</v>
      </c>
      <c r="F8" s="134" t="s">
        <v>200</v>
      </c>
      <c r="G8" s="133" t="s">
        <v>201</v>
      </c>
      <c r="H8" s="136" t="s">
        <v>202</v>
      </c>
      <c r="I8" s="137" t="s">
        <v>203</v>
      </c>
      <c r="J8" s="138" t="s">
        <v>161</v>
      </c>
    </row>
    <row r="9" spans="1:10" ht="44" customHeight="1" x14ac:dyDescent="0.35">
      <c r="A9" s="133">
        <v>8</v>
      </c>
      <c r="B9" s="134" t="s">
        <v>204</v>
      </c>
      <c r="C9" s="133" t="s">
        <v>205</v>
      </c>
      <c r="D9" s="135" t="s">
        <v>206</v>
      </c>
      <c r="E9" s="133" t="s">
        <v>207</v>
      </c>
      <c r="F9" s="133" t="s">
        <v>540</v>
      </c>
      <c r="G9" s="133" t="s">
        <v>541</v>
      </c>
      <c r="H9" s="136" t="s">
        <v>208</v>
      </c>
      <c r="I9" s="137" t="s">
        <v>209</v>
      </c>
      <c r="J9" s="138" t="s">
        <v>161</v>
      </c>
    </row>
    <row r="10" spans="1:10" ht="26" customHeight="1" x14ac:dyDescent="0.35">
      <c r="A10" s="133">
        <v>9</v>
      </c>
      <c r="B10" s="134" t="s">
        <v>210</v>
      </c>
      <c r="C10" s="133" t="s">
        <v>211</v>
      </c>
      <c r="D10" s="135" t="s">
        <v>212</v>
      </c>
      <c r="E10" s="133" t="s">
        <v>213</v>
      </c>
      <c r="F10" s="134" t="s">
        <v>214</v>
      </c>
      <c r="G10" s="133" t="s">
        <v>215</v>
      </c>
      <c r="H10" s="136" t="s">
        <v>216</v>
      </c>
      <c r="I10" s="137" t="s">
        <v>217</v>
      </c>
      <c r="J10" s="138" t="s">
        <v>161</v>
      </c>
    </row>
    <row r="11" spans="1:10" ht="48.5" customHeight="1" x14ac:dyDescent="0.35">
      <c r="A11" s="133">
        <v>10</v>
      </c>
      <c r="B11" s="134" t="s">
        <v>218</v>
      </c>
      <c r="C11" s="133" t="s">
        <v>219</v>
      </c>
      <c r="D11" s="135" t="s">
        <v>220</v>
      </c>
      <c r="E11" s="133" t="s">
        <v>221</v>
      </c>
      <c r="F11" s="134" t="s">
        <v>222</v>
      </c>
      <c r="G11" s="133" t="s">
        <v>223</v>
      </c>
      <c r="H11" s="136" t="s">
        <v>224</v>
      </c>
      <c r="I11" s="137" t="s">
        <v>225</v>
      </c>
      <c r="J11" s="138" t="s">
        <v>161</v>
      </c>
    </row>
    <row r="12" spans="1:10" ht="36" customHeight="1" x14ac:dyDescent="0.35">
      <c r="A12" s="133">
        <v>11</v>
      </c>
      <c r="B12" s="134" t="s">
        <v>226</v>
      </c>
      <c r="C12" s="133" t="s">
        <v>227</v>
      </c>
      <c r="D12" s="135" t="s">
        <v>228</v>
      </c>
      <c r="E12" s="133" t="s">
        <v>229</v>
      </c>
      <c r="F12" s="134" t="s">
        <v>230</v>
      </c>
      <c r="G12" s="133" t="s">
        <v>231</v>
      </c>
      <c r="H12" s="136" t="s">
        <v>232</v>
      </c>
      <c r="I12" s="137" t="s">
        <v>233</v>
      </c>
      <c r="J12" s="138" t="s">
        <v>161</v>
      </c>
    </row>
    <row r="13" spans="1:10" ht="16.5" customHeight="1" x14ac:dyDescent="0.35">
      <c r="A13" s="133">
        <v>12</v>
      </c>
      <c r="B13" s="134" t="s">
        <v>234</v>
      </c>
      <c r="C13" s="133" t="s">
        <v>235</v>
      </c>
      <c r="D13" s="135" t="s">
        <v>236</v>
      </c>
      <c r="E13" s="133" t="s">
        <v>237</v>
      </c>
      <c r="F13" s="134" t="s">
        <v>238</v>
      </c>
      <c r="G13" s="133" t="s">
        <v>239</v>
      </c>
      <c r="H13" s="136" t="s">
        <v>240</v>
      </c>
      <c r="I13" s="137" t="s">
        <v>241</v>
      </c>
      <c r="J13" s="138" t="s">
        <v>161</v>
      </c>
    </row>
    <row r="14" spans="1:10" ht="25.5" customHeight="1" x14ac:dyDescent="0.35">
      <c r="A14" s="133">
        <v>13</v>
      </c>
      <c r="B14" s="134" t="s">
        <v>242</v>
      </c>
      <c r="C14" s="133" t="s">
        <v>243</v>
      </c>
      <c r="D14" s="135" t="s">
        <v>244</v>
      </c>
      <c r="E14" s="133" t="s">
        <v>245</v>
      </c>
      <c r="F14" s="134" t="s">
        <v>246</v>
      </c>
      <c r="G14" s="133" t="s">
        <v>247</v>
      </c>
      <c r="H14" s="136" t="s">
        <v>248</v>
      </c>
      <c r="I14" s="137" t="s">
        <v>249</v>
      </c>
      <c r="J14" s="138" t="s">
        <v>161</v>
      </c>
    </row>
    <row r="15" spans="1:10" ht="40.5" customHeight="1" x14ac:dyDescent="0.35">
      <c r="A15" s="133">
        <v>14</v>
      </c>
      <c r="B15" s="134" t="s">
        <v>250</v>
      </c>
      <c r="C15" s="133" t="s">
        <v>251</v>
      </c>
      <c r="D15" s="135" t="s">
        <v>542</v>
      </c>
      <c r="E15" s="133" t="s">
        <v>543</v>
      </c>
      <c r="F15" s="133" t="s">
        <v>544</v>
      </c>
      <c r="G15" s="133" t="s">
        <v>545</v>
      </c>
      <c r="H15" s="133" t="s">
        <v>253</v>
      </c>
      <c r="I15" s="133" t="s">
        <v>254</v>
      </c>
      <c r="J15" s="138" t="s">
        <v>161</v>
      </c>
    </row>
    <row r="16" spans="1:10" ht="36.5" customHeight="1" x14ac:dyDescent="0.35">
      <c r="A16" s="133">
        <v>15</v>
      </c>
      <c r="B16" s="134" t="s">
        <v>255</v>
      </c>
      <c r="C16" s="133" t="s">
        <v>256</v>
      </c>
      <c r="D16" s="135" t="s">
        <v>257</v>
      </c>
      <c r="E16" s="133" t="s">
        <v>258</v>
      </c>
      <c r="F16" s="134" t="s">
        <v>259</v>
      </c>
      <c r="G16" s="133" t="s">
        <v>260</v>
      </c>
      <c r="H16" s="136" t="s">
        <v>261</v>
      </c>
      <c r="I16" s="137" t="s">
        <v>262</v>
      </c>
      <c r="J16" s="138" t="s">
        <v>161</v>
      </c>
    </row>
    <row r="17" spans="1:10" ht="70" customHeight="1" x14ac:dyDescent="0.35">
      <c r="A17" s="133">
        <v>16</v>
      </c>
      <c r="B17" s="134" t="s">
        <v>546</v>
      </c>
      <c r="C17" s="133" t="s">
        <v>263</v>
      </c>
      <c r="D17" s="135" t="s">
        <v>264</v>
      </c>
      <c r="E17" s="133" t="s">
        <v>265</v>
      </c>
      <c r="F17" s="133" t="s">
        <v>547</v>
      </c>
      <c r="G17" s="133" t="s">
        <v>548</v>
      </c>
      <c r="H17" s="136" t="s">
        <v>266</v>
      </c>
      <c r="I17" s="137" t="s">
        <v>267</v>
      </c>
      <c r="J17" s="138" t="s">
        <v>161</v>
      </c>
    </row>
    <row r="18" spans="1:10" ht="44" customHeight="1" x14ac:dyDescent="0.35">
      <c r="A18" s="133">
        <v>17</v>
      </c>
      <c r="B18" s="134" t="s">
        <v>268</v>
      </c>
      <c r="C18" s="133" t="s">
        <v>269</v>
      </c>
      <c r="D18" s="135" t="s">
        <v>549</v>
      </c>
      <c r="E18" s="133" t="s">
        <v>270</v>
      </c>
      <c r="F18" s="134" t="s">
        <v>271</v>
      </c>
      <c r="G18" s="133" t="s">
        <v>252</v>
      </c>
      <c r="H18" s="136" t="s">
        <v>272</v>
      </c>
      <c r="I18" s="137" t="s">
        <v>273</v>
      </c>
      <c r="J18" s="138" t="s">
        <v>161</v>
      </c>
    </row>
    <row r="19" spans="1:10" ht="28.5" customHeight="1" x14ac:dyDescent="0.35">
      <c r="A19" s="133">
        <v>18</v>
      </c>
      <c r="B19" s="134" t="s">
        <v>274</v>
      </c>
      <c r="C19" s="133" t="s">
        <v>275</v>
      </c>
      <c r="D19" s="135" t="s">
        <v>276</v>
      </c>
      <c r="E19" s="133" t="s">
        <v>277</v>
      </c>
      <c r="F19" s="134" t="s">
        <v>278</v>
      </c>
      <c r="G19" s="133" t="s">
        <v>279</v>
      </c>
      <c r="H19" s="136" t="s">
        <v>280</v>
      </c>
      <c r="I19" s="137" t="s">
        <v>281</v>
      </c>
      <c r="J19" s="138" t="s">
        <v>161</v>
      </c>
    </row>
    <row r="20" spans="1:10" ht="16.5" customHeight="1" x14ac:dyDescent="0.35">
      <c r="A20" s="133">
        <v>19</v>
      </c>
      <c r="B20" s="134" t="s">
        <v>282</v>
      </c>
      <c r="C20" s="133" t="s">
        <v>283</v>
      </c>
      <c r="D20" s="135" t="s">
        <v>284</v>
      </c>
      <c r="E20" s="133" t="s">
        <v>285</v>
      </c>
      <c r="F20" s="134" t="s">
        <v>286</v>
      </c>
      <c r="G20" s="133" t="s">
        <v>287</v>
      </c>
      <c r="H20" s="136" t="s">
        <v>288</v>
      </c>
      <c r="I20" s="137" t="s">
        <v>289</v>
      </c>
      <c r="J20" s="138" t="s">
        <v>290</v>
      </c>
    </row>
    <row r="21" spans="1:10" ht="36.5" customHeight="1" x14ac:dyDescent="0.35">
      <c r="A21" s="133">
        <v>20</v>
      </c>
      <c r="B21" s="134" t="s">
        <v>291</v>
      </c>
      <c r="C21" s="133" t="s">
        <v>292</v>
      </c>
      <c r="D21" s="135" t="s">
        <v>293</v>
      </c>
      <c r="E21" s="133" t="s">
        <v>294</v>
      </c>
      <c r="F21" s="133" t="s">
        <v>550</v>
      </c>
      <c r="G21" s="133" t="s">
        <v>551</v>
      </c>
      <c r="H21" s="136" t="s">
        <v>295</v>
      </c>
      <c r="I21" s="137" t="s">
        <v>296</v>
      </c>
      <c r="J21" s="138" t="s">
        <v>161</v>
      </c>
    </row>
    <row r="22" spans="1:10" ht="29.25" customHeight="1" x14ac:dyDescent="0.35">
      <c r="A22" s="133">
        <v>21</v>
      </c>
      <c r="B22" s="134" t="s">
        <v>297</v>
      </c>
      <c r="C22" s="133" t="s">
        <v>298</v>
      </c>
      <c r="D22" s="135" t="s">
        <v>299</v>
      </c>
      <c r="E22" s="133" t="s">
        <v>300</v>
      </c>
      <c r="F22" s="134" t="s">
        <v>301</v>
      </c>
      <c r="G22" s="133" t="s">
        <v>302</v>
      </c>
      <c r="H22" s="136" t="s">
        <v>303</v>
      </c>
      <c r="I22" s="137" t="s">
        <v>304</v>
      </c>
      <c r="J22" s="138" t="s">
        <v>161</v>
      </c>
    </row>
    <row r="23" spans="1:10" ht="27" customHeight="1" x14ac:dyDescent="0.35">
      <c r="A23" s="133">
        <v>22</v>
      </c>
      <c r="B23" s="134" t="s">
        <v>305</v>
      </c>
      <c r="C23" s="133" t="s">
        <v>306</v>
      </c>
      <c r="D23" s="135" t="s">
        <v>307</v>
      </c>
      <c r="E23" s="133" t="s">
        <v>308</v>
      </c>
      <c r="F23" s="134" t="s">
        <v>309</v>
      </c>
      <c r="G23" s="133" t="s">
        <v>310</v>
      </c>
      <c r="H23" s="136" t="s">
        <v>311</v>
      </c>
      <c r="I23" s="137" t="s">
        <v>312</v>
      </c>
      <c r="J23" s="138" t="s">
        <v>161</v>
      </c>
    </row>
    <row r="24" spans="1:10" ht="17.25" customHeight="1" x14ac:dyDescent="0.35">
      <c r="A24" s="133">
        <v>23</v>
      </c>
      <c r="B24" s="134" t="s">
        <v>313</v>
      </c>
      <c r="C24" s="133" t="s">
        <v>314</v>
      </c>
      <c r="D24" s="135" t="s">
        <v>315</v>
      </c>
      <c r="E24" s="133" t="s">
        <v>316</v>
      </c>
      <c r="F24" s="134" t="s">
        <v>317</v>
      </c>
      <c r="G24" s="133" t="s">
        <v>318</v>
      </c>
      <c r="H24" s="136" t="s">
        <v>319</v>
      </c>
      <c r="I24" s="137" t="s">
        <v>320</v>
      </c>
      <c r="J24" s="138" t="s">
        <v>161</v>
      </c>
    </row>
    <row r="25" spans="1:10" ht="31.5" customHeight="1" x14ac:dyDescent="0.35">
      <c r="A25" s="133">
        <v>24</v>
      </c>
      <c r="B25" s="134" t="s">
        <v>321</v>
      </c>
      <c r="C25" s="133" t="s">
        <v>322</v>
      </c>
      <c r="D25" s="135" t="s">
        <v>323</v>
      </c>
      <c r="E25" s="133" t="s">
        <v>324</v>
      </c>
      <c r="F25" s="134" t="s">
        <v>325</v>
      </c>
      <c r="G25" s="133" t="s">
        <v>326</v>
      </c>
      <c r="H25" s="136" t="s">
        <v>327</v>
      </c>
      <c r="I25" s="137" t="s">
        <v>328</v>
      </c>
      <c r="J25" s="138" t="s">
        <v>161</v>
      </c>
    </row>
    <row r="26" spans="1:10" ht="26.25" customHeight="1" x14ac:dyDescent="0.35">
      <c r="A26" s="133">
        <v>25</v>
      </c>
      <c r="B26" s="134" t="s">
        <v>329</v>
      </c>
      <c r="C26" s="133" t="s">
        <v>330</v>
      </c>
      <c r="D26" s="135" t="s">
        <v>331</v>
      </c>
      <c r="E26" s="133" t="s">
        <v>332</v>
      </c>
      <c r="F26" s="134" t="s">
        <v>333</v>
      </c>
      <c r="G26" s="133" t="s">
        <v>334</v>
      </c>
      <c r="H26" s="136" t="s">
        <v>335</v>
      </c>
      <c r="I26" s="137" t="s">
        <v>336</v>
      </c>
      <c r="J26" s="138" t="s">
        <v>161</v>
      </c>
    </row>
    <row r="27" spans="1:10" ht="17.25" customHeight="1" x14ac:dyDescent="0.35">
      <c r="A27" s="133">
        <v>26</v>
      </c>
      <c r="B27" s="134" t="s">
        <v>337</v>
      </c>
      <c r="C27" s="133" t="s">
        <v>338</v>
      </c>
      <c r="D27" s="135" t="s">
        <v>339</v>
      </c>
      <c r="E27" s="133" t="s">
        <v>340</v>
      </c>
      <c r="F27" s="134" t="s">
        <v>341</v>
      </c>
      <c r="G27" s="133" t="s">
        <v>342</v>
      </c>
      <c r="H27" s="136" t="s">
        <v>343</v>
      </c>
      <c r="I27" s="137" t="s">
        <v>344</v>
      </c>
      <c r="J27" s="138" t="s">
        <v>161</v>
      </c>
    </row>
    <row r="28" spans="1:10" ht="17.25" customHeight="1" x14ac:dyDescent="0.35">
      <c r="A28" s="133">
        <v>27</v>
      </c>
      <c r="B28" s="134" t="s">
        <v>345</v>
      </c>
      <c r="C28" s="133" t="s">
        <v>346</v>
      </c>
      <c r="D28" s="135" t="s">
        <v>347</v>
      </c>
      <c r="E28" s="133" t="s">
        <v>348</v>
      </c>
      <c r="F28" s="134" t="s">
        <v>349</v>
      </c>
      <c r="G28" s="133" t="s">
        <v>350</v>
      </c>
      <c r="H28" s="136" t="s">
        <v>351</v>
      </c>
      <c r="I28" s="137" t="s">
        <v>352</v>
      </c>
      <c r="J28" s="138" t="s">
        <v>161</v>
      </c>
    </row>
    <row r="29" spans="1:10" ht="17.25" customHeight="1" x14ac:dyDescent="0.35">
      <c r="A29" s="133">
        <v>28</v>
      </c>
      <c r="B29" s="134" t="s">
        <v>353</v>
      </c>
      <c r="C29" s="133" t="s">
        <v>354</v>
      </c>
      <c r="D29" s="135" t="s">
        <v>355</v>
      </c>
      <c r="E29" s="133" t="s">
        <v>356</v>
      </c>
      <c r="F29" s="134" t="s">
        <v>357</v>
      </c>
      <c r="G29" s="133" t="s">
        <v>358</v>
      </c>
      <c r="H29" s="136" t="s">
        <v>359</v>
      </c>
      <c r="I29" s="137" t="s">
        <v>360</v>
      </c>
      <c r="J29" s="138" t="s">
        <v>161</v>
      </c>
    </row>
    <row r="30" spans="1:10" ht="29.25" customHeight="1" x14ac:dyDescent="0.35">
      <c r="A30" s="133">
        <v>29</v>
      </c>
      <c r="B30" s="134" t="s">
        <v>552</v>
      </c>
      <c r="C30" s="133" t="s">
        <v>361</v>
      </c>
      <c r="D30" s="135" t="s">
        <v>362</v>
      </c>
      <c r="E30" s="133" t="s">
        <v>363</v>
      </c>
      <c r="F30" s="134" t="s">
        <v>364</v>
      </c>
      <c r="G30" s="133" t="s">
        <v>365</v>
      </c>
      <c r="H30" s="136" t="s">
        <v>366</v>
      </c>
      <c r="I30" s="137" t="s">
        <v>367</v>
      </c>
      <c r="J30" s="138" t="s">
        <v>161</v>
      </c>
    </row>
    <row r="31" spans="1:10" ht="28.5" customHeight="1" x14ac:dyDescent="0.35">
      <c r="A31" s="133">
        <v>30</v>
      </c>
      <c r="B31" s="134" t="s">
        <v>368</v>
      </c>
      <c r="C31" s="133" t="s">
        <v>369</v>
      </c>
      <c r="D31" s="135" t="s">
        <v>370</v>
      </c>
      <c r="E31" s="133" t="s">
        <v>371</v>
      </c>
      <c r="F31" s="134" t="s">
        <v>372</v>
      </c>
      <c r="G31" s="133" t="s">
        <v>373</v>
      </c>
      <c r="H31" s="136" t="s">
        <v>374</v>
      </c>
      <c r="I31" s="137" t="s">
        <v>375</v>
      </c>
      <c r="J31" s="138" t="s">
        <v>161</v>
      </c>
    </row>
    <row r="32" spans="1:10" ht="35.25" customHeight="1" x14ac:dyDescent="0.35">
      <c r="A32" s="133">
        <v>31</v>
      </c>
      <c r="B32" s="134" t="s">
        <v>376</v>
      </c>
      <c r="C32" s="133" t="s">
        <v>377</v>
      </c>
      <c r="D32" s="135" t="s">
        <v>378</v>
      </c>
      <c r="E32" s="133" t="s">
        <v>379</v>
      </c>
      <c r="F32" s="134" t="s">
        <v>380</v>
      </c>
      <c r="G32" s="133" t="s">
        <v>381</v>
      </c>
      <c r="H32" s="136" t="s">
        <v>382</v>
      </c>
      <c r="I32" s="137" t="s">
        <v>383</v>
      </c>
      <c r="J32" s="138" t="s">
        <v>161</v>
      </c>
    </row>
    <row r="33" spans="1:10" ht="17.25" customHeight="1" x14ac:dyDescent="0.35">
      <c r="A33" s="133">
        <v>32</v>
      </c>
      <c r="B33" s="134" t="s">
        <v>384</v>
      </c>
      <c r="C33" s="133" t="s">
        <v>385</v>
      </c>
      <c r="D33" s="135" t="s">
        <v>386</v>
      </c>
      <c r="E33" s="133" t="s">
        <v>387</v>
      </c>
      <c r="F33" s="134" t="s">
        <v>388</v>
      </c>
      <c r="G33" s="133" t="s">
        <v>389</v>
      </c>
      <c r="H33" s="136" t="s">
        <v>390</v>
      </c>
      <c r="I33" s="137" t="s">
        <v>391</v>
      </c>
      <c r="J33" s="138" t="s">
        <v>161</v>
      </c>
    </row>
    <row r="34" spans="1:10" ht="17.25" customHeight="1" x14ac:dyDescent="0.35">
      <c r="A34" s="133">
        <v>33</v>
      </c>
      <c r="B34" s="134" t="s">
        <v>392</v>
      </c>
      <c r="C34" s="133" t="s">
        <v>393</v>
      </c>
      <c r="D34" s="135" t="s">
        <v>394</v>
      </c>
      <c r="E34" s="133" t="s">
        <v>395</v>
      </c>
      <c r="F34" s="134" t="s">
        <v>396</v>
      </c>
      <c r="G34" s="133" t="s">
        <v>397</v>
      </c>
      <c r="H34" s="136" t="s">
        <v>398</v>
      </c>
      <c r="I34" s="137" t="s">
        <v>399</v>
      </c>
      <c r="J34" s="138" t="s">
        <v>161</v>
      </c>
    </row>
    <row r="35" spans="1:10" ht="47" customHeight="1" x14ac:dyDescent="0.35">
      <c r="A35" s="133">
        <v>34</v>
      </c>
      <c r="B35" s="134" t="s">
        <v>553</v>
      </c>
      <c r="C35" s="133" t="s">
        <v>400</v>
      </c>
      <c r="D35" s="135" t="s">
        <v>401</v>
      </c>
      <c r="E35" s="133" t="s">
        <v>402</v>
      </c>
      <c r="F35" s="134" t="s">
        <v>403</v>
      </c>
      <c r="G35" s="133" t="s">
        <v>404</v>
      </c>
      <c r="H35" s="136" t="s">
        <v>405</v>
      </c>
      <c r="I35" s="137" t="s">
        <v>406</v>
      </c>
      <c r="J35" s="138" t="s">
        <v>161</v>
      </c>
    </row>
    <row r="36" spans="1:10" ht="39.75" customHeight="1" x14ac:dyDescent="0.35">
      <c r="A36" s="133">
        <v>35</v>
      </c>
      <c r="B36" s="134" t="s">
        <v>407</v>
      </c>
      <c r="C36" s="133" t="s">
        <v>408</v>
      </c>
      <c r="D36" s="135" t="s">
        <v>409</v>
      </c>
      <c r="E36" s="133" t="s">
        <v>410</v>
      </c>
      <c r="F36" s="134" t="s">
        <v>411</v>
      </c>
      <c r="G36" s="133" t="s">
        <v>412</v>
      </c>
      <c r="H36" s="136" t="s">
        <v>413</v>
      </c>
      <c r="I36" s="137" t="s">
        <v>414</v>
      </c>
      <c r="J36" s="138" t="s">
        <v>161</v>
      </c>
    </row>
    <row r="37" spans="1:10" ht="36.75" customHeight="1" x14ac:dyDescent="0.35">
      <c r="A37" s="133">
        <v>36</v>
      </c>
      <c r="B37" s="134" t="s">
        <v>415</v>
      </c>
      <c r="C37" s="133" t="s">
        <v>416</v>
      </c>
      <c r="D37" s="135" t="s">
        <v>417</v>
      </c>
      <c r="E37" s="133" t="s">
        <v>418</v>
      </c>
      <c r="F37" s="133" t="s">
        <v>554</v>
      </c>
      <c r="G37" s="133" t="s">
        <v>555</v>
      </c>
      <c r="H37" s="136" t="s">
        <v>419</v>
      </c>
      <c r="I37" s="137" t="s">
        <v>420</v>
      </c>
      <c r="J37" s="138" t="s">
        <v>161</v>
      </c>
    </row>
    <row r="38" spans="1:10" ht="36" customHeight="1" x14ac:dyDescent="0.35">
      <c r="A38" s="133">
        <v>37</v>
      </c>
      <c r="B38" s="134" t="s">
        <v>421</v>
      </c>
      <c r="C38" s="133" t="s">
        <v>422</v>
      </c>
      <c r="D38" s="135" t="s">
        <v>423</v>
      </c>
      <c r="E38" s="133" t="s">
        <v>424</v>
      </c>
      <c r="F38" s="134" t="s">
        <v>425</v>
      </c>
      <c r="G38" s="133" t="s">
        <v>426</v>
      </c>
      <c r="H38" s="136" t="s">
        <v>427</v>
      </c>
      <c r="I38" s="137" t="s">
        <v>428</v>
      </c>
      <c r="J38" s="138" t="s">
        <v>161</v>
      </c>
    </row>
    <row r="39" spans="1:10" ht="36.75" customHeight="1" x14ac:dyDescent="0.35">
      <c r="A39" s="133">
        <v>38</v>
      </c>
      <c r="B39" s="134" t="s">
        <v>429</v>
      </c>
      <c r="C39" s="133" t="s">
        <v>430</v>
      </c>
      <c r="D39" s="135" t="s">
        <v>431</v>
      </c>
      <c r="E39" s="133" t="s">
        <v>432</v>
      </c>
      <c r="F39" s="134" t="s">
        <v>433</v>
      </c>
      <c r="G39" s="133" t="s">
        <v>434</v>
      </c>
      <c r="H39" s="136" t="s">
        <v>435</v>
      </c>
      <c r="I39" s="137" t="s">
        <v>436</v>
      </c>
      <c r="J39" s="138" t="s">
        <v>161</v>
      </c>
    </row>
    <row r="40" spans="1:10" ht="39" customHeight="1" x14ac:dyDescent="0.35">
      <c r="A40" s="133">
        <v>39</v>
      </c>
      <c r="B40" s="134" t="s">
        <v>437</v>
      </c>
      <c r="C40" s="133" t="s">
        <v>438</v>
      </c>
      <c r="D40" s="135" t="s">
        <v>439</v>
      </c>
      <c r="E40" s="133" t="s">
        <v>440</v>
      </c>
      <c r="F40" s="134" t="s">
        <v>441</v>
      </c>
      <c r="G40" s="133" t="s">
        <v>442</v>
      </c>
      <c r="H40" s="136" t="s">
        <v>443</v>
      </c>
      <c r="I40" s="137" t="s">
        <v>444</v>
      </c>
      <c r="J40" s="138" t="s">
        <v>161</v>
      </c>
    </row>
    <row r="41" spans="1:10" ht="41.25" customHeight="1" x14ac:dyDescent="0.35">
      <c r="A41" s="133">
        <v>40</v>
      </c>
      <c r="B41" s="134" t="s">
        <v>445</v>
      </c>
      <c r="C41" s="133" t="s">
        <v>446</v>
      </c>
      <c r="D41" s="135" t="s">
        <v>447</v>
      </c>
      <c r="E41" s="133" t="s">
        <v>448</v>
      </c>
      <c r="F41" s="134" t="s">
        <v>449</v>
      </c>
      <c r="G41" s="133" t="s">
        <v>450</v>
      </c>
      <c r="H41" s="136" t="s">
        <v>451</v>
      </c>
      <c r="I41" s="137" t="s">
        <v>452</v>
      </c>
      <c r="J41" s="138" t="s">
        <v>161</v>
      </c>
    </row>
    <row r="42" spans="1:10" ht="17.25" customHeight="1" x14ac:dyDescent="0.35">
      <c r="A42" s="133">
        <v>41</v>
      </c>
      <c r="B42" s="134" t="s">
        <v>453</v>
      </c>
      <c r="C42" s="133" t="s">
        <v>454</v>
      </c>
      <c r="D42" s="135" t="s">
        <v>455</v>
      </c>
      <c r="E42" s="133" t="s">
        <v>456</v>
      </c>
      <c r="F42" s="134" t="s">
        <v>457</v>
      </c>
      <c r="G42" s="133" t="s">
        <v>458</v>
      </c>
      <c r="H42" s="136" t="s">
        <v>459</v>
      </c>
      <c r="I42" s="137" t="s">
        <v>460</v>
      </c>
      <c r="J42" s="138" t="s">
        <v>161</v>
      </c>
    </row>
    <row r="43" spans="1:10" ht="17.25" customHeight="1" x14ac:dyDescent="0.35">
      <c r="A43" s="133">
        <v>42</v>
      </c>
      <c r="B43" s="134" t="s">
        <v>461</v>
      </c>
      <c r="C43" s="133" t="s">
        <v>462</v>
      </c>
      <c r="D43" s="135" t="s">
        <v>463</v>
      </c>
      <c r="E43" s="133" t="s">
        <v>464</v>
      </c>
      <c r="F43" s="134" t="s">
        <v>465</v>
      </c>
      <c r="G43" s="133" t="s">
        <v>466</v>
      </c>
      <c r="H43" s="136" t="s">
        <v>467</v>
      </c>
      <c r="I43" s="137" t="s">
        <v>468</v>
      </c>
      <c r="J43" s="138" t="s">
        <v>161</v>
      </c>
    </row>
    <row r="44" spans="1:10" ht="17.25" customHeight="1" x14ac:dyDescent="0.35">
      <c r="A44" s="133">
        <v>43</v>
      </c>
      <c r="B44" s="134" t="s">
        <v>469</v>
      </c>
      <c r="C44" s="133" t="s">
        <v>470</v>
      </c>
      <c r="D44" s="135" t="s">
        <v>471</v>
      </c>
      <c r="E44" s="133" t="s">
        <v>472</v>
      </c>
      <c r="F44" s="134" t="s">
        <v>473</v>
      </c>
      <c r="G44" s="133" t="s">
        <v>474</v>
      </c>
      <c r="H44" s="136" t="s">
        <v>475</v>
      </c>
      <c r="I44" s="137" t="s">
        <v>476</v>
      </c>
      <c r="J44" s="138" t="s">
        <v>161</v>
      </c>
    </row>
    <row r="45" spans="1:10" ht="17.25" customHeight="1" x14ac:dyDescent="0.35">
      <c r="A45" s="133">
        <v>44</v>
      </c>
      <c r="B45" s="134" t="s">
        <v>477</v>
      </c>
      <c r="C45" s="133" t="s">
        <v>478</v>
      </c>
      <c r="D45" s="135" t="s">
        <v>479</v>
      </c>
      <c r="E45" s="133" t="s">
        <v>480</v>
      </c>
      <c r="F45" s="134" t="s">
        <v>481</v>
      </c>
      <c r="G45" s="133" t="s">
        <v>482</v>
      </c>
      <c r="H45" s="136" t="s">
        <v>483</v>
      </c>
      <c r="I45" s="137" t="s">
        <v>484</v>
      </c>
      <c r="J45" s="138" t="s">
        <v>161</v>
      </c>
    </row>
    <row r="46" spans="1:10" ht="29" customHeight="1" x14ac:dyDescent="0.35">
      <c r="A46" s="133">
        <v>45</v>
      </c>
      <c r="B46" s="134" t="s">
        <v>556</v>
      </c>
      <c r="C46" s="133" t="s">
        <v>485</v>
      </c>
      <c r="D46" s="135" t="s">
        <v>486</v>
      </c>
      <c r="E46" s="133" t="s">
        <v>487</v>
      </c>
      <c r="F46" s="134" t="s">
        <v>488</v>
      </c>
      <c r="G46" s="133" t="s">
        <v>489</v>
      </c>
      <c r="H46" s="136" t="s">
        <v>490</v>
      </c>
      <c r="I46" s="137" t="s">
        <v>491</v>
      </c>
      <c r="J46" s="138" t="s">
        <v>161</v>
      </c>
    </row>
    <row r="47" spans="1:10" ht="23.5" customHeight="1" x14ac:dyDescent="0.35">
      <c r="A47" s="240">
        <v>46</v>
      </c>
      <c r="B47" s="241" t="s">
        <v>557</v>
      </c>
      <c r="C47" s="133" t="s">
        <v>256</v>
      </c>
      <c r="D47" s="135" t="s">
        <v>558</v>
      </c>
      <c r="E47" s="133" t="s">
        <v>559</v>
      </c>
      <c r="F47" s="133" t="s">
        <v>560</v>
      </c>
      <c r="G47" s="133" t="s">
        <v>561</v>
      </c>
      <c r="H47" s="133" t="s">
        <v>261</v>
      </c>
      <c r="I47" s="133" t="s">
        <v>262</v>
      </c>
      <c r="J47" s="242"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2023-09-26T19:09:07Z</dcterms:modified>
</cp:coreProperties>
</file>