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Mortgage 7%\ОБУЧЕНИЕ сети\Калькулятори\новий\"/>
    </mc:Choice>
  </mc:AlternateContent>
  <bookViews>
    <workbookView xWindow="720" yWindow="360" windowWidth="17960" windowHeight="11020" activeTab="3"/>
  </bookViews>
  <sheets>
    <sheet name="паспорт" sheetId="4" r:id="rId1"/>
    <sheet name="паспорт повышенная %" sheetId="5" state="hidden" r:id="rId2"/>
    <sheet name="график с повышеной%" sheetId="7" state="hidden" r:id="rId3"/>
    <sheet name="график анн Базова" sheetId="2" r:id="rId4"/>
    <sheet name="график анн Комп 7%" sheetId="9" r:id="rId5"/>
    <sheet name="дод 1 до дог кредит_Базова" sheetId="3" r:id="rId6"/>
    <sheet name="дод 1 до дог кредит (Комп 7%)" sheetId="10" r:id="rId7"/>
    <sheet name="Лист1" sheetId="8" state="hidden" r:id="rId8"/>
  </sheets>
  <calcPr calcId="152511"/>
</workbook>
</file>

<file path=xl/calcChain.xml><?xml version="1.0" encoding="utf-8"?>
<calcChain xmlns="http://schemas.openxmlformats.org/spreadsheetml/2006/main">
  <c r="B49" i="4" l="1"/>
  <c r="N13" i="9" l="1"/>
  <c r="N12" i="9"/>
  <c r="N7" i="9"/>
  <c r="N8" i="9"/>
  <c r="N4" i="9"/>
  <c r="N3" i="9"/>
  <c r="F11" i="2" l="1"/>
  <c r="F14" i="2" l="1"/>
  <c r="F8" i="9" l="1"/>
  <c r="F5" i="9"/>
  <c r="F4" i="9"/>
  <c r="N7" i="2" l="1"/>
  <c r="N13" i="2" l="1"/>
  <c r="P31" i="10" l="1"/>
  <c r="P30" i="10"/>
  <c r="N30" i="10"/>
  <c r="N31" i="10"/>
  <c r="N32" i="10"/>
  <c r="N33" i="10"/>
  <c r="M30" i="10"/>
  <c r="M31" i="10"/>
  <c r="M32" i="10"/>
  <c r="M33" i="10"/>
  <c r="M34" i="10"/>
  <c r="M35" i="10"/>
  <c r="M36" i="10"/>
  <c r="M37" i="10"/>
  <c r="M38" i="10"/>
  <c r="M39" i="10"/>
  <c r="M40" i="10"/>
  <c r="M41" i="10"/>
  <c r="M43" i="10"/>
  <c r="M44" i="10"/>
  <c r="M45" i="10"/>
  <c r="M46" i="10"/>
  <c r="M47" i="10"/>
  <c r="M48" i="10"/>
  <c r="M49" i="10"/>
  <c r="M50" i="10"/>
  <c r="M51" i="10"/>
  <c r="M52" i="10"/>
  <c r="M53" i="10"/>
  <c r="M55" i="10"/>
  <c r="M56" i="10"/>
  <c r="M57" i="10"/>
  <c r="M58" i="10"/>
  <c r="M59" i="10"/>
  <c r="M60" i="10"/>
  <c r="M61" i="10"/>
  <c r="M62" i="10"/>
  <c r="M63" i="10"/>
  <c r="M64" i="10"/>
  <c r="M65" i="10"/>
  <c r="M67" i="10"/>
  <c r="M68" i="10"/>
  <c r="M69" i="10"/>
  <c r="M70" i="10"/>
  <c r="M71" i="10"/>
  <c r="M72" i="10"/>
  <c r="M73" i="10"/>
  <c r="M74" i="10"/>
  <c r="M75" i="10"/>
  <c r="M76" i="10"/>
  <c r="M77" i="10"/>
  <c r="M79" i="10"/>
  <c r="M80" i="10"/>
  <c r="M81" i="10"/>
  <c r="M82" i="10"/>
  <c r="M83" i="10"/>
  <c r="M84" i="10"/>
  <c r="M85" i="10"/>
  <c r="M86" i="10"/>
  <c r="M87" i="10"/>
  <c r="M88" i="10"/>
  <c r="M89" i="10"/>
  <c r="M91" i="10"/>
  <c r="M92" i="10"/>
  <c r="M93" i="10"/>
  <c r="M94" i="10"/>
  <c r="M95" i="10"/>
  <c r="M96" i="10"/>
  <c r="M97" i="10"/>
  <c r="M98" i="10"/>
  <c r="M99" i="10"/>
  <c r="M100" i="10"/>
  <c r="M101" i="10"/>
  <c r="M103" i="10"/>
  <c r="M104" i="10"/>
  <c r="M105" i="10"/>
  <c r="M106" i="10"/>
  <c r="M107" i="10"/>
  <c r="M108" i="10"/>
  <c r="M109" i="10"/>
  <c r="M110" i="10"/>
  <c r="M111" i="10"/>
  <c r="M112" i="10"/>
  <c r="M113" i="10"/>
  <c r="M115" i="10"/>
  <c r="M116" i="10"/>
  <c r="M117" i="10"/>
  <c r="M118" i="10"/>
  <c r="M119" i="10"/>
  <c r="M120" i="10"/>
  <c r="M121" i="10"/>
  <c r="M122" i="10"/>
  <c r="M123" i="10"/>
  <c r="M124" i="10"/>
  <c r="M125" i="10"/>
  <c r="M127" i="10"/>
  <c r="M128" i="10"/>
  <c r="M129" i="10"/>
  <c r="M130" i="10"/>
  <c r="M131" i="10"/>
  <c r="M132" i="10"/>
  <c r="M133" i="10"/>
  <c r="M134" i="10"/>
  <c r="M135" i="10"/>
  <c r="M136" i="10"/>
  <c r="M137" i="10"/>
  <c r="M139" i="10"/>
  <c r="M140" i="10"/>
  <c r="M141" i="10"/>
  <c r="M142" i="10"/>
  <c r="M143" i="10"/>
  <c r="M144" i="10"/>
  <c r="M145" i="10"/>
  <c r="M146" i="10"/>
  <c r="M147" i="10"/>
  <c r="M148" i="10"/>
  <c r="M149" i="10"/>
  <c r="M151" i="10"/>
  <c r="M152" i="10"/>
  <c r="M153" i="10"/>
  <c r="M154" i="10"/>
  <c r="M155" i="10"/>
  <c r="M156" i="10"/>
  <c r="M157" i="10"/>
  <c r="M158" i="10"/>
  <c r="M159" i="10"/>
  <c r="M160" i="10"/>
  <c r="M161" i="10"/>
  <c r="M163" i="10"/>
  <c r="M164" i="10"/>
  <c r="M165" i="10"/>
  <c r="M166" i="10"/>
  <c r="M167" i="10"/>
  <c r="M168" i="10"/>
  <c r="M169" i="10"/>
  <c r="M170" i="10"/>
  <c r="M171" i="10"/>
  <c r="M172" i="10"/>
  <c r="M173" i="10"/>
  <c r="M175" i="10"/>
  <c r="M176" i="10"/>
  <c r="M177" i="10"/>
  <c r="M178" i="10"/>
  <c r="M179" i="10"/>
  <c r="M180" i="10"/>
  <c r="M181" i="10"/>
  <c r="M182" i="10"/>
  <c r="M183" i="10"/>
  <c r="M184" i="10"/>
  <c r="M185" i="10"/>
  <c r="M187" i="10"/>
  <c r="M188" i="10"/>
  <c r="M189" i="10"/>
  <c r="M190" i="10"/>
  <c r="M191" i="10"/>
  <c r="M192" i="10"/>
  <c r="M193" i="10"/>
  <c r="M194" i="10"/>
  <c r="M195" i="10"/>
  <c r="M196" i="10"/>
  <c r="M197" i="10"/>
  <c r="M199" i="10"/>
  <c r="M200" i="10"/>
  <c r="M201" i="10"/>
  <c r="M202" i="10"/>
  <c r="M203" i="10"/>
  <c r="M204" i="10"/>
  <c r="M205" i="10"/>
  <c r="M206" i="10"/>
  <c r="M207" i="10"/>
  <c r="M208" i="10"/>
  <c r="M209" i="10"/>
  <c r="M211" i="10"/>
  <c r="M212" i="10"/>
  <c r="M213" i="10"/>
  <c r="M214" i="10"/>
  <c r="M215" i="10"/>
  <c r="M216" i="10"/>
  <c r="M217" i="10"/>
  <c r="M218" i="10"/>
  <c r="M219" i="10"/>
  <c r="M220" i="10"/>
  <c r="M221" i="10"/>
  <c r="M223" i="10"/>
  <c r="M224" i="10"/>
  <c r="M225" i="10"/>
  <c r="M226" i="10"/>
  <c r="M227" i="10"/>
  <c r="M228" i="10"/>
  <c r="M229" i="10"/>
  <c r="M230" i="10"/>
  <c r="M231" i="10"/>
  <c r="M232" i="10"/>
  <c r="M233" i="10"/>
  <c r="M235" i="10"/>
  <c r="M236" i="10"/>
  <c r="M237" i="10"/>
  <c r="M238" i="10"/>
  <c r="M239" i="10"/>
  <c r="M240" i="10"/>
  <c r="M241" i="10"/>
  <c r="M242" i="10"/>
  <c r="M243" i="10"/>
  <c r="M244" i="10"/>
  <c r="M245" i="10"/>
  <c r="M247" i="10"/>
  <c r="M248" i="10"/>
  <c r="M249" i="10"/>
  <c r="M250" i="10"/>
  <c r="M251" i="10"/>
  <c r="M252" i="10"/>
  <c r="M253" i="10"/>
  <c r="M254" i="10"/>
  <c r="M255" i="10"/>
  <c r="M256" i="10"/>
  <c r="M257" i="10"/>
  <c r="L30" i="10"/>
  <c r="L31" i="10"/>
  <c r="L32" i="10"/>
  <c r="L33" i="10"/>
  <c r="K30" i="10"/>
  <c r="K31" i="10"/>
  <c r="K32" i="10"/>
  <c r="K33" i="10"/>
  <c r="J30" i="10"/>
  <c r="J31" i="10"/>
  <c r="J32" i="10"/>
  <c r="J33" i="10"/>
  <c r="I30" i="10"/>
  <c r="I31" i="10"/>
  <c r="I32" i="10"/>
  <c r="I33"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A30" i="10"/>
  <c r="E10" i="10"/>
  <c r="E5" i="10"/>
  <c r="E4" i="10"/>
  <c r="F9" i="2"/>
  <c r="A5" i="10"/>
  <c r="A4" i="10"/>
  <c r="N253" i="9"/>
  <c r="J258" i="10" s="1"/>
  <c r="N241" i="9"/>
  <c r="J246" i="10" s="1"/>
  <c r="N229" i="9"/>
  <c r="J234" i="10" s="1"/>
  <c r="N217" i="9"/>
  <c r="J222" i="10" s="1"/>
  <c r="N205" i="9"/>
  <c r="J210" i="10" s="1"/>
  <c r="N193" i="9"/>
  <c r="J198" i="10" s="1"/>
  <c r="N181" i="9"/>
  <c r="J186" i="10" s="1"/>
  <c r="N169" i="9"/>
  <c r="J174" i="10" s="1"/>
  <c r="N157" i="9"/>
  <c r="J162" i="10" s="1"/>
  <c r="N145" i="9"/>
  <c r="J150" i="10" s="1"/>
  <c r="N133" i="9"/>
  <c r="J138" i="10" s="1"/>
  <c r="N121" i="9"/>
  <c r="J126" i="10" s="1"/>
  <c r="N109" i="9"/>
  <c r="J114" i="10" s="1"/>
  <c r="N97" i="9"/>
  <c r="J102" i="10" s="1"/>
  <c r="N85" i="9"/>
  <c r="J90" i="10" s="1"/>
  <c r="N73" i="9"/>
  <c r="J78" i="10" s="1"/>
  <c r="N61" i="9"/>
  <c r="J66" i="10" s="1"/>
  <c r="N49" i="9"/>
  <c r="J54" i="10" s="1"/>
  <c r="N37" i="9"/>
  <c r="J42" i="10" s="1"/>
  <c r="A26" i="9"/>
  <c r="A31" i="10" s="1"/>
  <c r="N24" i="9"/>
  <c r="J29" i="10" s="1"/>
  <c r="J24" i="9"/>
  <c r="L29" i="10" s="1"/>
  <c r="AE19" i="9"/>
  <c r="AE18" i="9"/>
  <c r="F18" i="9"/>
  <c r="D18" i="9" s="1"/>
  <c r="P14" i="9"/>
  <c r="AE13" i="9"/>
  <c r="P13" i="9"/>
  <c r="L24" i="9" s="1"/>
  <c r="N29" i="10" s="1"/>
  <c r="P12" i="9"/>
  <c r="AE10" i="9"/>
  <c r="D9" i="9"/>
  <c r="O8" i="9"/>
  <c r="G8" i="9"/>
  <c r="D8" i="9"/>
  <c r="P26" i="9" s="1"/>
  <c r="O31" i="10" s="1"/>
  <c r="AE7" i="9"/>
  <c r="W7" i="9"/>
  <c r="W8" i="9" s="1"/>
  <c r="P7" i="9"/>
  <c r="I24" i="9" s="1"/>
  <c r="K29" i="10" s="1"/>
  <c r="F7" i="9"/>
  <c r="O10" i="9" s="1"/>
  <c r="P10" i="9" s="1"/>
  <c r="F6" i="9"/>
  <c r="D6" i="9" s="1"/>
  <c r="P5" i="9"/>
  <c r="O24" i="9" s="1"/>
  <c r="H29" i="10" s="1"/>
  <c r="D5" i="9"/>
  <c r="D4" i="9"/>
  <c r="AE3" i="9"/>
  <c r="P3" i="9"/>
  <c r="AE21" i="9" l="1"/>
  <c r="AE14" i="9"/>
  <c r="AE5" i="9"/>
  <c r="AE6" i="9"/>
  <c r="AE4" i="9"/>
  <c r="AE15" i="9"/>
  <c r="P4" i="9"/>
  <c r="M24" i="9" s="1"/>
  <c r="I29" i="10" s="1"/>
  <c r="P5" i="10" s="1"/>
  <c r="AE9" i="9"/>
  <c r="AE20" i="9"/>
  <c r="Q27" i="9"/>
  <c r="P32" i="10" s="1"/>
  <c r="AE8" i="9"/>
  <c r="AE16" i="9"/>
  <c r="AE11" i="9"/>
  <c r="E6" i="10"/>
  <c r="AE17" i="9"/>
  <c r="A27" i="9"/>
  <c r="A32" i="10" s="1"/>
  <c r="AE12" i="9"/>
  <c r="K73" i="9"/>
  <c r="D7" i="9"/>
  <c r="E24" i="9" s="1"/>
  <c r="K253" i="9"/>
  <c r="K217" i="9"/>
  <c r="K241" i="9"/>
  <c r="K229" i="9"/>
  <c r="K169" i="9"/>
  <c r="K193" i="9"/>
  <c r="K181" i="9"/>
  <c r="K205" i="9"/>
  <c r="K121" i="9"/>
  <c r="K157" i="9"/>
  <c r="K109" i="9"/>
  <c r="K145" i="9"/>
  <c r="K97" i="9"/>
  <c r="K85" i="9"/>
  <c r="K49" i="9"/>
  <c r="K133" i="9"/>
  <c r="K61" i="9"/>
  <c r="Y2" i="9"/>
  <c r="K24" i="9"/>
  <c r="P8" i="9"/>
  <c r="P28" i="9"/>
  <c r="O33" i="10" s="1"/>
  <c r="K37" i="9"/>
  <c r="P27" i="9"/>
  <c r="O32" i="10" s="1"/>
  <c r="P25" i="9"/>
  <c r="O30" i="10" s="1"/>
  <c r="N24" i="2"/>
  <c r="D29" i="10" l="1"/>
  <c r="F11" i="9"/>
  <c r="Q28" i="9"/>
  <c r="P33" i="10" s="1"/>
  <c r="A28" i="9"/>
  <c r="AE22" i="9"/>
  <c r="N15" i="9" s="1"/>
  <c r="Y9" i="9"/>
  <c r="M114" i="10"/>
  <c r="Y13" i="9"/>
  <c r="M162" i="10"/>
  <c r="Y18" i="9"/>
  <c r="M222" i="10"/>
  <c r="Y6" i="9"/>
  <c r="M78" i="10"/>
  <c r="F13" i="9"/>
  <c r="Y5" i="9"/>
  <c r="M66" i="10"/>
  <c r="Y10" i="9"/>
  <c r="M126" i="10"/>
  <c r="Y21" i="9"/>
  <c r="M258" i="10"/>
  <c r="Y17" i="9"/>
  <c r="M210" i="10"/>
  <c r="Y20" i="9"/>
  <c r="M246" i="10"/>
  <c r="Y4" i="9"/>
  <c r="M54" i="10"/>
  <c r="Y15" i="9"/>
  <c r="M186" i="10"/>
  <c r="H24" i="9"/>
  <c r="R24" i="9" s="1"/>
  <c r="M29" i="10"/>
  <c r="Y3" i="9"/>
  <c r="M42" i="10"/>
  <c r="Y11" i="9"/>
  <c r="M138" i="10"/>
  <c r="Y16" i="9"/>
  <c r="M198" i="10"/>
  <c r="Y8" i="9"/>
  <c r="M102" i="10"/>
  <c r="Y14" i="9"/>
  <c r="M174" i="10"/>
  <c r="Y7" i="9"/>
  <c r="M90" i="10"/>
  <c r="Y12" i="9"/>
  <c r="M150" i="10"/>
  <c r="Y19" i="9"/>
  <c r="M234" i="10"/>
  <c r="Z2" i="9"/>
  <c r="A29" i="9"/>
  <c r="A34" i="10" s="1"/>
  <c r="P29" i="9"/>
  <c r="O34" i="10" s="1"/>
  <c r="N29" i="9"/>
  <c r="J34" i="10" s="1"/>
  <c r="Q29" i="9"/>
  <c r="P34" i="10" s="1"/>
  <c r="D69" i="4"/>
  <c r="D70" i="4" s="1"/>
  <c r="B8" i="4"/>
  <c r="A33" i="10" l="1"/>
  <c r="Z10" i="9"/>
  <c r="Z16" i="9"/>
  <c r="Y22" i="9"/>
  <c r="Z21" i="9"/>
  <c r="Z19" i="9"/>
  <c r="Z12" i="9"/>
  <c r="Z14" i="9"/>
  <c r="Z6" i="9"/>
  <c r="Z20" i="9"/>
  <c r="Z18" i="9"/>
  <c r="Z3" i="9"/>
  <c r="Z5" i="9"/>
  <c r="Z9" i="9"/>
  <c r="Z7" i="9"/>
  <c r="Z11" i="9"/>
  <c r="Z13" i="9"/>
  <c r="Z8" i="9"/>
  <c r="P30" i="9"/>
  <c r="O35" i="10" s="1"/>
  <c r="M29" i="9"/>
  <c r="I34" i="10" s="1"/>
  <c r="N30" i="9"/>
  <c r="J35" i="10" s="1"/>
  <c r="L29" i="9"/>
  <c r="N34" i="10" s="1"/>
  <c r="A30" i="9"/>
  <c r="A35" i="10" s="1"/>
  <c r="I29" i="9"/>
  <c r="K34" i="10" s="1"/>
  <c r="Q30" i="9"/>
  <c r="P35" i="10" s="1"/>
  <c r="J29" i="9"/>
  <c r="L34" i="10" s="1"/>
  <c r="Z15" i="9"/>
  <c r="Z17" i="9"/>
  <c r="Z4" i="9"/>
  <c r="B68" i="4"/>
  <c r="A68" i="4"/>
  <c r="B32" i="4"/>
  <c r="Z22" i="9" l="1"/>
  <c r="N11" i="9" s="1"/>
  <c r="P11" i="9" s="1"/>
  <c r="Q31" i="9"/>
  <c r="P36" i="10" s="1"/>
  <c r="N31" i="9"/>
  <c r="J36" i="10" s="1"/>
  <c r="L30" i="9"/>
  <c r="N35" i="10" s="1"/>
  <c r="J30" i="9"/>
  <c r="L35" i="10" s="1"/>
  <c r="A31" i="9"/>
  <c r="A36" i="10" s="1"/>
  <c r="I30" i="9"/>
  <c r="K35" i="10" s="1"/>
  <c r="P31" i="9"/>
  <c r="O36" i="10" s="1"/>
  <c r="M30" i="9"/>
  <c r="I35" i="10" s="1"/>
  <c r="G8" i="2"/>
  <c r="H270" i="3"/>
  <c r="H269" i="3"/>
  <c r="H268" i="3"/>
  <c r="H267" i="3"/>
  <c r="H266" i="3"/>
  <c r="H265" i="3"/>
  <c r="H264" i="3"/>
  <c r="H263" i="3"/>
  <c r="H262" i="3"/>
  <c r="H261" i="3"/>
  <c r="H260" i="3"/>
  <c r="H259" i="3"/>
  <c r="H258" i="3"/>
  <c r="M257" i="3"/>
  <c r="H257" i="3"/>
  <c r="M256" i="3"/>
  <c r="H256" i="3"/>
  <c r="M255" i="3"/>
  <c r="H255" i="3"/>
  <c r="M254" i="3"/>
  <c r="H254" i="3"/>
  <c r="M253" i="3"/>
  <c r="H253" i="3"/>
  <c r="M252" i="3"/>
  <c r="H252" i="3"/>
  <c r="M251" i="3"/>
  <c r="H251" i="3"/>
  <c r="M250" i="3"/>
  <c r="H250" i="3"/>
  <c r="M249" i="3"/>
  <c r="H249" i="3"/>
  <c r="M248" i="3"/>
  <c r="H248" i="3"/>
  <c r="M247" i="3"/>
  <c r="H247" i="3"/>
  <c r="H246" i="3"/>
  <c r="M245" i="3"/>
  <c r="H245" i="3"/>
  <c r="M244" i="3"/>
  <c r="H244" i="3"/>
  <c r="M243" i="3"/>
  <c r="H243" i="3"/>
  <c r="M242" i="3"/>
  <c r="H242" i="3"/>
  <c r="M241" i="3"/>
  <c r="H241" i="3"/>
  <c r="M240" i="3"/>
  <c r="H240" i="3"/>
  <c r="M239" i="3"/>
  <c r="H239" i="3"/>
  <c r="M238" i="3"/>
  <c r="H238" i="3"/>
  <c r="M237" i="3"/>
  <c r="H237" i="3"/>
  <c r="M236" i="3"/>
  <c r="H236" i="3"/>
  <c r="M235" i="3"/>
  <c r="H235" i="3"/>
  <c r="H234" i="3"/>
  <c r="M233" i="3"/>
  <c r="H233" i="3"/>
  <c r="M232" i="3"/>
  <c r="H232" i="3"/>
  <c r="M231" i="3"/>
  <c r="H231" i="3"/>
  <c r="M230" i="3"/>
  <c r="H230" i="3"/>
  <c r="M229" i="3"/>
  <c r="H229" i="3"/>
  <c r="M228" i="3"/>
  <c r="H228" i="3"/>
  <c r="M227" i="3"/>
  <c r="H227" i="3"/>
  <c r="M226" i="3"/>
  <c r="H226" i="3"/>
  <c r="M225" i="3"/>
  <c r="H225" i="3"/>
  <c r="M224" i="3"/>
  <c r="H224" i="3"/>
  <c r="M223" i="3"/>
  <c r="H223" i="3"/>
  <c r="H222" i="3"/>
  <c r="M221" i="3"/>
  <c r="H221" i="3"/>
  <c r="M220" i="3"/>
  <c r="H220" i="3"/>
  <c r="M219" i="3"/>
  <c r="H219" i="3"/>
  <c r="M218" i="3"/>
  <c r="H218" i="3"/>
  <c r="M217" i="3"/>
  <c r="H217" i="3"/>
  <c r="M216" i="3"/>
  <c r="H216" i="3"/>
  <c r="M215" i="3"/>
  <c r="H215" i="3"/>
  <c r="M214" i="3"/>
  <c r="H214" i="3"/>
  <c r="M213" i="3"/>
  <c r="H213" i="3"/>
  <c r="M212" i="3"/>
  <c r="H212" i="3"/>
  <c r="M211" i="3"/>
  <c r="H211" i="3"/>
  <c r="H210" i="3"/>
  <c r="M209" i="3"/>
  <c r="H209" i="3"/>
  <c r="M208" i="3"/>
  <c r="H208" i="3"/>
  <c r="M207" i="3"/>
  <c r="H207" i="3"/>
  <c r="M206" i="3"/>
  <c r="H206" i="3"/>
  <c r="M205" i="3"/>
  <c r="H205" i="3"/>
  <c r="M204" i="3"/>
  <c r="H204" i="3"/>
  <c r="M203" i="3"/>
  <c r="H203" i="3"/>
  <c r="M202" i="3"/>
  <c r="H202" i="3"/>
  <c r="M201" i="3"/>
  <c r="H201" i="3"/>
  <c r="M200" i="3"/>
  <c r="H200" i="3"/>
  <c r="M199" i="3"/>
  <c r="H199" i="3"/>
  <c r="H198" i="3"/>
  <c r="M197" i="3"/>
  <c r="H197" i="3"/>
  <c r="M196" i="3"/>
  <c r="H196" i="3"/>
  <c r="M195" i="3"/>
  <c r="H195" i="3"/>
  <c r="M194" i="3"/>
  <c r="H194" i="3"/>
  <c r="M193" i="3"/>
  <c r="H193" i="3"/>
  <c r="M192" i="3"/>
  <c r="H192" i="3"/>
  <c r="M191" i="3"/>
  <c r="H191" i="3"/>
  <c r="M190" i="3"/>
  <c r="H190" i="3"/>
  <c r="M189" i="3"/>
  <c r="H189" i="3"/>
  <c r="M188" i="3"/>
  <c r="H188" i="3"/>
  <c r="M187" i="3"/>
  <c r="H187" i="3"/>
  <c r="H186" i="3"/>
  <c r="M185" i="3"/>
  <c r="H185" i="3"/>
  <c r="M184" i="3"/>
  <c r="H184" i="3"/>
  <c r="M183" i="3"/>
  <c r="H183" i="3"/>
  <c r="M182" i="3"/>
  <c r="H182" i="3"/>
  <c r="M181" i="3"/>
  <c r="H181" i="3"/>
  <c r="M180" i="3"/>
  <c r="H180" i="3"/>
  <c r="M179" i="3"/>
  <c r="H179" i="3"/>
  <c r="M178" i="3"/>
  <c r="H178" i="3"/>
  <c r="M177" i="3"/>
  <c r="H177" i="3"/>
  <c r="M176" i="3"/>
  <c r="H176" i="3"/>
  <c r="M175" i="3"/>
  <c r="H175" i="3"/>
  <c r="H174" i="3"/>
  <c r="M173" i="3"/>
  <c r="H173" i="3"/>
  <c r="M172" i="3"/>
  <c r="H172" i="3"/>
  <c r="M171" i="3"/>
  <c r="H171" i="3"/>
  <c r="M170" i="3"/>
  <c r="H170" i="3"/>
  <c r="M169" i="3"/>
  <c r="H169" i="3"/>
  <c r="M168" i="3"/>
  <c r="H168" i="3"/>
  <c r="M167" i="3"/>
  <c r="H167" i="3"/>
  <c r="M166" i="3"/>
  <c r="H166" i="3"/>
  <c r="M165" i="3"/>
  <c r="H165" i="3"/>
  <c r="M164" i="3"/>
  <c r="H164" i="3"/>
  <c r="M163" i="3"/>
  <c r="H163" i="3"/>
  <c r="H162" i="3"/>
  <c r="M161" i="3"/>
  <c r="H161" i="3"/>
  <c r="M160" i="3"/>
  <c r="H160" i="3"/>
  <c r="M159" i="3"/>
  <c r="H159" i="3"/>
  <c r="M158" i="3"/>
  <c r="H158" i="3"/>
  <c r="M157" i="3"/>
  <c r="H157" i="3"/>
  <c r="M156" i="3"/>
  <c r="H156" i="3"/>
  <c r="M155" i="3"/>
  <c r="H155" i="3"/>
  <c r="M154" i="3"/>
  <c r="H154" i="3"/>
  <c r="M153" i="3"/>
  <c r="H153" i="3"/>
  <c r="M152" i="3"/>
  <c r="H152" i="3"/>
  <c r="M151" i="3"/>
  <c r="H151" i="3"/>
  <c r="H150" i="3"/>
  <c r="M149" i="3"/>
  <c r="H149" i="3"/>
  <c r="M148" i="3"/>
  <c r="H148" i="3"/>
  <c r="M147" i="3"/>
  <c r="H147" i="3"/>
  <c r="M146" i="3"/>
  <c r="H146" i="3"/>
  <c r="M145" i="3"/>
  <c r="H145" i="3"/>
  <c r="M144" i="3"/>
  <c r="H144" i="3"/>
  <c r="M143" i="3"/>
  <c r="H143" i="3"/>
  <c r="M142" i="3"/>
  <c r="H142" i="3"/>
  <c r="M141" i="3"/>
  <c r="H141" i="3"/>
  <c r="M140" i="3"/>
  <c r="H140" i="3"/>
  <c r="M139" i="3"/>
  <c r="H139" i="3"/>
  <c r="H138" i="3"/>
  <c r="M137" i="3"/>
  <c r="H137" i="3"/>
  <c r="M136" i="3"/>
  <c r="H136" i="3"/>
  <c r="M135" i="3"/>
  <c r="H135" i="3"/>
  <c r="M134" i="3"/>
  <c r="H134" i="3"/>
  <c r="M133" i="3"/>
  <c r="H133" i="3"/>
  <c r="M132" i="3"/>
  <c r="H132" i="3"/>
  <c r="M131" i="3"/>
  <c r="H131" i="3"/>
  <c r="M130" i="3"/>
  <c r="H130" i="3"/>
  <c r="M129" i="3"/>
  <c r="H129" i="3"/>
  <c r="M128" i="3"/>
  <c r="H128" i="3"/>
  <c r="M127" i="3"/>
  <c r="H127" i="3"/>
  <c r="H126" i="3"/>
  <c r="M125" i="3"/>
  <c r="H125" i="3"/>
  <c r="M124" i="3"/>
  <c r="H124" i="3"/>
  <c r="M123" i="3"/>
  <c r="H123" i="3"/>
  <c r="M122" i="3"/>
  <c r="H122" i="3"/>
  <c r="M121" i="3"/>
  <c r="H121" i="3"/>
  <c r="M120" i="3"/>
  <c r="H120" i="3"/>
  <c r="M119" i="3"/>
  <c r="H119" i="3"/>
  <c r="M118" i="3"/>
  <c r="H118" i="3"/>
  <c r="M117" i="3"/>
  <c r="H117" i="3"/>
  <c r="M116" i="3"/>
  <c r="H116" i="3"/>
  <c r="M115" i="3"/>
  <c r="H115" i="3"/>
  <c r="H114" i="3"/>
  <c r="M113" i="3"/>
  <c r="H113" i="3"/>
  <c r="M112" i="3"/>
  <c r="H112" i="3"/>
  <c r="M111" i="3"/>
  <c r="H111" i="3"/>
  <c r="M110" i="3"/>
  <c r="H110" i="3"/>
  <c r="M109" i="3"/>
  <c r="H109" i="3"/>
  <c r="M108" i="3"/>
  <c r="H108" i="3"/>
  <c r="M107" i="3"/>
  <c r="H107" i="3"/>
  <c r="M106" i="3"/>
  <c r="H106" i="3"/>
  <c r="M105" i="3"/>
  <c r="H105" i="3"/>
  <c r="M104" i="3"/>
  <c r="H104" i="3"/>
  <c r="M103" i="3"/>
  <c r="H103" i="3"/>
  <c r="H102" i="3"/>
  <c r="M101" i="3"/>
  <c r="H101" i="3"/>
  <c r="M100" i="3"/>
  <c r="H100" i="3"/>
  <c r="M99" i="3"/>
  <c r="H99" i="3"/>
  <c r="M98" i="3"/>
  <c r="H98" i="3"/>
  <c r="M97" i="3"/>
  <c r="H97" i="3"/>
  <c r="M96" i="3"/>
  <c r="H96" i="3"/>
  <c r="M95" i="3"/>
  <c r="H95" i="3"/>
  <c r="M94" i="3"/>
  <c r="H94" i="3"/>
  <c r="M93" i="3"/>
  <c r="H93" i="3"/>
  <c r="M92" i="3"/>
  <c r="H92" i="3"/>
  <c r="M91" i="3"/>
  <c r="H91" i="3"/>
  <c r="H90" i="3"/>
  <c r="M89" i="3"/>
  <c r="H89" i="3"/>
  <c r="M88" i="3"/>
  <c r="H88" i="3"/>
  <c r="M87" i="3"/>
  <c r="H87" i="3"/>
  <c r="M86" i="3"/>
  <c r="H86" i="3"/>
  <c r="M85" i="3"/>
  <c r="H85" i="3"/>
  <c r="M84" i="3"/>
  <c r="H84" i="3"/>
  <c r="M83" i="3"/>
  <c r="H83" i="3"/>
  <c r="M82" i="3"/>
  <c r="H82" i="3"/>
  <c r="M81" i="3"/>
  <c r="H81" i="3"/>
  <c r="M80" i="3"/>
  <c r="H80" i="3"/>
  <c r="M79" i="3"/>
  <c r="H79" i="3"/>
  <c r="H78" i="3"/>
  <c r="M77" i="3"/>
  <c r="H77" i="3"/>
  <c r="M76" i="3"/>
  <c r="H76" i="3"/>
  <c r="M75" i="3"/>
  <c r="H75" i="3"/>
  <c r="M74" i="3"/>
  <c r="H74" i="3"/>
  <c r="M73" i="3"/>
  <c r="H73" i="3"/>
  <c r="M72" i="3"/>
  <c r="H72" i="3"/>
  <c r="M71" i="3"/>
  <c r="H71" i="3"/>
  <c r="M70" i="3"/>
  <c r="H70" i="3"/>
  <c r="M69" i="3"/>
  <c r="H69" i="3"/>
  <c r="M68" i="3"/>
  <c r="H68" i="3"/>
  <c r="M67" i="3"/>
  <c r="H67" i="3"/>
  <c r="H66" i="3"/>
  <c r="M65" i="3"/>
  <c r="H65" i="3"/>
  <c r="M64" i="3"/>
  <c r="H64" i="3"/>
  <c r="M63" i="3"/>
  <c r="H63" i="3"/>
  <c r="M62" i="3"/>
  <c r="H62" i="3"/>
  <c r="M61" i="3"/>
  <c r="H61" i="3"/>
  <c r="M60" i="3"/>
  <c r="H60" i="3"/>
  <c r="M59" i="3"/>
  <c r="H59" i="3"/>
  <c r="M58" i="3"/>
  <c r="H58" i="3"/>
  <c r="M57" i="3"/>
  <c r="H57" i="3"/>
  <c r="M56" i="3"/>
  <c r="H56" i="3"/>
  <c r="M55" i="3"/>
  <c r="H55" i="3"/>
  <c r="H54" i="3"/>
  <c r="M53" i="3"/>
  <c r="H53" i="3"/>
  <c r="M52" i="3"/>
  <c r="H52" i="3"/>
  <c r="M51" i="3"/>
  <c r="H51" i="3"/>
  <c r="M50" i="3"/>
  <c r="H50" i="3"/>
  <c r="M49" i="3"/>
  <c r="H49" i="3"/>
  <c r="M48" i="3"/>
  <c r="H48" i="3"/>
  <c r="M47" i="3"/>
  <c r="H47" i="3"/>
  <c r="M46" i="3"/>
  <c r="H46" i="3"/>
  <c r="M45" i="3"/>
  <c r="H45" i="3"/>
  <c r="M44" i="3"/>
  <c r="H44" i="3"/>
  <c r="M43" i="3"/>
  <c r="H43" i="3"/>
  <c r="H42" i="3"/>
  <c r="M41" i="3"/>
  <c r="H41" i="3"/>
  <c r="M40" i="3"/>
  <c r="H40" i="3"/>
  <c r="M39" i="3"/>
  <c r="H39" i="3"/>
  <c r="M38" i="3"/>
  <c r="H38" i="3"/>
  <c r="M37" i="3"/>
  <c r="H37" i="3"/>
  <c r="M36" i="3"/>
  <c r="H36" i="3"/>
  <c r="M35" i="3"/>
  <c r="H35" i="3"/>
  <c r="M34" i="3"/>
  <c r="H34" i="3"/>
  <c r="N33" i="3"/>
  <c r="M33" i="3"/>
  <c r="L33" i="3"/>
  <c r="K33" i="3"/>
  <c r="J33" i="3"/>
  <c r="I33" i="3"/>
  <c r="H33" i="3"/>
  <c r="N32" i="3"/>
  <c r="M32" i="3"/>
  <c r="L32" i="3"/>
  <c r="K32" i="3"/>
  <c r="J32" i="3"/>
  <c r="I32" i="3"/>
  <c r="H32" i="3"/>
  <c r="N31" i="3"/>
  <c r="M31" i="3"/>
  <c r="L31" i="3"/>
  <c r="K31" i="3"/>
  <c r="J31" i="3"/>
  <c r="I31" i="3"/>
  <c r="H31" i="3"/>
  <c r="N30" i="3"/>
  <c r="M30" i="3"/>
  <c r="L30" i="3"/>
  <c r="K30" i="3"/>
  <c r="J30" i="3"/>
  <c r="I30" i="3"/>
  <c r="H30" i="3"/>
  <c r="P3" i="2"/>
  <c r="B36" i="4" s="1"/>
  <c r="E23" i="4"/>
  <c r="B23" i="4" s="1"/>
  <c r="D14" i="2"/>
  <c r="N9" i="9" l="1"/>
  <c r="P9" i="9" s="1"/>
  <c r="P7" i="10" s="1"/>
  <c r="Q32" i="9"/>
  <c r="P37" i="10" s="1"/>
  <c r="P32" i="9"/>
  <c r="O37" i="10" s="1"/>
  <c r="M31" i="9"/>
  <c r="I36" i="10" s="1"/>
  <c r="N32" i="9"/>
  <c r="J37" i="10" s="1"/>
  <c r="L31" i="9"/>
  <c r="N36" i="10" s="1"/>
  <c r="J31" i="9"/>
  <c r="L36" i="10" s="1"/>
  <c r="I31" i="9"/>
  <c r="K36" i="10" s="1"/>
  <c r="A32" i="9"/>
  <c r="A37" i="10" s="1"/>
  <c r="P14" i="2"/>
  <c r="J29" i="3" s="1"/>
  <c r="P13" i="2"/>
  <c r="L24" i="2" s="1"/>
  <c r="P12" i="2"/>
  <c r="J24" i="2" s="1"/>
  <c r="O8" i="2"/>
  <c r="P8" i="2" s="1"/>
  <c r="P7" i="2"/>
  <c r="I24" i="2" s="1"/>
  <c r="P5" i="2"/>
  <c r="O24" i="2" s="1"/>
  <c r="Q33" i="9" l="1"/>
  <c r="P38" i="10" s="1"/>
  <c r="P33" i="9"/>
  <c r="O38" i="10" s="1"/>
  <c r="A33" i="9"/>
  <c r="A38" i="10" s="1"/>
  <c r="M32" i="9"/>
  <c r="I37" i="10" s="1"/>
  <c r="L32" i="9"/>
  <c r="N37" i="10" s="1"/>
  <c r="N33" i="9"/>
  <c r="J38" i="10" s="1"/>
  <c r="I32" i="9"/>
  <c r="K37" i="10" s="1"/>
  <c r="J32" i="9"/>
  <c r="L37" i="10" s="1"/>
  <c r="K29" i="3"/>
  <c r="D49" i="4"/>
  <c r="E49" i="4" s="1"/>
  <c r="N29" i="3"/>
  <c r="D52" i="4"/>
  <c r="D50" i="4"/>
  <c r="L29" i="3"/>
  <c r="F7" i="2"/>
  <c r="N4" i="2" s="1"/>
  <c r="E4" i="3"/>
  <c r="E5" i="3"/>
  <c r="A4" i="3"/>
  <c r="A5" i="3"/>
  <c r="J33" i="9" l="1"/>
  <c r="L38" i="10" s="1"/>
  <c r="A34" i="9"/>
  <c r="A39" i="10" s="1"/>
  <c r="I33" i="9"/>
  <c r="K38" i="10" s="1"/>
  <c r="Q34" i="9"/>
  <c r="P39" i="10" s="1"/>
  <c r="N34" i="9"/>
  <c r="J39" i="10" s="1"/>
  <c r="L33" i="9"/>
  <c r="N38" i="10" s="1"/>
  <c r="M33" i="9"/>
  <c r="I38" i="10" s="1"/>
  <c r="P34" i="9"/>
  <c r="O39" i="10" s="1"/>
  <c r="E52" i="4"/>
  <c r="B52" i="4" s="1"/>
  <c r="E50" i="4"/>
  <c r="B50" i="4" s="1"/>
  <c r="O10" i="2"/>
  <c r="K24" i="2" s="1"/>
  <c r="M29" i="3" s="1"/>
  <c r="P4" i="2"/>
  <c r="P35" i="9" l="1"/>
  <c r="O40" i="10" s="1"/>
  <c r="M34" i="9"/>
  <c r="I39" i="10" s="1"/>
  <c r="L34" i="9"/>
  <c r="N39" i="10" s="1"/>
  <c r="N35" i="9"/>
  <c r="J40" i="10" s="1"/>
  <c r="A35" i="9"/>
  <c r="A40" i="10" s="1"/>
  <c r="I34" i="9"/>
  <c r="K39" i="10" s="1"/>
  <c r="Q35" i="9"/>
  <c r="P40" i="10" s="1"/>
  <c r="J34" i="9"/>
  <c r="L39" i="10" s="1"/>
  <c r="H29" i="3"/>
  <c r="M24" i="2"/>
  <c r="P10" i="2"/>
  <c r="Y2" i="2"/>
  <c r="K7" i="7"/>
  <c r="F8" i="7"/>
  <c r="F7" i="7"/>
  <c r="Q36" i="9" l="1"/>
  <c r="P41" i="10" s="1"/>
  <c r="N36" i="9"/>
  <c r="J41" i="10" s="1"/>
  <c r="L35" i="9"/>
  <c r="N40" i="10" s="1"/>
  <c r="J35" i="9"/>
  <c r="L40" i="10" s="1"/>
  <c r="A36" i="9"/>
  <c r="A41" i="10" s="1"/>
  <c r="I35" i="9"/>
  <c r="K40" i="10" s="1"/>
  <c r="P36" i="9"/>
  <c r="O41" i="10" s="1"/>
  <c r="M35" i="9"/>
  <c r="I40" i="10" s="1"/>
  <c r="Z2" i="2"/>
  <c r="P31" i="3"/>
  <c r="P30" i="3"/>
  <c r="P37" i="9" l="1"/>
  <c r="O42" i="10" s="1"/>
  <c r="M36" i="9"/>
  <c r="I41" i="10" s="1"/>
  <c r="L36" i="9"/>
  <c r="N41" i="10" s="1"/>
  <c r="A37" i="9"/>
  <c r="A42" i="10" s="1"/>
  <c r="Q37" i="9"/>
  <c r="P42" i="10" s="1"/>
  <c r="J36" i="9"/>
  <c r="L41" i="10" s="1"/>
  <c r="I36" i="9"/>
  <c r="K41" i="10" s="1"/>
  <c r="B30" i="5"/>
  <c r="B26" i="5"/>
  <c r="B17" i="5"/>
  <c r="B16" i="5"/>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F20" i="7"/>
  <c r="F19" i="7"/>
  <c r="F18" i="7"/>
  <c r="D9" i="7"/>
  <c r="K8" i="7"/>
  <c r="I24" i="7" s="1"/>
  <c r="H8" i="7"/>
  <c r="D8" i="7"/>
  <c r="Q7" i="7"/>
  <c r="Q8" i="7" s="1"/>
  <c r="H7" i="7"/>
  <c r="D7" i="7"/>
  <c r="E24" i="7" s="1"/>
  <c r="F6" i="7"/>
  <c r="D6" i="7" s="1"/>
  <c r="D5" i="7"/>
  <c r="K4" i="7"/>
  <c r="D4" i="7"/>
  <c r="B22" i="4"/>
  <c r="I38" i="9" l="1"/>
  <c r="K43" i="10" s="1"/>
  <c r="Q38" i="9"/>
  <c r="P43" i="10" s="1"/>
  <c r="P38" i="9"/>
  <c r="O43" i="10" s="1"/>
  <c r="M37" i="9"/>
  <c r="I42" i="10" s="1"/>
  <c r="J38" i="9"/>
  <c r="L43" i="10" s="1"/>
  <c r="J37" i="9"/>
  <c r="L42" i="10" s="1"/>
  <c r="A38" i="9"/>
  <c r="A43" i="10" s="1"/>
  <c r="I37" i="9"/>
  <c r="K42" i="10" s="1"/>
  <c r="M38" i="9"/>
  <c r="I43" i="10" s="1"/>
  <c r="L37" i="9"/>
  <c r="N42" i="10" s="1"/>
  <c r="N38" i="9"/>
  <c r="J43" i="10" s="1"/>
  <c r="L38" i="9"/>
  <c r="N43" i="10" s="1"/>
  <c r="F21" i="7"/>
  <c r="K26" i="7"/>
  <c r="A26" i="7"/>
  <c r="F11" i="7"/>
  <c r="K25" i="7"/>
  <c r="F3" i="2"/>
  <c r="F3" i="9" s="1"/>
  <c r="D3" i="9" l="1"/>
  <c r="B24" i="9" s="1"/>
  <c r="B38" i="9" s="1"/>
  <c r="F10" i="9"/>
  <c r="E7" i="10"/>
  <c r="E8" i="10" s="1"/>
  <c r="E20" i="9"/>
  <c r="L39" i="9"/>
  <c r="N44" i="10" s="1"/>
  <c r="A39" i="9"/>
  <c r="A44" i="10" s="1"/>
  <c r="J39" i="9"/>
  <c r="L44" i="10" s="1"/>
  <c r="M39" i="9"/>
  <c r="I44" i="10" s="1"/>
  <c r="I39" i="9"/>
  <c r="K44" i="10" s="1"/>
  <c r="P39" i="9"/>
  <c r="O44" i="10" s="1"/>
  <c r="N39" i="9"/>
  <c r="J44" i="10" s="1"/>
  <c r="Q39" i="9"/>
  <c r="P44" i="10" s="1"/>
  <c r="E20" i="2"/>
  <c r="F10" i="2"/>
  <c r="F3" i="7"/>
  <c r="F10" i="7" s="1"/>
  <c r="A27" i="7"/>
  <c r="F13" i="7"/>
  <c r="H25" i="7"/>
  <c r="F15" i="2"/>
  <c r="F18" i="2"/>
  <c r="D18" i="2" s="1"/>
  <c r="C38" i="9" l="1"/>
  <c r="S38" i="9" s="1"/>
  <c r="T38" i="9" s="1"/>
  <c r="B26" i="9"/>
  <c r="B25" i="9"/>
  <c r="C24" i="9"/>
  <c r="B29" i="10" s="1"/>
  <c r="B27" i="9"/>
  <c r="B28" i="9"/>
  <c r="B29" i="9"/>
  <c r="B30" i="9"/>
  <c r="B31" i="9"/>
  <c r="B32" i="9"/>
  <c r="B33" i="9"/>
  <c r="B34" i="9"/>
  <c r="B35" i="9"/>
  <c r="B36" i="9"/>
  <c r="B37" i="9"/>
  <c r="C37" i="9" s="1"/>
  <c r="N40" i="9"/>
  <c r="J45" i="10" s="1"/>
  <c r="M40" i="9"/>
  <c r="I45" i="10" s="1"/>
  <c r="J40" i="9"/>
  <c r="L45" i="10" s="1"/>
  <c r="I40" i="9"/>
  <c r="K45" i="10" s="1"/>
  <c r="P40" i="9"/>
  <c r="O45" i="10" s="1"/>
  <c r="L40" i="9"/>
  <c r="N45" i="10" s="1"/>
  <c r="A40" i="9"/>
  <c r="A45" i="10" s="1"/>
  <c r="Q40" i="9"/>
  <c r="P45" i="10" s="1"/>
  <c r="B39" i="9"/>
  <c r="C39" i="9" s="1"/>
  <c r="F15" i="7"/>
  <c r="D3" i="7"/>
  <c r="B24" i="7" s="1"/>
  <c r="B108" i="7" s="1"/>
  <c r="C108" i="7" s="1"/>
  <c r="L28" i="7"/>
  <c r="K28" i="7"/>
  <c r="A28" i="7"/>
  <c r="B43" i="10" l="1"/>
  <c r="C30" i="9"/>
  <c r="D30" i="9"/>
  <c r="C35" i="10" s="1"/>
  <c r="D28" i="9"/>
  <c r="C33" i="10" s="1"/>
  <c r="C28" i="9"/>
  <c r="C35" i="9"/>
  <c r="D35" i="9"/>
  <c r="C40" i="10" s="1"/>
  <c r="D27" i="9"/>
  <c r="C32" i="10" s="1"/>
  <c r="C27" i="9"/>
  <c r="C29" i="9"/>
  <c r="D29" i="9"/>
  <c r="C34" i="10" s="1"/>
  <c r="B42" i="10"/>
  <c r="S37" i="9"/>
  <c r="T37" i="9" s="1"/>
  <c r="C33" i="9"/>
  <c r="D33" i="9"/>
  <c r="C38" i="10" s="1"/>
  <c r="C25" i="9"/>
  <c r="D25" i="9"/>
  <c r="D34" i="9"/>
  <c r="C39" i="10" s="1"/>
  <c r="C34" i="9"/>
  <c r="D38" i="9"/>
  <c r="C43" i="10" s="1"/>
  <c r="C32" i="9"/>
  <c r="D32" i="9"/>
  <c r="C37" i="10" s="1"/>
  <c r="C26" i="9"/>
  <c r="D26" i="9"/>
  <c r="C31" i="10" s="1"/>
  <c r="C36" i="9"/>
  <c r="D37" i="9" s="1"/>
  <c r="C42" i="10" s="1"/>
  <c r="D36" i="9"/>
  <c r="C41" i="10" s="1"/>
  <c r="C31" i="9"/>
  <c r="D31" i="9"/>
  <c r="C36" i="10" s="1"/>
  <c r="S39" i="9"/>
  <c r="T39" i="9" s="1"/>
  <c r="B44" i="10"/>
  <c r="D39" i="9"/>
  <c r="C44" i="10" s="1"/>
  <c r="Q41" i="9"/>
  <c r="P46" i="10" s="1"/>
  <c r="P41" i="9"/>
  <c r="O46" i="10" s="1"/>
  <c r="M41" i="9"/>
  <c r="I46" i="10" s="1"/>
  <c r="L41" i="9"/>
  <c r="N46" i="10" s="1"/>
  <c r="A41" i="9"/>
  <c r="A46" i="10" s="1"/>
  <c r="J41" i="9"/>
  <c r="L46" i="10" s="1"/>
  <c r="N41" i="9"/>
  <c r="J46" i="10" s="1"/>
  <c r="I41" i="9"/>
  <c r="K46" i="10" s="1"/>
  <c r="B40" i="9"/>
  <c r="C40" i="9" s="1"/>
  <c r="B65" i="7"/>
  <c r="C65" i="7" s="1"/>
  <c r="B47" i="7"/>
  <c r="C47" i="7" s="1"/>
  <c r="B84" i="7"/>
  <c r="C84" i="7" s="1"/>
  <c r="B43" i="7"/>
  <c r="C43" i="7" s="1"/>
  <c r="B92" i="7"/>
  <c r="C92" i="7" s="1"/>
  <c r="B91" i="7"/>
  <c r="C91" i="7" s="1"/>
  <c r="B94" i="7"/>
  <c r="C94" i="7" s="1"/>
  <c r="B98" i="7"/>
  <c r="C98" i="7" s="1"/>
  <c r="B28" i="7"/>
  <c r="C28" i="7" s="1"/>
  <c r="B73" i="7"/>
  <c r="C73" i="7" s="1"/>
  <c r="B81" i="7"/>
  <c r="C81" i="7" s="1"/>
  <c r="B51" i="7"/>
  <c r="C51" i="7" s="1"/>
  <c r="B102" i="7"/>
  <c r="C102" i="7" s="1"/>
  <c r="B99" i="7"/>
  <c r="C99" i="7" s="1"/>
  <c r="B55" i="7"/>
  <c r="C55" i="7" s="1"/>
  <c r="B100" i="7"/>
  <c r="C100" i="7" s="1"/>
  <c r="B76" i="7"/>
  <c r="C76" i="7" s="1"/>
  <c r="B104" i="7"/>
  <c r="C104" i="7" s="1"/>
  <c r="B66" i="7"/>
  <c r="C66" i="7" s="1"/>
  <c r="B85" i="7"/>
  <c r="C85" i="7" s="1"/>
  <c r="B71" i="7"/>
  <c r="C71" i="7" s="1"/>
  <c r="B49" i="7"/>
  <c r="C49" i="7" s="1"/>
  <c r="B50" i="7"/>
  <c r="C50" i="7" s="1"/>
  <c r="B35" i="7"/>
  <c r="C35" i="7" s="1"/>
  <c r="B48" i="7"/>
  <c r="C48" i="7" s="1"/>
  <c r="B38" i="7"/>
  <c r="C38" i="7" s="1"/>
  <c r="B46" i="7"/>
  <c r="C46" i="7" s="1"/>
  <c r="B93" i="7"/>
  <c r="C93" i="7" s="1"/>
  <c r="B63" i="7"/>
  <c r="C63" i="7" s="1"/>
  <c r="B72" i="7"/>
  <c r="C72" i="7" s="1"/>
  <c r="B79" i="7"/>
  <c r="C79" i="7" s="1"/>
  <c r="B68" i="7"/>
  <c r="C68" i="7" s="1"/>
  <c r="B107" i="7"/>
  <c r="C107" i="7" s="1"/>
  <c r="B42" i="7"/>
  <c r="C42" i="7" s="1"/>
  <c r="B101" i="7"/>
  <c r="C101" i="7" s="1"/>
  <c r="B95" i="7"/>
  <c r="C95" i="7" s="1"/>
  <c r="B37" i="7"/>
  <c r="C37" i="7" s="1"/>
  <c r="B30" i="7"/>
  <c r="C30" i="7" s="1"/>
  <c r="B75" i="7"/>
  <c r="C75" i="7" s="1"/>
  <c r="B77" i="7"/>
  <c r="C77" i="7" s="1"/>
  <c r="B58" i="7"/>
  <c r="C58" i="7" s="1"/>
  <c r="B74" i="7"/>
  <c r="C74" i="7" s="1"/>
  <c r="B105" i="7"/>
  <c r="C105" i="7" s="1"/>
  <c r="B26" i="7"/>
  <c r="C26" i="7" s="1"/>
  <c r="B78" i="7"/>
  <c r="C78" i="7" s="1"/>
  <c r="B25" i="7"/>
  <c r="D25" i="7" s="1"/>
  <c r="C24" i="7"/>
  <c r="B45" i="7"/>
  <c r="C45" i="7" s="1"/>
  <c r="B29" i="7"/>
  <c r="C29" i="7" s="1"/>
  <c r="B61" i="7"/>
  <c r="C61" i="7" s="1"/>
  <c r="B64" i="7"/>
  <c r="C64" i="7" s="1"/>
  <c r="B59" i="7"/>
  <c r="C59" i="7" s="1"/>
  <c r="B80" i="7"/>
  <c r="C80" i="7" s="1"/>
  <c r="B34" i="7"/>
  <c r="C34" i="7" s="1"/>
  <c r="B86" i="7"/>
  <c r="C86" i="7" s="1"/>
  <c r="B54" i="7"/>
  <c r="C54" i="7" s="1"/>
  <c r="B39" i="7"/>
  <c r="C39" i="7" s="1"/>
  <c r="B69" i="7"/>
  <c r="C69" i="7" s="1"/>
  <c r="B32" i="7"/>
  <c r="C32" i="7" s="1"/>
  <c r="B83" i="7"/>
  <c r="C83" i="7" s="1"/>
  <c r="B40" i="7"/>
  <c r="C40" i="7" s="1"/>
  <c r="B89" i="7"/>
  <c r="C89" i="7" s="1"/>
  <c r="B106" i="7"/>
  <c r="C106" i="7" s="1"/>
  <c r="B97" i="7"/>
  <c r="C97" i="7" s="1"/>
  <c r="B53" i="7"/>
  <c r="C53" i="7" s="1"/>
  <c r="B82" i="7"/>
  <c r="C82" i="7" s="1"/>
  <c r="B103" i="7"/>
  <c r="C103" i="7" s="1"/>
  <c r="B57" i="7"/>
  <c r="C57" i="7" s="1"/>
  <c r="B31" i="7"/>
  <c r="C31" i="7" s="1"/>
  <c r="B52" i="7"/>
  <c r="C52" i="7" s="1"/>
  <c r="B56" i="7"/>
  <c r="C56" i="7" s="1"/>
  <c r="B87" i="7"/>
  <c r="C87" i="7" s="1"/>
  <c r="B44" i="7"/>
  <c r="C44" i="7" s="1"/>
  <c r="B88" i="7"/>
  <c r="C88" i="7" s="1"/>
  <c r="B67" i="7"/>
  <c r="C67" i="7" s="1"/>
  <c r="B96" i="7"/>
  <c r="C96" i="7" s="1"/>
  <c r="B70" i="7"/>
  <c r="C70" i="7" s="1"/>
  <c r="B27" i="7"/>
  <c r="C27" i="7" s="1"/>
  <c r="B41" i="7"/>
  <c r="C41" i="7" s="1"/>
  <c r="B36" i="7"/>
  <c r="C36" i="7" s="1"/>
  <c r="B90" i="7"/>
  <c r="C90" i="7" s="1"/>
  <c r="B60" i="7"/>
  <c r="C60" i="7" s="1"/>
  <c r="B62" i="7"/>
  <c r="C62" i="7" s="1"/>
  <c r="B33" i="7"/>
  <c r="C33" i="7" s="1"/>
  <c r="L29" i="7"/>
  <c r="A29" i="7"/>
  <c r="K29" i="7"/>
  <c r="D8" i="2"/>
  <c r="D3" i="2"/>
  <c r="B24" i="2" s="1"/>
  <c r="A30" i="3"/>
  <c r="E10" i="3"/>
  <c r="E7" i="3"/>
  <c r="E8" i="3" s="1"/>
  <c r="W7" i="2"/>
  <c r="W8" i="2" s="1"/>
  <c r="F6" i="2"/>
  <c r="D9" i="2"/>
  <c r="D5" i="2"/>
  <c r="D4" i="2"/>
  <c r="S25" i="9" l="1"/>
  <c r="T25" i="9" s="1"/>
  <c r="T24" i="9" s="1"/>
  <c r="B30" i="10"/>
  <c r="B32" i="10"/>
  <c r="S27" i="9"/>
  <c r="T27" i="9" s="1"/>
  <c r="S26" i="9"/>
  <c r="T26" i="9" s="1"/>
  <c r="B31" i="10"/>
  <c r="S33" i="9"/>
  <c r="T33" i="9" s="1"/>
  <c r="B38" i="10"/>
  <c r="S32" i="9"/>
  <c r="T32" i="9" s="1"/>
  <c r="B37" i="10"/>
  <c r="S35" i="9"/>
  <c r="T35" i="9" s="1"/>
  <c r="B40" i="10"/>
  <c r="S28" i="9"/>
  <c r="T28" i="9" s="1"/>
  <c r="B33" i="10"/>
  <c r="S31" i="9"/>
  <c r="T31" i="9" s="1"/>
  <c r="B36" i="10"/>
  <c r="S34" i="9"/>
  <c r="T34" i="9" s="1"/>
  <c r="B39" i="10"/>
  <c r="B41" i="10"/>
  <c r="S36" i="9"/>
  <c r="T36" i="9" s="1"/>
  <c r="C30" i="10"/>
  <c r="G25" i="9"/>
  <c r="G30" i="10" s="1"/>
  <c r="S29" i="9"/>
  <c r="T29" i="9" s="1"/>
  <c r="B34" i="10"/>
  <c r="S30" i="9"/>
  <c r="T30" i="9" s="1"/>
  <c r="B35" i="10"/>
  <c r="S40" i="9"/>
  <c r="T40" i="9" s="1"/>
  <c r="B45" i="10"/>
  <c r="P42" i="9"/>
  <c r="O47" i="10" s="1"/>
  <c r="N42" i="9"/>
  <c r="J47" i="10" s="1"/>
  <c r="M42" i="9"/>
  <c r="I47" i="10" s="1"/>
  <c r="Q42" i="9"/>
  <c r="P47" i="10" s="1"/>
  <c r="L42" i="9"/>
  <c r="N47" i="10" s="1"/>
  <c r="J42" i="9"/>
  <c r="L47" i="10" s="1"/>
  <c r="I42" i="9"/>
  <c r="K47" i="10" s="1"/>
  <c r="A42" i="9"/>
  <c r="A47" i="10" s="1"/>
  <c r="B41" i="9"/>
  <c r="C41" i="9" s="1"/>
  <c r="D40" i="9"/>
  <c r="C45" i="10" s="1"/>
  <c r="D26" i="7"/>
  <c r="D30" i="7"/>
  <c r="D28" i="7"/>
  <c r="D27" i="7"/>
  <c r="D35" i="7"/>
  <c r="C25" i="7"/>
  <c r="G25" i="7" s="1"/>
  <c r="F25" i="7" s="1"/>
  <c r="E25" i="7" s="1"/>
  <c r="D36" i="7"/>
  <c r="D29" i="7"/>
  <c r="D31" i="7"/>
  <c r="D32" i="7"/>
  <c r="D34" i="7"/>
  <c r="D33" i="7"/>
  <c r="P26" i="2"/>
  <c r="P25" i="2"/>
  <c r="O30" i="3" s="1"/>
  <c r="B25" i="2"/>
  <c r="A30" i="7"/>
  <c r="I29" i="7"/>
  <c r="L30" i="7"/>
  <c r="K30" i="7"/>
  <c r="D6" i="2"/>
  <c r="A26" i="2"/>
  <c r="D7" i="2"/>
  <c r="E6" i="3"/>
  <c r="C24" i="2"/>
  <c r="S41" i="9" l="1"/>
  <c r="T41" i="9" s="1"/>
  <c r="B46" i="10"/>
  <c r="O31" i="3"/>
  <c r="D41" i="9"/>
  <c r="C46" i="10" s="1"/>
  <c r="I43" i="9"/>
  <c r="K48" i="10" s="1"/>
  <c r="Q43" i="9"/>
  <c r="P48" i="10" s="1"/>
  <c r="P43" i="9"/>
  <c r="O48" i="10" s="1"/>
  <c r="M43" i="9"/>
  <c r="I48" i="10" s="1"/>
  <c r="L43" i="9"/>
  <c r="N48" i="10" s="1"/>
  <c r="N43" i="9"/>
  <c r="J48" i="10" s="1"/>
  <c r="J43" i="9"/>
  <c r="L48" i="10" s="1"/>
  <c r="A43" i="9"/>
  <c r="A48" i="10" s="1"/>
  <c r="B42" i="9"/>
  <c r="C42" i="9" s="1"/>
  <c r="G26" i="7"/>
  <c r="F26" i="7" s="1"/>
  <c r="H26" i="7" s="1"/>
  <c r="K27" i="7" s="1"/>
  <c r="A31" i="3"/>
  <c r="Q27" i="2"/>
  <c r="P27" i="2"/>
  <c r="I29" i="3"/>
  <c r="P5" i="3" s="1"/>
  <c r="B26" i="2"/>
  <c r="K31" i="7"/>
  <c r="I30" i="7"/>
  <c r="A31" i="7"/>
  <c r="L31" i="7"/>
  <c r="A27" i="2"/>
  <c r="E24" i="2"/>
  <c r="B29" i="3"/>
  <c r="C25" i="2"/>
  <c r="D25" i="2"/>
  <c r="S42" i="9" l="1"/>
  <c r="T42" i="9" s="1"/>
  <c r="B47" i="10"/>
  <c r="S25" i="2"/>
  <c r="T25" i="2" s="1"/>
  <c r="T24" i="2" s="1"/>
  <c r="G25" i="2" s="1"/>
  <c r="D42" i="9"/>
  <c r="C47" i="10" s="1"/>
  <c r="L44" i="9"/>
  <c r="N49" i="10" s="1"/>
  <c r="A44" i="9"/>
  <c r="A49" i="10" s="1"/>
  <c r="J44" i="9"/>
  <c r="L49" i="10" s="1"/>
  <c r="Q44" i="9"/>
  <c r="P49" i="10" s="1"/>
  <c r="P44" i="9"/>
  <c r="O49" i="10" s="1"/>
  <c r="N44" i="9"/>
  <c r="J49" i="10" s="1"/>
  <c r="I44" i="9"/>
  <c r="K49" i="10" s="1"/>
  <c r="M44" i="9"/>
  <c r="I49" i="10" s="1"/>
  <c r="B43" i="9"/>
  <c r="C43" i="9" s="1"/>
  <c r="H24" i="2"/>
  <c r="R24" i="2" s="1"/>
  <c r="Q28" i="2"/>
  <c r="P28" i="2"/>
  <c r="B27" i="2"/>
  <c r="E26" i="7"/>
  <c r="L32" i="7"/>
  <c r="A32" i="7"/>
  <c r="K32" i="7"/>
  <c r="I31" i="7"/>
  <c r="A32" i="3"/>
  <c r="A28" i="2"/>
  <c r="N29" i="2" s="1"/>
  <c r="B30" i="3"/>
  <c r="D29" i="3"/>
  <c r="C30" i="3"/>
  <c r="C26" i="2"/>
  <c r="D26" i="2"/>
  <c r="S43" i="9" l="1"/>
  <c r="T43" i="9" s="1"/>
  <c r="B48" i="10"/>
  <c r="O33" i="3"/>
  <c r="P33" i="3"/>
  <c r="C31" i="3"/>
  <c r="N45" i="9"/>
  <c r="J50" i="10" s="1"/>
  <c r="M45" i="9"/>
  <c r="I50" i="10" s="1"/>
  <c r="J45" i="9"/>
  <c r="L50" i="10" s="1"/>
  <c r="I45" i="9"/>
  <c r="K50" i="10" s="1"/>
  <c r="A45" i="9"/>
  <c r="A50" i="10" s="1"/>
  <c r="Q45" i="9"/>
  <c r="P50" i="10" s="1"/>
  <c r="L45" i="9"/>
  <c r="N50" i="10" s="1"/>
  <c r="P45" i="9"/>
  <c r="O50" i="10" s="1"/>
  <c r="B44" i="9"/>
  <c r="C44" i="9" s="1"/>
  <c r="D43" i="9"/>
  <c r="C48" i="10" s="1"/>
  <c r="P29" i="2"/>
  <c r="Q29" i="2"/>
  <c r="B28" i="2"/>
  <c r="C28" i="2" s="1"/>
  <c r="B31" i="3"/>
  <c r="S26" i="2"/>
  <c r="T26" i="2" s="1"/>
  <c r="G27" i="7"/>
  <c r="K33" i="7"/>
  <c r="I32" i="7"/>
  <c r="L33" i="7"/>
  <c r="A33" i="7"/>
  <c r="A29" i="2"/>
  <c r="N30" i="2" s="1"/>
  <c r="A33" i="3"/>
  <c r="H25" i="2"/>
  <c r="F13" i="2"/>
  <c r="F25" i="2" s="1"/>
  <c r="D27" i="2"/>
  <c r="C27" i="2"/>
  <c r="G30" i="3"/>
  <c r="F25" i="9" l="1"/>
  <c r="S44" i="9"/>
  <c r="T44" i="9" s="1"/>
  <c r="B49" i="10"/>
  <c r="R25" i="2"/>
  <c r="O34" i="3"/>
  <c r="P34" i="3"/>
  <c r="C32" i="3"/>
  <c r="D44" i="9"/>
  <c r="C49" i="10" s="1"/>
  <c r="Q46" i="9"/>
  <c r="P51" i="10" s="1"/>
  <c r="P46" i="9"/>
  <c r="O51" i="10" s="1"/>
  <c r="M46" i="9"/>
  <c r="I51" i="10" s="1"/>
  <c r="L46" i="9"/>
  <c r="N51" i="10" s="1"/>
  <c r="A46" i="9"/>
  <c r="A51" i="10" s="1"/>
  <c r="J46" i="9"/>
  <c r="L51" i="10" s="1"/>
  <c r="N46" i="9"/>
  <c r="J51" i="10" s="1"/>
  <c r="I46" i="9"/>
  <c r="K51" i="10" s="1"/>
  <c r="B45" i="9"/>
  <c r="C45" i="9" s="1"/>
  <c r="Q30" i="2"/>
  <c r="M29" i="2"/>
  <c r="I34" i="3" s="1"/>
  <c r="J29" i="2"/>
  <c r="L34" i="3" s="1"/>
  <c r="P30" i="2"/>
  <c r="J34" i="3"/>
  <c r="L29" i="2"/>
  <c r="N34" i="3" s="1"/>
  <c r="I29" i="2"/>
  <c r="K34" i="3" s="1"/>
  <c r="E30" i="3"/>
  <c r="F27" i="7"/>
  <c r="E27" i="7" s="1"/>
  <c r="L27" i="7"/>
  <c r="B29" i="2"/>
  <c r="C29" i="2" s="1"/>
  <c r="B32" i="3"/>
  <c r="S27" i="2"/>
  <c r="T27" i="2" s="1"/>
  <c r="A34" i="7"/>
  <c r="K34" i="7"/>
  <c r="I33" i="7"/>
  <c r="L34" i="7"/>
  <c r="A30" i="2"/>
  <c r="N31" i="2" s="1"/>
  <c r="A34" i="3"/>
  <c r="E25" i="2"/>
  <c r="F30" i="3"/>
  <c r="D28" i="2"/>
  <c r="F30" i="10" l="1"/>
  <c r="H25" i="9"/>
  <c r="E25" i="9"/>
  <c r="G26" i="9" s="1"/>
  <c r="S45" i="9"/>
  <c r="T45" i="9" s="1"/>
  <c r="B50" i="10"/>
  <c r="O35" i="3"/>
  <c r="P35" i="3"/>
  <c r="G26" i="2"/>
  <c r="C33" i="3"/>
  <c r="D45" i="9"/>
  <c r="C50" i="10" s="1"/>
  <c r="P47" i="9"/>
  <c r="O52" i="10" s="1"/>
  <c r="N47" i="9"/>
  <c r="J52" i="10" s="1"/>
  <c r="M47" i="9"/>
  <c r="I52" i="10" s="1"/>
  <c r="A47" i="9"/>
  <c r="A52" i="10" s="1"/>
  <c r="Q47" i="9"/>
  <c r="P52" i="10" s="1"/>
  <c r="J47" i="9"/>
  <c r="L52" i="10" s="1"/>
  <c r="L47" i="9"/>
  <c r="N52" i="10" s="1"/>
  <c r="I47" i="9"/>
  <c r="K52" i="10" s="1"/>
  <c r="B46" i="9"/>
  <c r="C46" i="9" s="1"/>
  <c r="P31" i="2"/>
  <c r="J35" i="3"/>
  <c r="L30" i="2"/>
  <c r="N35" i="3" s="1"/>
  <c r="I30" i="2"/>
  <c r="K35" i="3" s="1"/>
  <c r="Q31" i="2"/>
  <c r="M30" i="2"/>
  <c r="I35" i="3" s="1"/>
  <c r="J30" i="2"/>
  <c r="L35" i="3" s="1"/>
  <c r="S29" i="2"/>
  <c r="T29" i="2" s="1"/>
  <c r="H27" i="7"/>
  <c r="B30" i="2"/>
  <c r="C30" i="2" s="1"/>
  <c r="G28" i="7"/>
  <c r="K35" i="7"/>
  <c r="I34" i="7"/>
  <c r="A35" i="7"/>
  <c r="L35" i="7"/>
  <c r="A31" i="2"/>
  <c r="N32" i="2" s="1"/>
  <c r="A35" i="3"/>
  <c r="D29" i="2"/>
  <c r="D30" i="3"/>
  <c r="R25" i="9" l="1"/>
  <c r="E30" i="10"/>
  <c r="D30" i="10"/>
  <c r="G31" i="10"/>
  <c r="S46" i="9"/>
  <c r="T46" i="9" s="1"/>
  <c r="B51" i="10"/>
  <c r="O36" i="3"/>
  <c r="P36" i="3"/>
  <c r="F26" i="2"/>
  <c r="C34" i="3"/>
  <c r="D46" i="9"/>
  <c r="C51" i="10" s="1"/>
  <c r="I48" i="9"/>
  <c r="K53" i="10" s="1"/>
  <c r="Q48" i="9"/>
  <c r="P53" i="10" s="1"/>
  <c r="P48" i="9"/>
  <c r="O53" i="10" s="1"/>
  <c r="M48" i="9"/>
  <c r="I53" i="10" s="1"/>
  <c r="J48" i="9"/>
  <c r="L53" i="10" s="1"/>
  <c r="A48" i="9"/>
  <c r="A53" i="10" s="1"/>
  <c r="N48" i="9"/>
  <c r="J53" i="10" s="1"/>
  <c r="L48" i="9"/>
  <c r="N53" i="10" s="1"/>
  <c r="B47" i="9"/>
  <c r="C47" i="9" s="1"/>
  <c r="Q32" i="2"/>
  <c r="M31" i="2"/>
  <c r="I36" i="3" s="1"/>
  <c r="J31" i="2"/>
  <c r="L36" i="3" s="1"/>
  <c r="P32" i="2"/>
  <c r="J36" i="3"/>
  <c r="L31" i="2"/>
  <c r="N36" i="3" s="1"/>
  <c r="I31" i="2"/>
  <c r="K36" i="3" s="1"/>
  <c r="B34" i="3"/>
  <c r="S30" i="2"/>
  <c r="T30" i="2" s="1"/>
  <c r="B31" i="2"/>
  <c r="C31" i="2" s="1"/>
  <c r="F28" i="7"/>
  <c r="K36" i="7"/>
  <c r="A36" i="7"/>
  <c r="I35" i="7"/>
  <c r="L36" i="7"/>
  <c r="A32" i="2"/>
  <c r="A36" i="3"/>
  <c r="G31" i="3"/>
  <c r="D30" i="2"/>
  <c r="F26" i="9" l="1"/>
  <c r="H26" i="9" s="1"/>
  <c r="H26" i="2"/>
  <c r="R26" i="2" s="1"/>
  <c r="S47" i="9"/>
  <c r="T47" i="9" s="1"/>
  <c r="B52" i="10"/>
  <c r="O37" i="3"/>
  <c r="P37" i="3"/>
  <c r="C35" i="3"/>
  <c r="D47" i="9"/>
  <c r="C52" i="10" s="1"/>
  <c r="A49" i="9"/>
  <c r="A54" i="10" s="1"/>
  <c r="J49" i="9"/>
  <c r="L54" i="10" s="1"/>
  <c r="Q49" i="9"/>
  <c r="P54" i="10" s="1"/>
  <c r="I49" i="9"/>
  <c r="K54" i="10" s="1"/>
  <c r="M49" i="9"/>
  <c r="I54" i="10" s="1"/>
  <c r="L49" i="9"/>
  <c r="N54" i="10" s="1"/>
  <c r="P49" i="9"/>
  <c r="O54" i="10" s="1"/>
  <c r="B48" i="9"/>
  <c r="C48" i="9" s="1"/>
  <c r="A33" i="2"/>
  <c r="N34" i="2" s="1"/>
  <c r="N33" i="2"/>
  <c r="J38" i="3" s="1"/>
  <c r="P33" i="2"/>
  <c r="J37" i="3"/>
  <c r="L32" i="2"/>
  <c r="N37" i="3" s="1"/>
  <c r="I32" i="2"/>
  <c r="K37" i="3" s="1"/>
  <c r="Q33" i="2"/>
  <c r="M32" i="2"/>
  <c r="I37" i="3" s="1"/>
  <c r="J32" i="2"/>
  <c r="L37" i="3" s="1"/>
  <c r="O32" i="3"/>
  <c r="B35" i="3"/>
  <c r="S31" i="2"/>
  <c r="T31" i="2" s="1"/>
  <c r="B32" i="2"/>
  <c r="C32" i="2" s="1"/>
  <c r="H28" i="7"/>
  <c r="E28" i="7"/>
  <c r="I36" i="7"/>
  <c r="A37" i="7"/>
  <c r="A37" i="3"/>
  <c r="D31" i="2"/>
  <c r="F31" i="3"/>
  <c r="E26" i="2"/>
  <c r="R26" i="9" l="1"/>
  <c r="E26" i="9"/>
  <c r="G27" i="9" s="1"/>
  <c r="F31" i="10"/>
  <c r="E31" i="10"/>
  <c r="E31" i="3"/>
  <c r="S48" i="9"/>
  <c r="T48" i="9" s="1"/>
  <c r="B53" i="10"/>
  <c r="O38" i="3"/>
  <c r="G27" i="2"/>
  <c r="P38" i="3"/>
  <c r="C36" i="3"/>
  <c r="D48" i="9"/>
  <c r="C53" i="10" s="1"/>
  <c r="J50" i="9"/>
  <c r="L55" i="10" s="1"/>
  <c r="P50" i="9"/>
  <c r="O55" i="10" s="1"/>
  <c r="N50" i="9"/>
  <c r="J55" i="10" s="1"/>
  <c r="L50" i="9"/>
  <c r="N55" i="10" s="1"/>
  <c r="I50" i="9"/>
  <c r="K55" i="10" s="1"/>
  <c r="M50" i="9"/>
  <c r="I55" i="10" s="1"/>
  <c r="Q50" i="9"/>
  <c r="P55" i="10" s="1"/>
  <c r="A50" i="9"/>
  <c r="A55" i="10" s="1"/>
  <c r="B49" i="9"/>
  <c r="C49" i="9" s="1"/>
  <c r="L33" i="2"/>
  <c r="N38" i="3" s="1"/>
  <c r="P34" i="2"/>
  <c r="I33" i="2"/>
  <c r="K38" i="3" s="1"/>
  <c r="B33" i="2"/>
  <c r="C33" i="2" s="1"/>
  <c r="J33" i="2"/>
  <c r="L38" i="3" s="1"/>
  <c r="A34" i="2"/>
  <c r="N35" i="2" s="1"/>
  <c r="A38" i="3"/>
  <c r="Q34" i="2"/>
  <c r="M33" i="2"/>
  <c r="I38" i="3" s="1"/>
  <c r="J39" i="3"/>
  <c r="B36" i="3"/>
  <c r="S32" i="2"/>
  <c r="T32" i="2" s="1"/>
  <c r="G29" i="7"/>
  <c r="L38" i="7"/>
  <c r="I38" i="7"/>
  <c r="I37" i="7"/>
  <c r="D37" i="7"/>
  <c r="A38" i="7"/>
  <c r="K38" i="7"/>
  <c r="D31" i="3"/>
  <c r="D32" i="2"/>
  <c r="D31" i="10" l="1"/>
  <c r="G32" i="10"/>
  <c r="S49" i="9"/>
  <c r="T49" i="9" s="1"/>
  <c r="B54" i="10"/>
  <c r="O39" i="3"/>
  <c r="P39" i="3"/>
  <c r="S33" i="2"/>
  <c r="T33" i="2" s="1"/>
  <c r="C37" i="3"/>
  <c r="F27" i="2"/>
  <c r="M51" i="9"/>
  <c r="I56" i="10" s="1"/>
  <c r="Q51" i="9"/>
  <c r="P56" i="10" s="1"/>
  <c r="P51" i="9"/>
  <c r="O56" i="10" s="1"/>
  <c r="N51" i="9"/>
  <c r="J56" i="10" s="1"/>
  <c r="A51" i="9"/>
  <c r="A56" i="10" s="1"/>
  <c r="J51" i="9"/>
  <c r="L56" i="10" s="1"/>
  <c r="L51" i="9"/>
  <c r="N56" i="10" s="1"/>
  <c r="I51" i="9"/>
  <c r="K56" i="10" s="1"/>
  <c r="B50" i="9"/>
  <c r="C50" i="9" s="1"/>
  <c r="D49" i="9"/>
  <c r="C54" i="10" s="1"/>
  <c r="I34" i="2"/>
  <c r="K39" i="3" s="1"/>
  <c r="M34" i="2"/>
  <c r="I39" i="3" s="1"/>
  <c r="Q35" i="2"/>
  <c r="A39" i="3"/>
  <c r="A35" i="2"/>
  <c r="N36" i="2" s="1"/>
  <c r="B34" i="2"/>
  <c r="C34" i="2" s="1"/>
  <c r="L34" i="2"/>
  <c r="N39" i="3" s="1"/>
  <c r="P35" i="2"/>
  <c r="J34" i="2"/>
  <c r="L39" i="3" s="1"/>
  <c r="P32" i="3"/>
  <c r="J40" i="3"/>
  <c r="B37" i="3"/>
  <c r="F29" i="7"/>
  <c r="I39" i="7"/>
  <c r="D38" i="7"/>
  <c r="L39" i="7"/>
  <c r="A39" i="7"/>
  <c r="K39" i="7"/>
  <c r="D33" i="2"/>
  <c r="B38" i="3"/>
  <c r="G32" i="3"/>
  <c r="F27" i="9" l="1"/>
  <c r="H27" i="9" s="1"/>
  <c r="S50" i="9"/>
  <c r="T50" i="9" s="1"/>
  <c r="B55" i="10"/>
  <c r="O40" i="3"/>
  <c r="H27" i="2"/>
  <c r="E32" i="3" s="1"/>
  <c r="P40" i="3"/>
  <c r="C38" i="3"/>
  <c r="S34" i="2"/>
  <c r="T34" i="2" s="1"/>
  <c r="P52" i="9"/>
  <c r="O57" i="10" s="1"/>
  <c r="L52" i="9"/>
  <c r="N57" i="10" s="1"/>
  <c r="J52" i="9"/>
  <c r="L57" i="10" s="1"/>
  <c r="Q52" i="9"/>
  <c r="P57" i="10" s="1"/>
  <c r="N52" i="9"/>
  <c r="J57" i="10" s="1"/>
  <c r="M52" i="9"/>
  <c r="I57" i="10" s="1"/>
  <c r="I52" i="9"/>
  <c r="K57" i="10" s="1"/>
  <c r="A52" i="9"/>
  <c r="A57" i="10" s="1"/>
  <c r="B51" i="9"/>
  <c r="C51" i="9" s="1"/>
  <c r="D50" i="9"/>
  <c r="C55" i="10" s="1"/>
  <c r="I35" i="2"/>
  <c r="K40" i="3" s="1"/>
  <c r="L35" i="2"/>
  <c r="N40" i="3" s="1"/>
  <c r="P36" i="2"/>
  <c r="J35" i="2"/>
  <c r="L40" i="3" s="1"/>
  <c r="B35" i="2"/>
  <c r="C35" i="2" s="1"/>
  <c r="M35" i="2"/>
  <c r="I40" i="3" s="1"/>
  <c r="A40" i="3"/>
  <c r="A36" i="2"/>
  <c r="Q36" i="2"/>
  <c r="J41" i="3"/>
  <c r="H29" i="7"/>
  <c r="E29" i="7"/>
  <c r="I40" i="7"/>
  <c r="A40" i="7"/>
  <c r="D39" i="7"/>
  <c r="L40" i="7"/>
  <c r="K40" i="7"/>
  <c r="F32" i="3"/>
  <c r="E27" i="2"/>
  <c r="D34" i="2"/>
  <c r="B39" i="3"/>
  <c r="R27" i="9" l="1"/>
  <c r="E27" i="9"/>
  <c r="G28" i="9" s="1"/>
  <c r="F32" i="10"/>
  <c r="E32" i="10"/>
  <c r="S51" i="9"/>
  <c r="T51" i="9" s="1"/>
  <c r="B56" i="10"/>
  <c r="R27" i="2"/>
  <c r="O41" i="3"/>
  <c r="P41" i="3"/>
  <c r="G28" i="2"/>
  <c r="C39" i="3"/>
  <c r="S35" i="2"/>
  <c r="T35" i="2" s="1"/>
  <c r="D51" i="9"/>
  <c r="C56" i="10" s="1"/>
  <c r="Q53" i="9"/>
  <c r="P58" i="10" s="1"/>
  <c r="P53" i="9"/>
  <c r="O58" i="10" s="1"/>
  <c r="M53" i="9"/>
  <c r="I58" i="10" s="1"/>
  <c r="A53" i="9"/>
  <c r="A58" i="10" s="1"/>
  <c r="L53" i="9"/>
  <c r="N58" i="10" s="1"/>
  <c r="J53" i="9"/>
  <c r="L58" i="10" s="1"/>
  <c r="N53" i="9"/>
  <c r="J58" i="10" s="1"/>
  <c r="I53" i="9"/>
  <c r="K58" i="10" s="1"/>
  <c r="B52" i="9"/>
  <c r="C52" i="9" s="1"/>
  <c r="K37" i="2"/>
  <c r="M42" i="3" s="1"/>
  <c r="N37" i="2"/>
  <c r="AE3" i="2" s="1"/>
  <c r="A41" i="3"/>
  <c r="A37" i="2"/>
  <c r="N38" i="2" s="1"/>
  <c r="J43" i="3" s="1"/>
  <c r="B36" i="2"/>
  <c r="C36" i="2" s="1"/>
  <c r="L36" i="2"/>
  <c r="N41" i="3" s="1"/>
  <c r="J36" i="2"/>
  <c r="L41" i="3" s="1"/>
  <c r="M36" i="2"/>
  <c r="I41" i="3" s="1"/>
  <c r="I36" i="2"/>
  <c r="K41" i="3" s="1"/>
  <c r="G30" i="7"/>
  <c r="K41" i="7"/>
  <c r="L41" i="7"/>
  <c r="D40" i="7"/>
  <c r="I41" i="7"/>
  <c r="A41" i="7"/>
  <c r="D35" i="2"/>
  <c r="B40" i="3"/>
  <c r="D32" i="3"/>
  <c r="D32" i="10" l="1"/>
  <c r="G33" i="10"/>
  <c r="L37" i="2"/>
  <c r="N42" i="3" s="1"/>
  <c r="A42" i="3"/>
  <c r="J42" i="3"/>
  <c r="S52" i="9"/>
  <c r="T52" i="9" s="1"/>
  <c r="B57" i="10"/>
  <c r="F28" i="2"/>
  <c r="S36" i="2"/>
  <c r="T36" i="2" s="1"/>
  <c r="C40" i="3"/>
  <c r="I54" i="9"/>
  <c r="K59" i="10" s="1"/>
  <c r="Q54" i="9"/>
  <c r="P59" i="10" s="1"/>
  <c r="P54" i="9"/>
  <c r="O59" i="10" s="1"/>
  <c r="M54" i="9"/>
  <c r="I59" i="10" s="1"/>
  <c r="A54" i="9"/>
  <c r="A59" i="10" s="1"/>
  <c r="N54" i="9"/>
  <c r="J59" i="10" s="1"/>
  <c r="L54" i="9"/>
  <c r="N59" i="10" s="1"/>
  <c r="J54" i="9"/>
  <c r="L59" i="10" s="1"/>
  <c r="B53" i="9"/>
  <c r="C53" i="9" s="1"/>
  <c r="D52" i="9"/>
  <c r="C57" i="10" s="1"/>
  <c r="J38" i="2"/>
  <c r="L43" i="3" s="1"/>
  <c r="M38" i="2"/>
  <c r="I43" i="3" s="1"/>
  <c r="Y3" i="2"/>
  <c r="Z3" i="2" s="1"/>
  <c r="P38" i="2"/>
  <c r="B37" i="2"/>
  <c r="C37" i="2" s="1"/>
  <c r="I37" i="2"/>
  <c r="K42" i="3" s="1"/>
  <c r="A38" i="2"/>
  <c r="N39" i="2" s="1"/>
  <c r="J44" i="3" s="1"/>
  <c r="M37" i="2"/>
  <c r="I42" i="3" s="1"/>
  <c r="I38" i="2"/>
  <c r="K43" i="3" s="1"/>
  <c r="L38" i="2"/>
  <c r="N43" i="3" s="1"/>
  <c r="Q38" i="2"/>
  <c r="J37" i="2"/>
  <c r="L42" i="3" s="1"/>
  <c r="F30" i="7"/>
  <c r="H30" i="7" s="1"/>
  <c r="L42" i="7"/>
  <c r="K42" i="7"/>
  <c r="D41" i="7"/>
  <c r="A42" i="7"/>
  <c r="I42" i="7"/>
  <c r="G33" i="3"/>
  <c r="B41" i="3"/>
  <c r="D36" i="2"/>
  <c r="H28" i="2" l="1"/>
  <c r="E33" i="3" s="1"/>
  <c r="F28" i="9"/>
  <c r="H28" i="9" s="1"/>
  <c r="S53" i="9"/>
  <c r="T53" i="9" s="1"/>
  <c r="B58" i="10"/>
  <c r="O43" i="3"/>
  <c r="P43" i="3"/>
  <c r="C41" i="3"/>
  <c r="S37" i="2"/>
  <c r="T37" i="2" s="1"/>
  <c r="J55" i="9"/>
  <c r="L60" i="10" s="1"/>
  <c r="N55" i="9"/>
  <c r="J60" i="10" s="1"/>
  <c r="M55" i="9"/>
  <c r="I60" i="10" s="1"/>
  <c r="A55" i="9"/>
  <c r="A60" i="10" s="1"/>
  <c r="I55" i="9"/>
  <c r="K60" i="10" s="1"/>
  <c r="Q55" i="9"/>
  <c r="P60" i="10" s="1"/>
  <c r="P55" i="9"/>
  <c r="O60" i="10" s="1"/>
  <c r="L55" i="9"/>
  <c r="N60" i="10" s="1"/>
  <c r="B54" i="9"/>
  <c r="C54" i="9" s="1"/>
  <c r="D53" i="9"/>
  <c r="C58" i="10" s="1"/>
  <c r="A43" i="3"/>
  <c r="B38" i="2"/>
  <c r="C38" i="2" s="1"/>
  <c r="J39" i="2"/>
  <c r="L44" i="3" s="1"/>
  <c r="A39" i="2"/>
  <c r="N40" i="2" s="1"/>
  <c r="J45" i="3" s="1"/>
  <c r="M39" i="2"/>
  <c r="I44" i="3" s="1"/>
  <c r="P39" i="2"/>
  <c r="L39" i="2"/>
  <c r="N44" i="3" s="1"/>
  <c r="I39" i="2"/>
  <c r="K44" i="3" s="1"/>
  <c r="Q39" i="2"/>
  <c r="D37" i="2"/>
  <c r="E30" i="7"/>
  <c r="K43" i="7"/>
  <c r="D42" i="7"/>
  <c r="L43" i="7"/>
  <c r="I43" i="7"/>
  <c r="A43" i="7"/>
  <c r="B42" i="3"/>
  <c r="F33" i="3"/>
  <c r="E28" i="2"/>
  <c r="R28" i="9" l="1"/>
  <c r="R28" i="2"/>
  <c r="E28" i="9"/>
  <c r="D33" i="10" s="1"/>
  <c r="F33" i="10"/>
  <c r="E33" i="10"/>
  <c r="G29" i="9"/>
  <c r="S54" i="9"/>
  <c r="T54" i="9" s="1"/>
  <c r="B59" i="10"/>
  <c r="O44" i="3"/>
  <c r="P44" i="3"/>
  <c r="S38" i="2"/>
  <c r="T38" i="2" s="1"/>
  <c r="C42" i="3"/>
  <c r="D54" i="9"/>
  <c r="C59" i="10" s="1"/>
  <c r="M56" i="9"/>
  <c r="I61" i="10" s="1"/>
  <c r="P56" i="9"/>
  <c r="O61" i="10" s="1"/>
  <c r="N56" i="9"/>
  <c r="J61" i="10" s="1"/>
  <c r="A56" i="9"/>
  <c r="A61" i="10" s="1"/>
  <c r="L56" i="9"/>
  <c r="N61" i="10" s="1"/>
  <c r="I56" i="9"/>
  <c r="K61" i="10" s="1"/>
  <c r="Q56" i="9"/>
  <c r="P61" i="10" s="1"/>
  <c r="J56" i="9"/>
  <c r="L61" i="10" s="1"/>
  <c r="B55" i="9"/>
  <c r="C55" i="9" s="1"/>
  <c r="I40" i="2"/>
  <c r="K45" i="3" s="1"/>
  <c r="L40" i="2"/>
  <c r="N45" i="3" s="1"/>
  <c r="Q40" i="2"/>
  <c r="A44" i="3"/>
  <c r="B39" i="2"/>
  <c r="C39" i="2" s="1"/>
  <c r="M40" i="2"/>
  <c r="I45" i="3" s="1"/>
  <c r="J40" i="2"/>
  <c r="L45" i="3" s="1"/>
  <c r="A40" i="2"/>
  <c r="N41" i="2" s="1"/>
  <c r="J46" i="3" s="1"/>
  <c r="P40" i="2"/>
  <c r="D38" i="2"/>
  <c r="G31" i="7"/>
  <c r="I44" i="7"/>
  <c r="A44" i="7"/>
  <c r="D43" i="7"/>
  <c r="K44" i="7"/>
  <c r="L44" i="7"/>
  <c r="B43" i="3"/>
  <c r="D33" i="3"/>
  <c r="G34" i="10" l="1"/>
  <c r="S55" i="9"/>
  <c r="T55" i="9" s="1"/>
  <c r="B60" i="10"/>
  <c r="O45" i="3"/>
  <c r="P45" i="3"/>
  <c r="C43" i="3"/>
  <c r="S39" i="2"/>
  <c r="T39" i="2" s="1"/>
  <c r="D55" i="9"/>
  <c r="C60" i="10" s="1"/>
  <c r="P57" i="9"/>
  <c r="O62" i="10" s="1"/>
  <c r="J57" i="9"/>
  <c r="L62" i="10" s="1"/>
  <c r="I57" i="9"/>
  <c r="K62" i="10" s="1"/>
  <c r="N57" i="9"/>
  <c r="J62" i="10" s="1"/>
  <c r="A57" i="9"/>
  <c r="A62" i="10" s="1"/>
  <c r="Q57" i="9"/>
  <c r="P62" i="10" s="1"/>
  <c r="M57" i="9"/>
  <c r="I62" i="10" s="1"/>
  <c r="L57" i="9"/>
  <c r="N62" i="10" s="1"/>
  <c r="B56" i="9"/>
  <c r="C56" i="9" s="1"/>
  <c r="A41" i="2"/>
  <c r="N42" i="2" s="1"/>
  <c r="J47" i="3" s="1"/>
  <c r="M41" i="2"/>
  <c r="I46" i="3" s="1"/>
  <c r="J41" i="2"/>
  <c r="L46" i="3" s="1"/>
  <c r="P41" i="2"/>
  <c r="I41" i="2"/>
  <c r="K46" i="3" s="1"/>
  <c r="A45" i="3"/>
  <c r="B40" i="2"/>
  <c r="C40" i="2" s="1"/>
  <c r="Q41" i="2"/>
  <c r="L41" i="2"/>
  <c r="N46" i="3" s="1"/>
  <c r="D39" i="2"/>
  <c r="F31" i="7"/>
  <c r="K45" i="7"/>
  <c r="A45" i="7"/>
  <c r="I45" i="7"/>
  <c r="D44" i="7"/>
  <c r="L45" i="7"/>
  <c r="B44" i="3"/>
  <c r="S56" i="9" l="1"/>
  <c r="T56" i="9" s="1"/>
  <c r="B61" i="10"/>
  <c r="O46" i="3"/>
  <c r="P46" i="3"/>
  <c r="C44" i="3"/>
  <c r="S40" i="2"/>
  <c r="T40" i="2" s="1"/>
  <c r="D56" i="9"/>
  <c r="C61" i="10" s="1"/>
  <c r="P58" i="9"/>
  <c r="O63" i="10" s="1"/>
  <c r="N58" i="9"/>
  <c r="J63" i="10" s="1"/>
  <c r="L58" i="9"/>
  <c r="N63" i="10" s="1"/>
  <c r="J58" i="9"/>
  <c r="L63" i="10" s="1"/>
  <c r="I58" i="9"/>
  <c r="K63" i="10" s="1"/>
  <c r="Q58" i="9"/>
  <c r="P63" i="10" s="1"/>
  <c r="M58" i="9"/>
  <c r="I63" i="10" s="1"/>
  <c r="A58" i="9"/>
  <c r="A63" i="10" s="1"/>
  <c r="B57" i="9"/>
  <c r="C57" i="9" s="1"/>
  <c r="A42" i="2"/>
  <c r="N43" i="2" s="1"/>
  <c r="J48" i="3" s="1"/>
  <c r="Q42" i="2"/>
  <c r="I42" i="2"/>
  <c r="K47" i="3" s="1"/>
  <c r="L42" i="2"/>
  <c r="N47" i="3" s="1"/>
  <c r="J42" i="2"/>
  <c r="L47" i="3" s="1"/>
  <c r="M42" i="2"/>
  <c r="I47" i="3" s="1"/>
  <c r="A46" i="3"/>
  <c r="B41" i="2"/>
  <c r="C41" i="2" s="1"/>
  <c r="P42" i="2"/>
  <c r="L43" i="2"/>
  <c r="N48" i="3" s="1"/>
  <c r="I43" i="2"/>
  <c r="K48" i="3" s="1"/>
  <c r="D40" i="2"/>
  <c r="H31" i="7"/>
  <c r="E31" i="7"/>
  <c r="L46" i="7"/>
  <c r="A46" i="7"/>
  <c r="I46" i="7"/>
  <c r="D45" i="7"/>
  <c r="K46" i="7"/>
  <c r="A47" i="3"/>
  <c r="B45" i="3"/>
  <c r="Q43" i="2" l="1"/>
  <c r="A43" i="2"/>
  <c r="N44" i="2" s="1"/>
  <c r="B42" i="2"/>
  <c r="C42" i="2" s="1"/>
  <c r="S42" i="2" s="1"/>
  <c r="T42" i="2" s="1"/>
  <c r="J43" i="2"/>
  <c r="L48" i="3" s="1"/>
  <c r="M43" i="2"/>
  <c r="I48" i="3" s="1"/>
  <c r="P43" i="2"/>
  <c r="O48" i="3" s="1"/>
  <c r="S57" i="9"/>
  <c r="T57" i="9" s="1"/>
  <c r="B62" i="10"/>
  <c r="O47" i="3"/>
  <c r="P48" i="3"/>
  <c r="P47" i="3"/>
  <c r="S41" i="2"/>
  <c r="T41" i="2" s="1"/>
  <c r="C45" i="3"/>
  <c r="Q59" i="9"/>
  <c r="P64" i="10" s="1"/>
  <c r="P59" i="9"/>
  <c r="O64" i="10" s="1"/>
  <c r="N59" i="9"/>
  <c r="J64" i="10" s="1"/>
  <c r="L59" i="9"/>
  <c r="N64" i="10" s="1"/>
  <c r="J59" i="9"/>
  <c r="L64" i="10" s="1"/>
  <c r="I59" i="9"/>
  <c r="K64" i="10" s="1"/>
  <c r="A59" i="9"/>
  <c r="A64" i="10" s="1"/>
  <c r="M59" i="9"/>
  <c r="I64" i="10" s="1"/>
  <c r="B58" i="9"/>
  <c r="C58" i="9" s="1"/>
  <c r="D57" i="9"/>
  <c r="C62" i="10" s="1"/>
  <c r="P44" i="2"/>
  <c r="M44" i="2"/>
  <c r="I49" i="3" s="1"/>
  <c r="J44" i="2"/>
  <c r="L49" i="3" s="1"/>
  <c r="Q44" i="2"/>
  <c r="J49" i="3"/>
  <c r="L44" i="2"/>
  <c r="N49" i="3" s="1"/>
  <c r="I44" i="2"/>
  <c r="K49" i="3" s="1"/>
  <c r="D41" i="2"/>
  <c r="B43" i="2"/>
  <c r="C43" i="2" s="1"/>
  <c r="G32" i="7"/>
  <c r="L47" i="7"/>
  <c r="A47" i="7"/>
  <c r="I47" i="7"/>
  <c r="D46" i="7"/>
  <c r="K47" i="7"/>
  <c r="A44" i="2"/>
  <c r="N45" i="2" s="1"/>
  <c r="A48" i="3"/>
  <c r="B46" i="3"/>
  <c r="S58" i="9" l="1"/>
  <c r="T58" i="9" s="1"/>
  <c r="B63" i="10"/>
  <c r="O49" i="3"/>
  <c r="P49" i="3"/>
  <c r="C46" i="3"/>
  <c r="D58" i="9"/>
  <c r="C63" i="10" s="1"/>
  <c r="J60" i="9"/>
  <c r="L65" i="10" s="1"/>
  <c r="N60" i="9"/>
  <c r="J65" i="10" s="1"/>
  <c r="A60" i="9"/>
  <c r="A65" i="10" s="1"/>
  <c r="M60" i="9"/>
  <c r="I65" i="10" s="1"/>
  <c r="I60" i="9"/>
  <c r="K65" i="10" s="1"/>
  <c r="L60" i="9"/>
  <c r="N65" i="10" s="1"/>
  <c r="Q60" i="9"/>
  <c r="P65" i="10" s="1"/>
  <c r="P60" i="9"/>
  <c r="O65" i="10" s="1"/>
  <c r="B59" i="9"/>
  <c r="C59" i="9" s="1"/>
  <c r="Q45" i="2"/>
  <c r="J50" i="3"/>
  <c r="L45" i="2"/>
  <c r="N50" i="3" s="1"/>
  <c r="I45" i="2"/>
  <c r="K50" i="3" s="1"/>
  <c r="P45" i="2"/>
  <c r="M45" i="2"/>
  <c r="I50" i="3" s="1"/>
  <c r="J45" i="2"/>
  <c r="L50" i="3" s="1"/>
  <c r="D42" i="2"/>
  <c r="S43" i="2"/>
  <c r="T43" i="2" s="1"/>
  <c r="B44" i="2"/>
  <c r="C44" i="2" s="1"/>
  <c r="F32" i="7"/>
  <c r="I48" i="7"/>
  <c r="A48" i="7"/>
  <c r="D47" i="7"/>
  <c r="L48" i="7"/>
  <c r="K48" i="7"/>
  <c r="A49" i="3"/>
  <c r="A45" i="2"/>
  <c r="N46" i="2" s="1"/>
  <c r="B47" i="3"/>
  <c r="S59" i="9" l="1"/>
  <c r="T59" i="9" s="1"/>
  <c r="B64" i="10"/>
  <c r="O50" i="3"/>
  <c r="P50" i="3"/>
  <c r="C47" i="3"/>
  <c r="L61" i="9"/>
  <c r="N66" i="10" s="1"/>
  <c r="I61" i="9"/>
  <c r="K66" i="10" s="1"/>
  <c r="Q61" i="9"/>
  <c r="P66" i="10" s="1"/>
  <c r="P61" i="9"/>
  <c r="O66" i="10" s="1"/>
  <c r="A61" i="9"/>
  <c r="A66" i="10" s="1"/>
  <c r="J61" i="9"/>
  <c r="L66" i="10" s="1"/>
  <c r="M61" i="9"/>
  <c r="I66" i="10" s="1"/>
  <c r="B60" i="9"/>
  <c r="C60" i="9" s="1"/>
  <c r="D59" i="9"/>
  <c r="C64" i="10" s="1"/>
  <c r="P46" i="2"/>
  <c r="M46" i="2"/>
  <c r="I51" i="3" s="1"/>
  <c r="J46" i="2"/>
  <c r="L51" i="3" s="1"/>
  <c r="Q46" i="2"/>
  <c r="J51" i="3"/>
  <c r="L46" i="2"/>
  <c r="N51" i="3" s="1"/>
  <c r="I46" i="2"/>
  <c r="K51" i="3" s="1"/>
  <c r="D43" i="2"/>
  <c r="S44" i="2"/>
  <c r="T44" i="2" s="1"/>
  <c r="B45" i="2"/>
  <c r="C45" i="2" s="1"/>
  <c r="H32" i="7"/>
  <c r="E32" i="7"/>
  <c r="A49" i="7"/>
  <c r="I49" i="7"/>
  <c r="D48" i="7"/>
  <c r="A46" i="2"/>
  <c r="N47" i="2" s="1"/>
  <c r="A50" i="3"/>
  <c r="B48" i="3"/>
  <c r="S60" i="9" l="1"/>
  <c r="T60" i="9" s="1"/>
  <c r="B65" i="10"/>
  <c r="O51" i="3"/>
  <c r="P51" i="3"/>
  <c r="C48" i="3"/>
  <c r="D60" i="9"/>
  <c r="C65" i="10" s="1"/>
  <c r="N62" i="9"/>
  <c r="J67" i="10" s="1"/>
  <c r="J62" i="9"/>
  <c r="L67" i="10" s="1"/>
  <c r="P62" i="9"/>
  <c r="O67" i="10" s="1"/>
  <c r="A62" i="9"/>
  <c r="A67" i="10" s="1"/>
  <c r="M62" i="9"/>
  <c r="I67" i="10" s="1"/>
  <c r="I62" i="9"/>
  <c r="K67" i="10" s="1"/>
  <c r="Q62" i="9"/>
  <c r="P67" i="10" s="1"/>
  <c r="L62" i="9"/>
  <c r="N67" i="10" s="1"/>
  <c r="B61" i="9"/>
  <c r="C61" i="9" s="1"/>
  <c r="Q47" i="2"/>
  <c r="J52" i="3"/>
  <c r="L47" i="2"/>
  <c r="N52" i="3" s="1"/>
  <c r="I47" i="2"/>
  <c r="K52" i="3" s="1"/>
  <c r="P47" i="2"/>
  <c r="M47" i="2"/>
  <c r="I52" i="3" s="1"/>
  <c r="J47" i="2"/>
  <c r="L52" i="3" s="1"/>
  <c r="D44" i="2"/>
  <c r="S45" i="2"/>
  <c r="T45" i="2" s="1"/>
  <c r="B46" i="2"/>
  <c r="C46" i="2" s="1"/>
  <c r="G33" i="7"/>
  <c r="L50" i="7"/>
  <c r="K50" i="7"/>
  <c r="A50" i="7"/>
  <c r="D49" i="7"/>
  <c r="I50" i="7"/>
  <c r="A47" i="2"/>
  <c r="N48" i="2" s="1"/>
  <c r="A51" i="3"/>
  <c r="B49" i="3"/>
  <c r="S61" i="9" l="1"/>
  <c r="T61" i="9" s="1"/>
  <c r="B66" i="10"/>
  <c r="O52" i="3"/>
  <c r="P52" i="3"/>
  <c r="C49" i="3"/>
  <c r="D61" i="9"/>
  <c r="C66" i="10" s="1"/>
  <c r="Q63" i="9"/>
  <c r="P68" i="10" s="1"/>
  <c r="M63" i="9"/>
  <c r="I68" i="10" s="1"/>
  <c r="P63" i="9"/>
  <c r="O68" i="10" s="1"/>
  <c r="A63" i="9"/>
  <c r="A68" i="10" s="1"/>
  <c r="L63" i="9"/>
  <c r="N68" i="10" s="1"/>
  <c r="N63" i="9"/>
  <c r="J68" i="10" s="1"/>
  <c r="J63" i="9"/>
  <c r="L68" i="10" s="1"/>
  <c r="I63" i="9"/>
  <c r="K68" i="10" s="1"/>
  <c r="B62" i="9"/>
  <c r="C62" i="9" s="1"/>
  <c r="P48" i="2"/>
  <c r="M48" i="2"/>
  <c r="I53" i="3" s="1"/>
  <c r="J48" i="2"/>
  <c r="L53" i="3" s="1"/>
  <c r="Q48" i="2"/>
  <c r="J53" i="3"/>
  <c r="L48" i="2"/>
  <c r="N53" i="3" s="1"/>
  <c r="I48" i="2"/>
  <c r="K53" i="3" s="1"/>
  <c r="D45" i="2"/>
  <c r="S46" i="2"/>
  <c r="T46" i="2" s="1"/>
  <c r="B47" i="2"/>
  <c r="C47" i="2" s="1"/>
  <c r="F33" i="7"/>
  <c r="K51" i="7"/>
  <c r="A51" i="7"/>
  <c r="D50" i="7"/>
  <c r="L51" i="7"/>
  <c r="I51" i="7"/>
  <c r="A48" i="2"/>
  <c r="A52" i="3"/>
  <c r="B50" i="3"/>
  <c r="S62" i="9" l="1"/>
  <c r="T62" i="9" s="1"/>
  <c r="B67" i="10"/>
  <c r="O53" i="3"/>
  <c r="P53" i="3"/>
  <c r="C50" i="3"/>
  <c r="D62" i="9"/>
  <c r="C67" i="10" s="1"/>
  <c r="P64" i="9"/>
  <c r="O69" i="10" s="1"/>
  <c r="Q64" i="9"/>
  <c r="P69" i="10" s="1"/>
  <c r="N64" i="9"/>
  <c r="J69" i="10" s="1"/>
  <c r="A64" i="9"/>
  <c r="A69" i="10" s="1"/>
  <c r="L64" i="9"/>
  <c r="N69" i="10" s="1"/>
  <c r="J64" i="9"/>
  <c r="L69" i="10" s="1"/>
  <c r="I64" i="9"/>
  <c r="K69" i="10" s="1"/>
  <c r="M64" i="9"/>
  <c r="I69" i="10" s="1"/>
  <c r="B63" i="9"/>
  <c r="C63" i="9" s="1"/>
  <c r="K49" i="2"/>
  <c r="M54" i="3" s="1"/>
  <c r="N49" i="2"/>
  <c r="AE4" i="2" s="1"/>
  <c r="M49" i="2"/>
  <c r="I54" i="3" s="1"/>
  <c r="I49" i="2"/>
  <c r="K54" i="3" s="1"/>
  <c r="J54" i="3"/>
  <c r="L49" i="2"/>
  <c r="N54" i="3" s="1"/>
  <c r="J49" i="2"/>
  <c r="L54" i="3" s="1"/>
  <c r="D46" i="2"/>
  <c r="S47" i="2"/>
  <c r="T47" i="2" s="1"/>
  <c r="B48" i="2"/>
  <c r="C48" i="2" s="1"/>
  <c r="H33" i="7"/>
  <c r="E33" i="7"/>
  <c r="I52" i="7"/>
  <c r="A52" i="7"/>
  <c r="D51" i="7"/>
  <c r="K52" i="7"/>
  <c r="L52" i="7"/>
  <c r="A49" i="2"/>
  <c r="N50" i="2" s="1"/>
  <c r="A53" i="3"/>
  <c r="B51" i="3"/>
  <c r="S63" i="9" l="1"/>
  <c r="T63" i="9" s="1"/>
  <c r="B68" i="10"/>
  <c r="C51" i="3"/>
  <c r="I65" i="9"/>
  <c r="K70" i="10" s="1"/>
  <c r="J65" i="9"/>
  <c r="L70" i="10" s="1"/>
  <c r="Q65" i="9"/>
  <c r="P70" i="10" s="1"/>
  <c r="N65" i="9"/>
  <c r="J70" i="10" s="1"/>
  <c r="A65" i="9"/>
  <c r="A70" i="10" s="1"/>
  <c r="L65" i="9"/>
  <c r="N70" i="10" s="1"/>
  <c r="P65" i="9"/>
  <c r="O70" i="10" s="1"/>
  <c r="M65" i="9"/>
  <c r="I70" i="10" s="1"/>
  <c r="B64" i="9"/>
  <c r="C64" i="9" s="1"/>
  <c r="D63" i="9"/>
  <c r="C68" i="10" s="1"/>
  <c r="Y4" i="2"/>
  <c r="Z4" i="2" s="1"/>
  <c r="Q50" i="2"/>
  <c r="J55" i="3"/>
  <c r="L50" i="2"/>
  <c r="N55" i="3" s="1"/>
  <c r="I50" i="2"/>
  <c r="K55" i="3" s="1"/>
  <c r="P50" i="2"/>
  <c r="M50" i="2"/>
  <c r="I55" i="3" s="1"/>
  <c r="J50" i="2"/>
  <c r="L55" i="3" s="1"/>
  <c r="D47" i="2"/>
  <c r="S48" i="2"/>
  <c r="T48" i="2" s="1"/>
  <c r="B49" i="2"/>
  <c r="C49" i="2" s="1"/>
  <c r="G34" i="7"/>
  <c r="K53" i="7"/>
  <c r="I53" i="7"/>
  <c r="D52" i="7"/>
  <c r="L53" i="7"/>
  <c r="A53" i="7"/>
  <c r="A54" i="3"/>
  <c r="A50" i="2"/>
  <c r="N51" i="2" s="1"/>
  <c r="S64" i="9" l="1"/>
  <c r="T64" i="9" s="1"/>
  <c r="B69" i="10"/>
  <c r="O55" i="3"/>
  <c r="P55" i="3"/>
  <c r="C52" i="3"/>
  <c r="L66" i="9"/>
  <c r="N71" i="10" s="1"/>
  <c r="A66" i="9"/>
  <c r="A71" i="10" s="1"/>
  <c r="Q66" i="9"/>
  <c r="P71" i="10" s="1"/>
  <c r="N66" i="9"/>
  <c r="J71" i="10" s="1"/>
  <c r="M66" i="9"/>
  <c r="I71" i="10" s="1"/>
  <c r="J66" i="9"/>
  <c r="L71" i="10" s="1"/>
  <c r="I66" i="9"/>
  <c r="K71" i="10" s="1"/>
  <c r="P66" i="9"/>
  <c r="O71" i="10" s="1"/>
  <c r="B65" i="9"/>
  <c r="C65" i="9" s="1"/>
  <c r="D64" i="9"/>
  <c r="C69" i="10" s="1"/>
  <c r="P51" i="2"/>
  <c r="M51" i="2"/>
  <c r="I56" i="3" s="1"/>
  <c r="J51" i="2"/>
  <c r="L56" i="3" s="1"/>
  <c r="Q51" i="2"/>
  <c r="J56" i="3"/>
  <c r="L51" i="2"/>
  <c r="N56" i="3" s="1"/>
  <c r="I51" i="2"/>
  <c r="K56" i="3" s="1"/>
  <c r="D48" i="2"/>
  <c r="S49" i="2"/>
  <c r="T49" i="2" s="1"/>
  <c r="B50" i="2"/>
  <c r="C50" i="2" s="1"/>
  <c r="F34" i="7"/>
  <c r="H34" i="7" s="1"/>
  <c r="L54" i="7"/>
  <c r="I54" i="7"/>
  <c r="D53" i="7"/>
  <c r="K54" i="7"/>
  <c r="A54" i="7"/>
  <c r="A51" i="2"/>
  <c r="N52" i="2" s="1"/>
  <c r="A55" i="3"/>
  <c r="S65" i="9" l="1"/>
  <c r="T65" i="9" s="1"/>
  <c r="B70" i="10"/>
  <c r="O56" i="3"/>
  <c r="D65" i="9"/>
  <c r="C70" i="10" s="1"/>
  <c r="P56" i="3"/>
  <c r="C53" i="3"/>
  <c r="N67" i="9"/>
  <c r="J72" i="10" s="1"/>
  <c r="J67" i="9"/>
  <c r="L72" i="10" s="1"/>
  <c r="L67" i="9"/>
  <c r="N72" i="10" s="1"/>
  <c r="I67" i="9"/>
  <c r="K72" i="10" s="1"/>
  <c r="Q67" i="9"/>
  <c r="P72" i="10" s="1"/>
  <c r="A67" i="9"/>
  <c r="A72" i="10" s="1"/>
  <c r="P67" i="9"/>
  <c r="O72" i="10" s="1"/>
  <c r="M67" i="9"/>
  <c r="I72" i="10" s="1"/>
  <c r="B66" i="9"/>
  <c r="C66" i="9" s="1"/>
  <c r="Q52" i="2"/>
  <c r="J57" i="3"/>
  <c r="L52" i="2"/>
  <c r="N57" i="3" s="1"/>
  <c r="I52" i="2"/>
  <c r="K57" i="3" s="1"/>
  <c r="P52" i="2"/>
  <c r="M52" i="2"/>
  <c r="I57" i="3" s="1"/>
  <c r="J52" i="2"/>
  <c r="L57" i="3" s="1"/>
  <c r="D49" i="2"/>
  <c r="S50" i="2"/>
  <c r="T50" i="2" s="1"/>
  <c r="B51" i="2"/>
  <c r="C51" i="2" s="1"/>
  <c r="E34" i="7"/>
  <c r="I55" i="7"/>
  <c r="D54" i="7"/>
  <c r="K55" i="7"/>
  <c r="A55" i="7"/>
  <c r="L55" i="7"/>
  <c r="A56" i="3"/>
  <c r="A52" i="2"/>
  <c r="N53" i="2" s="1"/>
  <c r="B54" i="3"/>
  <c r="S66" i="9" l="1"/>
  <c r="T66" i="9" s="1"/>
  <c r="B71" i="10"/>
  <c r="O57" i="3"/>
  <c r="P57" i="3"/>
  <c r="C54" i="3"/>
  <c r="Q68" i="9"/>
  <c r="P73" i="10" s="1"/>
  <c r="M68" i="9"/>
  <c r="I73" i="10" s="1"/>
  <c r="P68" i="9"/>
  <c r="O73" i="10" s="1"/>
  <c r="A68" i="9"/>
  <c r="A73" i="10" s="1"/>
  <c r="N68" i="9"/>
  <c r="J73" i="10" s="1"/>
  <c r="L68" i="9"/>
  <c r="N73" i="10" s="1"/>
  <c r="I68" i="9"/>
  <c r="K73" i="10" s="1"/>
  <c r="J68" i="9"/>
  <c r="L73" i="10" s="1"/>
  <c r="B67" i="9"/>
  <c r="C67" i="9" s="1"/>
  <c r="D66" i="9"/>
  <c r="C71" i="10" s="1"/>
  <c r="P53" i="2"/>
  <c r="M53" i="2"/>
  <c r="I58" i="3" s="1"/>
  <c r="J53" i="2"/>
  <c r="L58" i="3" s="1"/>
  <c r="Q53" i="2"/>
  <c r="J58" i="3"/>
  <c r="L53" i="2"/>
  <c r="N58" i="3" s="1"/>
  <c r="I53" i="2"/>
  <c r="K58" i="3" s="1"/>
  <c r="D50" i="2"/>
  <c r="S51" i="2"/>
  <c r="T51" i="2" s="1"/>
  <c r="B52" i="2"/>
  <c r="C52" i="2" s="1"/>
  <c r="G35" i="7"/>
  <c r="I56" i="7"/>
  <c r="A56" i="7"/>
  <c r="D55" i="7"/>
  <c r="K56" i="7"/>
  <c r="L56" i="7"/>
  <c r="A53" i="2"/>
  <c r="N54" i="2" s="1"/>
  <c r="A57" i="3"/>
  <c r="B55" i="3"/>
  <c r="S67" i="9" l="1"/>
  <c r="T67" i="9" s="1"/>
  <c r="B72" i="10"/>
  <c r="O58" i="3"/>
  <c r="P58" i="3"/>
  <c r="C55" i="3"/>
  <c r="D67" i="9"/>
  <c r="C72" i="10" s="1"/>
  <c r="P69" i="9"/>
  <c r="O74" i="10" s="1"/>
  <c r="M69" i="9"/>
  <c r="I74" i="10" s="1"/>
  <c r="L69" i="9"/>
  <c r="N74" i="10" s="1"/>
  <c r="I69" i="9"/>
  <c r="K74" i="10" s="1"/>
  <c r="A69" i="9"/>
  <c r="A74" i="10" s="1"/>
  <c r="N69" i="9"/>
  <c r="J74" i="10" s="1"/>
  <c r="J69" i="9"/>
  <c r="L74" i="10" s="1"/>
  <c r="Q69" i="9"/>
  <c r="P74" i="10" s="1"/>
  <c r="B68" i="9"/>
  <c r="C68" i="9" s="1"/>
  <c r="Q54" i="2"/>
  <c r="J59" i="3"/>
  <c r="L54" i="2"/>
  <c r="N59" i="3" s="1"/>
  <c r="I54" i="2"/>
  <c r="K59" i="3" s="1"/>
  <c r="P54" i="2"/>
  <c r="M54" i="2"/>
  <c r="I59" i="3" s="1"/>
  <c r="J54" i="2"/>
  <c r="L59" i="3" s="1"/>
  <c r="S52" i="2"/>
  <c r="T52" i="2" s="1"/>
  <c r="D51" i="2"/>
  <c r="B53" i="2"/>
  <c r="C53" i="2" s="1"/>
  <c r="F35" i="7"/>
  <c r="H35" i="7" s="1"/>
  <c r="K57" i="7"/>
  <c r="I57" i="7"/>
  <c r="A57" i="7"/>
  <c r="L57" i="7"/>
  <c r="D56" i="7"/>
  <c r="A54" i="2"/>
  <c r="N55" i="2" s="1"/>
  <c r="A58" i="3"/>
  <c r="B56" i="3"/>
  <c r="S68" i="9" l="1"/>
  <c r="T68" i="9" s="1"/>
  <c r="B73" i="10"/>
  <c r="O59" i="3"/>
  <c r="D68" i="9"/>
  <c r="C73" i="10" s="1"/>
  <c r="P59" i="3"/>
  <c r="C56" i="3"/>
  <c r="I70" i="9"/>
  <c r="K75" i="10" s="1"/>
  <c r="Q70" i="9"/>
  <c r="P75" i="10" s="1"/>
  <c r="P70" i="9"/>
  <c r="O75" i="10" s="1"/>
  <c r="N70" i="9"/>
  <c r="J75" i="10" s="1"/>
  <c r="A70" i="9"/>
  <c r="A75" i="10" s="1"/>
  <c r="L70" i="9"/>
  <c r="N75" i="10" s="1"/>
  <c r="M70" i="9"/>
  <c r="I75" i="10" s="1"/>
  <c r="J70" i="9"/>
  <c r="L75" i="10" s="1"/>
  <c r="B69" i="9"/>
  <c r="C69" i="9" s="1"/>
  <c r="P55" i="2"/>
  <c r="M55" i="2"/>
  <c r="I60" i="3" s="1"/>
  <c r="J55" i="2"/>
  <c r="L60" i="3" s="1"/>
  <c r="Q55" i="2"/>
  <c r="J60" i="3"/>
  <c r="L55" i="2"/>
  <c r="N60" i="3" s="1"/>
  <c r="I55" i="2"/>
  <c r="K60" i="3" s="1"/>
  <c r="S53" i="2"/>
  <c r="T53" i="2" s="1"/>
  <c r="D52" i="2"/>
  <c r="B54" i="2"/>
  <c r="C54" i="2" s="1"/>
  <c r="E35" i="7"/>
  <c r="L58" i="7"/>
  <c r="I58" i="7"/>
  <c r="A58" i="7"/>
  <c r="K58" i="7"/>
  <c r="D57" i="7"/>
  <c r="A55" i="2"/>
  <c r="N56" i="2" s="1"/>
  <c r="A59" i="3"/>
  <c r="B57" i="3"/>
  <c r="S69" i="9" l="1"/>
  <c r="T69" i="9" s="1"/>
  <c r="B74" i="10"/>
  <c r="O60" i="3"/>
  <c r="P60" i="3"/>
  <c r="C57" i="3"/>
  <c r="L71" i="9"/>
  <c r="N76" i="10" s="1"/>
  <c r="A71" i="9"/>
  <c r="A76" i="10" s="1"/>
  <c r="J71" i="9"/>
  <c r="L76" i="10" s="1"/>
  <c r="Q71" i="9"/>
  <c r="P76" i="10" s="1"/>
  <c r="N71" i="9"/>
  <c r="J76" i="10" s="1"/>
  <c r="M71" i="9"/>
  <c r="I76" i="10" s="1"/>
  <c r="I71" i="9"/>
  <c r="K76" i="10" s="1"/>
  <c r="P71" i="9"/>
  <c r="O76" i="10" s="1"/>
  <c r="B70" i="9"/>
  <c r="C70" i="9" s="1"/>
  <c r="D69" i="9"/>
  <c r="C74" i="10" s="1"/>
  <c r="Q56" i="2"/>
  <c r="J61" i="3"/>
  <c r="L56" i="2"/>
  <c r="N61" i="3" s="1"/>
  <c r="I56" i="2"/>
  <c r="K61" i="3" s="1"/>
  <c r="P56" i="2"/>
  <c r="M56" i="2"/>
  <c r="I61" i="3" s="1"/>
  <c r="J56" i="2"/>
  <c r="L61" i="3" s="1"/>
  <c r="D53" i="2"/>
  <c r="S54" i="2"/>
  <c r="T54" i="2" s="1"/>
  <c r="B55" i="2"/>
  <c r="C55" i="2" s="1"/>
  <c r="G36" i="7"/>
  <c r="L59" i="7"/>
  <c r="I59" i="7"/>
  <c r="A59" i="7"/>
  <c r="D58" i="7"/>
  <c r="K59" i="7"/>
  <c r="A56" i="2"/>
  <c r="N57" i="2" s="1"/>
  <c r="A60" i="3"/>
  <c r="B58" i="3"/>
  <c r="S70" i="9" l="1"/>
  <c r="T70" i="9" s="1"/>
  <c r="B75" i="10"/>
  <c r="O61" i="3"/>
  <c r="P61" i="3"/>
  <c r="C58" i="3"/>
  <c r="N72" i="9"/>
  <c r="J77" i="10" s="1"/>
  <c r="M72" i="9"/>
  <c r="I77" i="10" s="1"/>
  <c r="J72" i="9"/>
  <c r="L77" i="10" s="1"/>
  <c r="P72" i="9"/>
  <c r="O77" i="10" s="1"/>
  <c r="L72" i="9"/>
  <c r="N77" i="10" s="1"/>
  <c r="Q72" i="9"/>
  <c r="P77" i="10" s="1"/>
  <c r="A72" i="9"/>
  <c r="A77" i="10" s="1"/>
  <c r="I72" i="9"/>
  <c r="K77" i="10" s="1"/>
  <c r="B71" i="9"/>
  <c r="C71" i="9" s="1"/>
  <c r="D70" i="9"/>
  <c r="C75" i="10" s="1"/>
  <c r="P57" i="2"/>
  <c r="M57" i="2"/>
  <c r="I62" i="3" s="1"/>
  <c r="J57" i="2"/>
  <c r="L62" i="3" s="1"/>
  <c r="Q57" i="2"/>
  <c r="J62" i="3"/>
  <c r="L57" i="2"/>
  <c r="N62" i="3" s="1"/>
  <c r="I57" i="2"/>
  <c r="K62" i="3" s="1"/>
  <c r="D54" i="2"/>
  <c r="S55" i="2"/>
  <c r="T55" i="2" s="1"/>
  <c r="B56" i="2"/>
  <c r="C56" i="2" s="1"/>
  <c r="F36" i="7"/>
  <c r="I60" i="7"/>
  <c r="A60" i="7"/>
  <c r="D59" i="7"/>
  <c r="L60" i="7"/>
  <c r="K60" i="7"/>
  <c r="A57" i="2"/>
  <c r="N58" i="2" s="1"/>
  <c r="A61" i="3"/>
  <c r="B59" i="3"/>
  <c r="S71" i="9" l="1"/>
  <c r="T71" i="9" s="1"/>
  <c r="B76" i="10"/>
  <c r="O62" i="3"/>
  <c r="P62" i="3"/>
  <c r="C59" i="3"/>
  <c r="D71" i="9"/>
  <c r="C76" i="10" s="1"/>
  <c r="P73" i="9"/>
  <c r="O78" i="10" s="1"/>
  <c r="L73" i="9"/>
  <c r="N78" i="10" s="1"/>
  <c r="I73" i="9"/>
  <c r="K78" i="10" s="1"/>
  <c r="Q73" i="9"/>
  <c r="P78" i="10" s="1"/>
  <c r="A73" i="9"/>
  <c r="A78" i="10" s="1"/>
  <c r="M73" i="9"/>
  <c r="I78" i="10" s="1"/>
  <c r="J73" i="9"/>
  <c r="L78" i="10" s="1"/>
  <c r="B72" i="9"/>
  <c r="C72" i="9" s="1"/>
  <c r="Q58" i="2"/>
  <c r="J63" i="3"/>
  <c r="L58" i="2"/>
  <c r="N63" i="3" s="1"/>
  <c r="I58" i="2"/>
  <c r="K63" i="3" s="1"/>
  <c r="P58" i="2"/>
  <c r="M58" i="2"/>
  <c r="I63" i="3" s="1"/>
  <c r="J58" i="2"/>
  <c r="L63" i="3" s="1"/>
  <c r="D55" i="2"/>
  <c r="S56" i="2"/>
  <c r="T56" i="2" s="1"/>
  <c r="B57" i="2"/>
  <c r="C57" i="2" s="1"/>
  <c r="H36" i="7"/>
  <c r="E36" i="7"/>
  <c r="A61" i="7"/>
  <c r="D60" i="7"/>
  <c r="I61" i="7"/>
  <c r="A58" i="2"/>
  <c r="N59" i="2" s="1"/>
  <c r="A62" i="3"/>
  <c r="B60" i="3"/>
  <c r="S72" i="9" l="1"/>
  <c r="T72" i="9" s="1"/>
  <c r="B77" i="10"/>
  <c r="O63" i="3"/>
  <c r="P63" i="3"/>
  <c r="C60" i="3"/>
  <c r="D72" i="9"/>
  <c r="C77" i="10" s="1"/>
  <c r="Q74" i="9"/>
  <c r="P79" i="10" s="1"/>
  <c r="N74" i="9"/>
  <c r="J79" i="10" s="1"/>
  <c r="A74" i="9"/>
  <c r="A79" i="10" s="1"/>
  <c r="M74" i="9"/>
  <c r="I79" i="10" s="1"/>
  <c r="L74" i="9"/>
  <c r="N79" i="10" s="1"/>
  <c r="J74" i="9"/>
  <c r="L79" i="10" s="1"/>
  <c r="I74" i="9"/>
  <c r="K79" i="10" s="1"/>
  <c r="P74" i="9"/>
  <c r="O79" i="10" s="1"/>
  <c r="B73" i="9"/>
  <c r="C73" i="9" s="1"/>
  <c r="P59" i="2"/>
  <c r="M59" i="2"/>
  <c r="I64" i="3" s="1"/>
  <c r="J59" i="2"/>
  <c r="L64" i="3" s="1"/>
  <c r="Q59" i="2"/>
  <c r="J64" i="3"/>
  <c r="L59" i="2"/>
  <c r="N64" i="3" s="1"/>
  <c r="I59" i="2"/>
  <c r="K64" i="3" s="1"/>
  <c r="D56" i="2"/>
  <c r="S57" i="2"/>
  <c r="T57" i="2" s="1"/>
  <c r="B58" i="2"/>
  <c r="C58" i="2" s="1"/>
  <c r="G37" i="7"/>
  <c r="L62" i="7"/>
  <c r="A62" i="7"/>
  <c r="D61" i="7"/>
  <c r="K62" i="7"/>
  <c r="I62" i="7"/>
  <c r="A59" i="2"/>
  <c r="N60" i="2" s="1"/>
  <c r="A63" i="3"/>
  <c r="B61" i="3"/>
  <c r="S73" i="9" l="1"/>
  <c r="T73" i="9" s="1"/>
  <c r="B78" i="10"/>
  <c r="O64" i="3"/>
  <c r="P64" i="3"/>
  <c r="C61" i="3"/>
  <c r="Q75" i="9"/>
  <c r="P80" i="10" s="1"/>
  <c r="M75" i="9"/>
  <c r="I80" i="10" s="1"/>
  <c r="P75" i="9"/>
  <c r="O80" i="10" s="1"/>
  <c r="L75" i="9"/>
  <c r="N80" i="10" s="1"/>
  <c r="J75" i="9"/>
  <c r="L80" i="10" s="1"/>
  <c r="I75" i="9"/>
  <c r="K80" i="10" s="1"/>
  <c r="A75" i="9"/>
  <c r="A80" i="10" s="1"/>
  <c r="N75" i="9"/>
  <c r="J80" i="10" s="1"/>
  <c r="B74" i="9"/>
  <c r="C74" i="9" s="1"/>
  <c r="D73" i="9"/>
  <c r="C78" i="10" s="1"/>
  <c r="Q60" i="2"/>
  <c r="J65" i="3"/>
  <c r="L60" i="2"/>
  <c r="N65" i="3" s="1"/>
  <c r="I60" i="2"/>
  <c r="K65" i="3" s="1"/>
  <c r="P60" i="2"/>
  <c r="M60" i="2"/>
  <c r="I65" i="3" s="1"/>
  <c r="J60" i="2"/>
  <c r="L65" i="3" s="1"/>
  <c r="D57" i="2"/>
  <c r="S58" i="2"/>
  <c r="T58" i="2" s="1"/>
  <c r="B59" i="2"/>
  <c r="C59" i="2" s="1"/>
  <c r="F37" i="7"/>
  <c r="L63" i="7"/>
  <c r="A63" i="7"/>
  <c r="K63" i="7"/>
  <c r="D62" i="7"/>
  <c r="I63" i="7"/>
  <c r="A60" i="2"/>
  <c r="A64" i="3"/>
  <c r="B62" i="3"/>
  <c r="S74" i="9" l="1"/>
  <c r="T74" i="9" s="1"/>
  <c r="B79" i="10"/>
  <c r="O65" i="3"/>
  <c r="P65" i="3"/>
  <c r="C62" i="3"/>
  <c r="J76" i="9"/>
  <c r="L81" i="10" s="1"/>
  <c r="I76" i="9"/>
  <c r="K81" i="10" s="1"/>
  <c r="P76" i="9"/>
  <c r="O81" i="10" s="1"/>
  <c r="Q76" i="9"/>
  <c r="P81" i="10" s="1"/>
  <c r="N76" i="9"/>
  <c r="J81" i="10" s="1"/>
  <c r="L76" i="9"/>
  <c r="N81" i="10" s="1"/>
  <c r="A76" i="9"/>
  <c r="A81" i="10" s="1"/>
  <c r="M76" i="9"/>
  <c r="I81" i="10" s="1"/>
  <c r="B75" i="9"/>
  <c r="C75" i="9" s="1"/>
  <c r="D74" i="9"/>
  <c r="C79" i="10" s="1"/>
  <c r="K61" i="2"/>
  <c r="M66" i="3" s="1"/>
  <c r="N61" i="2"/>
  <c r="AE5" i="2" s="1"/>
  <c r="L61" i="2"/>
  <c r="N66" i="3" s="1"/>
  <c r="J61" i="2"/>
  <c r="L66" i="3" s="1"/>
  <c r="M61" i="2"/>
  <c r="I66" i="3" s="1"/>
  <c r="I61" i="2"/>
  <c r="K66" i="3" s="1"/>
  <c r="D58" i="2"/>
  <c r="S59" i="2"/>
  <c r="T59" i="2" s="1"/>
  <c r="B60" i="2"/>
  <c r="C60" i="2" s="1"/>
  <c r="H37" i="7"/>
  <c r="E37" i="7"/>
  <c r="I64" i="7"/>
  <c r="A64" i="7"/>
  <c r="D63" i="7"/>
  <c r="L64" i="7"/>
  <c r="K64" i="7"/>
  <c r="A65" i="3"/>
  <c r="A61" i="2"/>
  <c r="N62" i="2" s="1"/>
  <c r="B63" i="3"/>
  <c r="Y5" i="2" l="1"/>
  <c r="Z5" i="2" s="1"/>
  <c r="S75" i="9"/>
  <c r="T75" i="9" s="1"/>
  <c r="B80" i="10"/>
  <c r="D75" i="9"/>
  <c r="C80" i="10" s="1"/>
  <c r="C63" i="3"/>
  <c r="M77" i="9"/>
  <c r="I82" i="10" s="1"/>
  <c r="L77" i="9"/>
  <c r="N82" i="10" s="1"/>
  <c r="A77" i="9"/>
  <c r="A82" i="10" s="1"/>
  <c r="I77" i="9"/>
  <c r="K82" i="10" s="1"/>
  <c r="P77" i="9"/>
  <c r="O82" i="10" s="1"/>
  <c r="N77" i="9"/>
  <c r="J82" i="10" s="1"/>
  <c r="Q77" i="9"/>
  <c r="P82" i="10" s="1"/>
  <c r="J77" i="9"/>
  <c r="L82" i="10" s="1"/>
  <c r="B76" i="9"/>
  <c r="C76" i="9" s="1"/>
  <c r="J66" i="3"/>
  <c r="P62" i="2"/>
  <c r="M62" i="2"/>
  <c r="I67" i="3" s="1"/>
  <c r="J62" i="2"/>
  <c r="L67" i="3" s="1"/>
  <c r="Q62" i="2"/>
  <c r="J67" i="3"/>
  <c r="L62" i="2"/>
  <c r="N67" i="3" s="1"/>
  <c r="I62" i="2"/>
  <c r="K67" i="3" s="1"/>
  <c r="D59" i="2"/>
  <c r="S60" i="2"/>
  <c r="T60" i="2" s="1"/>
  <c r="B61" i="2"/>
  <c r="C61" i="2" s="1"/>
  <c r="G38" i="7"/>
  <c r="K65" i="7"/>
  <c r="L65" i="7"/>
  <c r="I65" i="7"/>
  <c r="D64" i="7"/>
  <c r="A65" i="7"/>
  <c r="A62" i="2"/>
  <c r="N63" i="2" s="1"/>
  <c r="A66" i="3"/>
  <c r="B64" i="3"/>
  <c r="S76" i="9" l="1"/>
  <c r="T76" i="9" s="1"/>
  <c r="B81" i="10"/>
  <c r="O67" i="3"/>
  <c r="D76" i="9"/>
  <c r="C81" i="10" s="1"/>
  <c r="P67" i="3"/>
  <c r="C64" i="3"/>
  <c r="L78" i="9"/>
  <c r="N83" i="10" s="1"/>
  <c r="Q78" i="9"/>
  <c r="P83" i="10" s="1"/>
  <c r="P78" i="9"/>
  <c r="O83" i="10" s="1"/>
  <c r="M78" i="9"/>
  <c r="I83" i="10" s="1"/>
  <c r="A78" i="9"/>
  <c r="A83" i="10" s="1"/>
  <c r="N78" i="9"/>
  <c r="J83" i="10" s="1"/>
  <c r="J78" i="9"/>
  <c r="L83" i="10" s="1"/>
  <c r="I78" i="9"/>
  <c r="K83" i="10" s="1"/>
  <c r="B77" i="9"/>
  <c r="C77" i="9" s="1"/>
  <c r="Q63" i="2"/>
  <c r="J68" i="3"/>
  <c r="L63" i="2"/>
  <c r="N68" i="3" s="1"/>
  <c r="I63" i="2"/>
  <c r="K68" i="3" s="1"/>
  <c r="P63" i="2"/>
  <c r="M63" i="2"/>
  <c r="I68" i="3" s="1"/>
  <c r="J63" i="2"/>
  <c r="L68" i="3" s="1"/>
  <c r="D60" i="2"/>
  <c r="S61" i="2"/>
  <c r="T61" i="2" s="1"/>
  <c r="B62" i="2"/>
  <c r="C62" i="2" s="1"/>
  <c r="F38" i="7"/>
  <c r="L66" i="7"/>
  <c r="K66" i="7"/>
  <c r="I66" i="7"/>
  <c r="A66" i="7"/>
  <c r="D65" i="7"/>
  <c r="A63" i="2"/>
  <c r="N64" i="2" s="1"/>
  <c r="A67" i="3"/>
  <c r="B65" i="3"/>
  <c r="S77" i="9" l="1"/>
  <c r="T77" i="9" s="1"/>
  <c r="B82" i="10"/>
  <c r="O68" i="3"/>
  <c r="P68" i="3"/>
  <c r="C65" i="3"/>
  <c r="N79" i="9"/>
  <c r="J84" i="10" s="1"/>
  <c r="M79" i="9"/>
  <c r="I84" i="10" s="1"/>
  <c r="A79" i="9"/>
  <c r="A84" i="10" s="1"/>
  <c r="P79" i="9"/>
  <c r="O84" i="10" s="1"/>
  <c r="L79" i="9"/>
  <c r="N84" i="10" s="1"/>
  <c r="I79" i="9"/>
  <c r="K84" i="10" s="1"/>
  <c r="Q79" i="9"/>
  <c r="P84" i="10" s="1"/>
  <c r="J79" i="9"/>
  <c r="L84" i="10" s="1"/>
  <c r="B78" i="9"/>
  <c r="C78" i="9" s="1"/>
  <c r="D77" i="9"/>
  <c r="C82" i="10" s="1"/>
  <c r="P64" i="2"/>
  <c r="M64" i="2"/>
  <c r="I69" i="3" s="1"/>
  <c r="J64" i="2"/>
  <c r="L69" i="3" s="1"/>
  <c r="Q64" i="2"/>
  <c r="J69" i="3"/>
  <c r="L64" i="2"/>
  <c r="N69" i="3" s="1"/>
  <c r="I64" i="2"/>
  <c r="K69" i="3" s="1"/>
  <c r="D61" i="2"/>
  <c r="S62" i="2"/>
  <c r="T62" i="2" s="1"/>
  <c r="B63" i="2"/>
  <c r="C63" i="2" s="1"/>
  <c r="H38" i="7"/>
  <c r="E38" i="7"/>
  <c r="K67" i="7"/>
  <c r="I67" i="7"/>
  <c r="A67" i="7"/>
  <c r="L67" i="7"/>
  <c r="D66" i="7"/>
  <c r="A68" i="3"/>
  <c r="A64" i="2"/>
  <c r="N65" i="2" s="1"/>
  <c r="B66" i="3"/>
  <c r="S78" i="9" l="1"/>
  <c r="T78" i="9" s="1"/>
  <c r="B83" i="10"/>
  <c r="O69" i="3"/>
  <c r="P69" i="3"/>
  <c r="C66" i="3"/>
  <c r="Q80" i="9"/>
  <c r="P85" i="10" s="1"/>
  <c r="M80" i="9"/>
  <c r="I85" i="10" s="1"/>
  <c r="A80" i="9"/>
  <c r="A85" i="10" s="1"/>
  <c r="L80" i="9"/>
  <c r="N85" i="10" s="1"/>
  <c r="I80" i="9"/>
  <c r="K85" i="10" s="1"/>
  <c r="P80" i="9"/>
  <c r="O85" i="10" s="1"/>
  <c r="N80" i="9"/>
  <c r="J85" i="10" s="1"/>
  <c r="J80" i="9"/>
  <c r="L85" i="10" s="1"/>
  <c r="B79" i="9"/>
  <c r="C79" i="9" s="1"/>
  <c r="D78" i="9"/>
  <c r="C83" i="10" s="1"/>
  <c r="Q65" i="2"/>
  <c r="J70" i="3"/>
  <c r="L65" i="2"/>
  <c r="N70" i="3" s="1"/>
  <c r="I65" i="2"/>
  <c r="K70" i="3" s="1"/>
  <c r="P65" i="2"/>
  <c r="M65" i="2"/>
  <c r="I70" i="3" s="1"/>
  <c r="J65" i="2"/>
  <c r="L70" i="3" s="1"/>
  <c r="D62" i="2"/>
  <c r="S63" i="2"/>
  <c r="T63" i="2" s="1"/>
  <c r="B64" i="2"/>
  <c r="C64" i="2" s="1"/>
  <c r="G39" i="7"/>
  <c r="I68" i="7"/>
  <c r="A68" i="7"/>
  <c r="D67" i="7"/>
  <c r="K68" i="7"/>
  <c r="L68" i="7"/>
  <c r="A65" i="2"/>
  <c r="N66" i="2" s="1"/>
  <c r="A69" i="3"/>
  <c r="B67" i="3"/>
  <c r="S79" i="9" l="1"/>
  <c r="T79" i="9" s="1"/>
  <c r="B84" i="10"/>
  <c r="O70" i="3"/>
  <c r="P70" i="3"/>
  <c r="C67" i="3"/>
  <c r="Q81" i="9"/>
  <c r="P86" i="10" s="1"/>
  <c r="N81" i="9"/>
  <c r="J86" i="10" s="1"/>
  <c r="J81" i="9"/>
  <c r="L86" i="10" s="1"/>
  <c r="P81" i="9"/>
  <c r="O86" i="10" s="1"/>
  <c r="M81" i="9"/>
  <c r="I86" i="10" s="1"/>
  <c r="I81" i="9"/>
  <c r="K86" i="10" s="1"/>
  <c r="A81" i="9"/>
  <c r="A86" i="10" s="1"/>
  <c r="L81" i="9"/>
  <c r="N86" i="10" s="1"/>
  <c r="B80" i="9"/>
  <c r="C80" i="9" s="1"/>
  <c r="D79" i="9"/>
  <c r="C84" i="10" s="1"/>
  <c r="P66" i="2"/>
  <c r="M66" i="2"/>
  <c r="I71" i="3" s="1"/>
  <c r="J66" i="2"/>
  <c r="L71" i="3" s="1"/>
  <c r="Q66" i="2"/>
  <c r="J71" i="3"/>
  <c r="L66" i="2"/>
  <c r="N71" i="3" s="1"/>
  <c r="I66" i="2"/>
  <c r="K71" i="3" s="1"/>
  <c r="D63" i="2"/>
  <c r="S64" i="2"/>
  <c r="T64" i="2" s="1"/>
  <c r="B65" i="2"/>
  <c r="C65" i="2" s="1"/>
  <c r="F39" i="7"/>
  <c r="K69" i="7"/>
  <c r="I69" i="7"/>
  <c r="D68" i="7"/>
  <c r="A69" i="7"/>
  <c r="L69" i="7"/>
  <c r="A66" i="2"/>
  <c r="N67" i="2" s="1"/>
  <c r="A70" i="3"/>
  <c r="B68" i="3"/>
  <c r="S80" i="9" l="1"/>
  <c r="T80" i="9" s="1"/>
  <c r="B85" i="10"/>
  <c r="O71" i="3"/>
  <c r="P71" i="3"/>
  <c r="C68" i="3"/>
  <c r="I82" i="9"/>
  <c r="K87" i="10" s="1"/>
  <c r="J82" i="9"/>
  <c r="L87" i="10" s="1"/>
  <c r="P82" i="9"/>
  <c r="O87" i="10" s="1"/>
  <c r="Q82" i="9"/>
  <c r="P87" i="10" s="1"/>
  <c r="N82" i="9"/>
  <c r="J87" i="10" s="1"/>
  <c r="L82" i="9"/>
  <c r="N87" i="10" s="1"/>
  <c r="M82" i="9"/>
  <c r="I87" i="10" s="1"/>
  <c r="A82" i="9"/>
  <c r="A87" i="10" s="1"/>
  <c r="B81" i="9"/>
  <c r="C81" i="9" s="1"/>
  <c r="D80" i="9"/>
  <c r="C85" i="10" s="1"/>
  <c r="Q67" i="2"/>
  <c r="J72" i="3"/>
  <c r="L67" i="2"/>
  <c r="N72" i="3" s="1"/>
  <c r="I67" i="2"/>
  <c r="K72" i="3" s="1"/>
  <c r="P67" i="2"/>
  <c r="M67" i="2"/>
  <c r="I72" i="3" s="1"/>
  <c r="J67" i="2"/>
  <c r="L72" i="3" s="1"/>
  <c r="D64" i="2"/>
  <c r="S65" i="2"/>
  <c r="T65" i="2" s="1"/>
  <c r="B66" i="2"/>
  <c r="C66" i="2" s="1"/>
  <c r="H39" i="7"/>
  <c r="E39" i="7"/>
  <c r="L70" i="7"/>
  <c r="I70" i="7"/>
  <c r="D69" i="7"/>
  <c r="A70" i="7"/>
  <c r="K70" i="7"/>
  <c r="A67" i="2"/>
  <c r="N68" i="2" s="1"/>
  <c r="A71" i="3"/>
  <c r="B69" i="3"/>
  <c r="S81" i="9" l="1"/>
  <c r="T81" i="9" s="1"/>
  <c r="B86" i="10"/>
  <c r="O72" i="3"/>
  <c r="P72" i="3"/>
  <c r="C69" i="3"/>
  <c r="D81" i="9"/>
  <c r="C86" i="10" s="1"/>
  <c r="L83" i="9"/>
  <c r="N88" i="10" s="1"/>
  <c r="A83" i="9"/>
  <c r="A88" i="10" s="1"/>
  <c r="P83" i="9"/>
  <c r="O88" i="10" s="1"/>
  <c r="N83" i="9"/>
  <c r="J88" i="10" s="1"/>
  <c r="J83" i="9"/>
  <c r="L88" i="10" s="1"/>
  <c r="Q83" i="9"/>
  <c r="P88" i="10" s="1"/>
  <c r="I83" i="9"/>
  <c r="K88" i="10" s="1"/>
  <c r="M83" i="9"/>
  <c r="I88" i="10" s="1"/>
  <c r="B82" i="9"/>
  <c r="C82" i="9" s="1"/>
  <c r="P68" i="2"/>
  <c r="M68" i="2"/>
  <c r="I73" i="3" s="1"/>
  <c r="J68" i="2"/>
  <c r="L73" i="3" s="1"/>
  <c r="Q68" i="2"/>
  <c r="J73" i="3"/>
  <c r="L68" i="2"/>
  <c r="N73" i="3" s="1"/>
  <c r="I68" i="2"/>
  <c r="K73" i="3" s="1"/>
  <c r="D65" i="2"/>
  <c r="S66" i="2"/>
  <c r="T66" i="2" s="1"/>
  <c r="B67" i="2"/>
  <c r="C67" i="2" s="1"/>
  <c r="G40" i="7"/>
  <c r="I71" i="7"/>
  <c r="D70" i="7"/>
  <c r="A71" i="7"/>
  <c r="L71" i="7"/>
  <c r="K71" i="7"/>
  <c r="A68" i="2"/>
  <c r="N69" i="2" s="1"/>
  <c r="A72" i="3"/>
  <c r="B70" i="3"/>
  <c r="S82" i="9" l="1"/>
  <c r="T82" i="9" s="1"/>
  <c r="B87" i="10"/>
  <c r="O73" i="3"/>
  <c r="P73" i="3"/>
  <c r="C70" i="3"/>
  <c r="D82" i="9"/>
  <c r="C87" i="10" s="1"/>
  <c r="N84" i="9"/>
  <c r="J89" i="10" s="1"/>
  <c r="Q84" i="9"/>
  <c r="P89" i="10" s="1"/>
  <c r="L84" i="9"/>
  <c r="N89" i="10" s="1"/>
  <c r="P84" i="9"/>
  <c r="O89" i="10" s="1"/>
  <c r="J84" i="9"/>
  <c r="L89" i="10" s="1"/>
  <c r="I84" i="9"/>
  <c r="K89" i="10" s="1"/>
  <c r="A84" i="9"/>
  <c r="A89" i="10" s="1"/>
  <c r="M84" i="9"/>
  <c r="I89" i="10" s="1"/>
  <c r="B83" i="9"/>
  <c r="C83" i="9" s="1"/>
  <c r="Q69" i="2"/>
  <c r="J74" i="3"/>
  <c r="L69" i="2"/>
  <c r="N74" i="3" s="1"/>
  <c r="I69" i="2"/>
  <c r="K74" i="3" s="1"/>
  <c r="P69" i="2"/>
  <c r="M69" i="2"/>
  <c r="I74" i="3" s="1"/>
  <c r="J69" i="2"/>
  <c r="L74" i="3" s="1"/>
  <c r="D66" i="2"/>
  <c r="S67" i="2"/>
  <c r="T67" i="2" s="1"/>
  <c r="B68" i="2"/>
  <c r="C68" i="2" s="1"/>
  <c r="F40" i="7"/>
  <c r="L72" i="7"/>
  <c r="I72" i="7"/>
  <c r="A72" i="7"/>
  <c r="D71" i="7"/>
  <c r="K72" i="7"/>
  <c r="A69" i="2"/>
  <c r="N70" i="2" s="1"/>
  <c r="A73" i="3"/>
  <c r="B71" i="3"/>
  <c r="S83" i="9" l="1"/>
  <c r="T83" i="9" s="1"/>
  <c r="B88" i="10"/>
  <c r="O74" i="3"/>
  <c r="P74" i="3"/>
  <c r="C71" i="3"/>
  <c r="P85" i="9"/>
  <c r="O90" i="10" s="1"/>
  <c r="J85" i="9"/>
  <c r="L90" i="10" s="1"/>
  <c r="Q85" i="9"/>
  <c r="P90" i="10" s="1"/>
  <c r="L85" i="9"/>
  <c r="N90" i="10" s="1"/>
  <c r="I85" i="9"/>
  <c r="K90" i="10" s="1"/>
  <c r="A85" i="9"/>
  <c r="A90" i="10" s="1"/>
  <c r="M85" i="9"/>
  <c r="I90" i="10" s="1"/>
  <c r="B84" i="9"/>
  <c r="C84" i="9" s="1"/>
  <c r="D83" i="9"/>
  <c r="C88" i="10" s="1"/>
  <c r="P70" i="2"/>
  <c r="M70" i="2"/>
  <c r="I75" i="3" s="1"/>
  <c r="J70" i="2"/>
  <c r="L75" i="3" s="1"/>
  <c r="Q70" i="2"/>
  <c r="J75" i="3"/>
  <c r="L70" i="2"/>
  <c r="N75" i="3" s="1"/>
  <c r="I70" i="2"/>
  <c r="K75" i="3" s="1"/>
  <c r="D67" i="2"/>
  <c r="S68" i="2"/>
  <c r="T68" i="2" s="1"/>
  <c r="B69" i="2"/>
  <c r="C69" i="2" s="1"/>
  <c r="H40" i="7"/>
  <c r="E40" i="7"/>
  <c r="K73" i="7"/>
  <c r="D72" i="7"/>
  <c r="I73" i="7"/>
  <c r="A73" i="7"/>
  <c r="L73" i="7"/>
  <c r="A74" i="3"/>
  <c r="A70" i="2"/>
  <c r="N71" i="2" s="1"/>
  <c r="B72" i="3"/>
  <c r="S84" i="9" l="1"/>
  <c r="T84" i="9" s="1"/>
  <c r="B89" i="10"/>
  <c r="O75" i="3"/>
  <c r="P75" i="3"/>
  <c r="C72" i="3"/>
  <c r="D84" i="9"/>
  <c r="C89" i="10" s="1"/>
  <c r="P86" i="9"/>
  <c r="O91" i="10" s="1"/>
  <c r="N86" i="9"/>
  <c r="J91" i="10" s="1"/>
  <c r="L86" i="9"/>
  <c r="N91" i="10" s="1"/>
  <c r="Q86" i="9"/>
  <c r="P91" i="10" s="1"/>
  <c r="J86" i="9"/>
  <c r="L91" i="10" s="1"/>
  <c r="I86" i="9"/>
  <c r="K91" i="10" s="1"/>
  <c r="M86" i="9"/>
  <c r="I91" i="10" s="1"/>
  <c r="A86" i="9"/>
  <c r="A91" i="10" s="1"/>
  <c r="B85" i="9"/>
  <c r="C85" i="9" s="1"/>
  <c r="Q71" i="2"/>
  <c r="J76" i="3"/>
  <c r="L71" i="2"/>
  <c r="N76" i="3" s="1"/>
  <c r="I71" i="2"/>
  <c r="K76" i="3" s="1"/>
  <c r="P71" i="2"/>
  <c r="M71" i="2"/>
  <c r="I76" i="3" s="1"/>
  <c r="J71" i="2"/>
  <c r="L76" i="3" s="1"/>
  <c r="D68" i="2"/>
  <c r="S69" i="2"/>
  <c r="T69" i="2" s="1"/>
  <c r="B70" i="2"/>
  <c r="C70" i="2" s="1"/>
  <c r="G41" i="7"/>
  <c r="I74" i="7"/>
  <c r="A74" i="7"/>
  <c r="D73" i="7"/>
  <c r="L74" i="7"/>
  <c r="K74" i="7"/>
  <c r="A71" i="2"/>
  <c r="N72" i="2" s="1"/>
  <c r="A75" i="3"/>
  <c r="B73" i="3"/>
  <c r="S85" i="9" l="1"/>
  <c r="T85" i="9" s="1"/>
  <c r="B90" i="10"/>
  <c r="O76" i="3"/>
  <c r="D85" i="9"/>
  <c r="C90" i="10" s="1"/>
  <c r="P76" i="3"/>
  <c r="C73" i="3"/>
  <c r="Q87" i="9"/>
  <c r="P92" i="10" s="1"/>
  <c r="M87" i="9"/>
  <c r="I92" i="10" s="1"/>
  <c r="A87" i="9"/>
  <c r="A92" i="10" s="1"/>
  <c r="P87" i="9"/>
  <c r="O92" i="10" s="1"/>
  <c r="L87" i="9"/>
  <c r="N92" i="10" s="1"/>
  <c r="J87" i="9"/>
  <c r="L92" i="10" s="1"/>
  <c r="I87" i="9"/>
  <c r="K92" i="10" s="1"/>
  <c r="N87" i="9"/>
  <c r="J92" i="10" s="1"/>
  <c r="B86" i="9"/>
  <c r="C86" i="9" s="1"/>
  <c r="P72" i="2"/>
  <c r="M72" i="2"/>
  <c r="I77" i="3" s="1"/>
  <c r="J72" i="2"/>
  <c r="L77" i="3" s="1"/>
  <c r="Q72" i="2"/>
  <c r="J77" i="3"/>
  <c r="L72" i="2"/>
  <c r="N77" i="3" s="1"/>
  <c r="I72" i="2"/>
  <c r="K77" i="3" s="1"/>
  <c r="D69" i="2"/>
  <c r="S70" i="2"/>
  <c r="T70" i="2" s="1"/>
  <c r="B71" i="2"/>
  <c r="C71" i="2" s="1"/>
  <c r="F41" i="7"/>
  <c r="K75" i="7"/>
  <c r="I75" i="7"/>
  <c r="A75" i="7"/>
  <c r="D74" i="7"/>
  <c r="L75" i="7"/>
  <c r="A72" i="2"/>
  <c r="A76" i="3"/>
  <c r="B74" i="3"/>
  <c r="S86" i="9" l="1"/>
  <c r="T86" i="9" s="1"/>
  <c r="B91" i="10"/>
  <c r="O77" i="3"/>
  <c r="P77" i="3"/>
  <c r="C74" i="3"/>
  <c r="J88" i="9"/>
  <c r="L93" i="10" s="1"/>
  <c r="M88" i="9"/>
  <c r="I93" i="10" s="1"/>
  <c r="A88" i="9"/>
  <c r="A93" i="10" s="1"/>
  <c r="L88" i="9"/>
  <c r="N93" i="10" s="1"/>
  <c r="Q88" i="9"/>
  <c r="P93" i="10" s="1"/>
  <c r="N88" i="9"/>
  <c r="J93" i="10" s="1"/>
  <c r="I88" i="9"/>
  <c r="K93" i="10" s="1"/>
  <c r="P88" i="9"/>
  <c r="O93" i="10" s="1"/>
  <c r="B87" i="9"/>
  <c r="C87" i="9" s="1"/>
  <c r="D86" i="9"/>
  <c r="C91" i="10" s="1"/>
  <c r="K73" i="2"/>
  <c r="M78" i="3" s="1"/>
  <c r="N73" i="2"/>
  <c r="AE6" i="2" s="1"/>
  <c r="P73" i="2"/>
  <c r="M73" i="2"/>
  <c r="I78" i="3" s="1"/>
  <c r="Y6" i="2"/>
  <c r="I73" i="2"/>
  <c r="K78" i="3" s="1"/>
  <c r="Q73" i="2"/>
  <c r="L73" i="2"/>
  <c r="N78" i="3" s="1"/>
  <c r="J73" i="2"/>
  <c r="L78" i="3" s="1"/>
  <c r="S71" i="2"/>
  <c r="T71" i="2" s="1"/>
  <c r="D70" i="2"/>
  <c r="B72" i="2"/>
  <c r="C72" i="2" s="1"/>
  <c r="H41" i="7"/>
  <c r="E41" i="7"/>
  <c r="L76" i="7"/>
  <c r="I76" i="7"/>
  <c r="A76" i="7"/>
  <c r="D75" i="7"/>
  <c r="K76" i="7"/>
  <c r="A73" i="2"/>
  <c r="N74" i="2" s="1"/>
  <c r="A77" i="3"/>
  <c r="B75" i="3"/>
  <c r="J78" i="3" l="1"/>
  <c r="S87" i="9"/>
  <c r="T87" i="9" s="1"/>
  <c r="B92" i="10"/>
  <c r="O78" i="3"/>
  <c r="P78" i="3"/>
  <c r="C75" i="3"/>
  <c r="D87" i="9"/>
  <c r="C92" i="10" s="1"/>
  <c r="M89" i="9"/>
  <c r="I94" i="10" s="1"/>
  <c r="J89" i="9"/>
  <c r="L94" i="10" s="1"/>
  <c r="P89" i="9"/>
  <c r="O94" i="10" s="1"/>
  <c r="A89" i="9"/>
  <c r="A94" i="10" s="1"/>
  <c r="I89" i="9"/>
  <c r="K94" i="10" s="1"/>
  <c r="N89" i="9"/>
  <c r="J94" i="10" s="1"/>
  <c r="L89" i="9"/>
  <c r="N94" i="10" s="1"/>
  <c r="Q89" i="9"/>
  <c r="P94" i="10" s="1"/>
  <c r="B88" i="9"/>
  <c r="C88" i="9" s="1"/>
  <c r="Z6" i="2"/>
  <c r="Q74" i="2"/>
  <c r="J79" i="3"/>
  <c r="L74" i="2"/>
  <c r="N79" i="3" s="1"/>
  <c r="I74" i="2"/>
  <c r="K79" i="3" s="1"/>
  <c r="P74" i="2"/>
  <c r="M74" i="2"/>
  <c r="I79" i="3" s="1"/>
  <c r="J74" i="2"/>
  <c r="L79" i="3" s="1"/>
  <c r="D71" i="2"/>
  <c r="S72" i="2"/>
  <c r="T72" i="2" s="1"/>
  <c r="B73" i="2"/>
  <c r="C73" i="2" s="1"/>
  <c r="G42" i="7"/>
  <c r="K77" i="7"/>
  <c r="L77" i="7"/>
  <c r="A77" i="7"/>
  <c r="D76" i="7"/>
  <c r="I77" i="7"/>
  <c r="A78" i="3"/>
  <c r="A74" i="2"/>
  <c r="N75" i="2" s="1"/>
  <c r="B76" i="3"/>
  <c r="S88" i="9" l="1"/>
  <c r="T88" i="9" s="1"/>
  <c r="B93" i="10"/>
  <c r="O79" i="3"/>
  <c r="P79" i="3"/>
  <c r="C76" i="3"/>
  <c r="P90" i="9"/>
  <c r="O95" i="10" s="1"/>
  <c r="M90" i="9"/>
  <c r="I95" i="10" s="1"/>
  <c r="L90" i="9"/>
  <c r="N95" i="10" s="1"/>
  <c r="J90" i="9"/>
  <c r="L95" i="10" s="1"/>
  <c r="A90" i="9"/>
  <c r="A95" i="10" s="1"/>
  <c r="Q90" i="9"/>
  <c r="P95" i="10" s="1"/>
  <c r="N90" i="9"/>
  <c r="J95" i="10" s="1"/>
  <c r="I90" i="9"/>
  <c r="K95" i="10" s="1"/>
  <c r="B89" i="9"/>
  <c r="C89" i="9" s="1"/>
  <c r="D88" i="9"/>
  <c r="C93" i="10" s="1"/>
  <c r="Q75" i="2"/>
  <c r="J80" i="3"/>
  <c r="L75" i="2"/>
  <c r="N80" i="3" s="1"/>
  <c r="P75" i="2"/>
  <c r="M75" i="2"/>
  <c r="I80" i="3" s="1"/>
  <c r="J75" i="2"/>
  <c r="L80" i="3" s="1"/>
  <c r="I75" i="2"/>
  <c r="K80" i="3" s="1"/>
  <c r="D72" i="2"/>
  <c r="S73" i="2"/>
  <c r="T73" i="2" s="1"/>
  <c r="B74" i="2"/>
  <c r="C74" i="2" s="1"/>
  <c r="F42" i="7"/>
  <c r="I78" i="7"/>
  <c r="A78" i="7"/>
  <c r="D77" i="7"/>
  <c r="L78" i="7"/>
  <c r="K78" i="7"/>
  <c r="A75" i="2"/>
  <c r="N76" i="2" s="1"/>
  <c r="A79" i="3"/>
  <c r="B77" i="3"/>
  <c r="S89" i="9" l="1"/>
  <c r="T89" i="9" s="1"/>
  <c r="B94" i="10"/>
  <c r="O80" i="3"/>
  <c r="D89" i="9"/>
  <c r="C94" i="10" s="1"/>
  <c r="P80" i="3"/>
  <c r="C77" i="3"/>
  <c r="P91" i="9"/>
  <c r="O96" i="10" s="1"/>
  <c r="Q91" i="9"/>
  <c r="P96" i="10" s="1"/>
  <c r="L91" i="9"/>
  <c r="N96" i="10" s="1"/>
  <c r="A91" i="9"/>
  <c r="A96" i="10" s="1"/>
  <c r="N91" i="9"/>
  <c r="J96" i="10" s="1"/>
  <c r="J91" i="9"/>
  <c r="L96" i="10" s="1"/>
  <c r="M91" i="9"/>
  <c r="I96" i="10" s="1"/>
  <c r="I91" i="9"/>
  <c r="K96" i="10" s="1"/>
  <c r="B90" i="9"/>
  <c r="C90" i="9" s="1"/>
  <c r="P76" i="2"/>
  <c r="M76" i="2"/>
  <c r="I81" i="3" s="1"/>
  <c r="J76" i="2"/>
  <c r="L81" i="3" s="1"/>
  <c r="Q76" i="2"/>
  <c r="J81" i="3"/>
  <c r="L76" i="2"/>
  <c r="N81" i="3" s="1"/>
  <c r="I76" i="2"/>
  <c r="K81" i="3" s="1"/>
  <c r="D73" i="2"/>
  <c r="S74" i="2"/>
  <c r="T74" i="2" s="1"/>
  <c r="B75" i="2"/>
  <c r="C75" i="2" s="1"/>
  <c r="H42" i="7"/>
  <c r="E42" i="7"/>
  <c r="L79" i="7"/>
  <c r="I79" i="7"/>
  <c r="K79" i="7"/>
  <c r="D78" i="7"/>
  <c r="A79" i="7"/>
  <c r="A76" i="2"/>
  <c r="N77" i="2" s="1"/>
  <c r="A80" i="3"/>
  <c r="B78" i="3"/>
  <c r="S90" i="9" l="1"/>
  <c r="T90" i="9" s="1"/>
  <c r="B95" i="10"/>
  <c r="O81" i="3"/>
  <c r="P81" i="3"/>
  <c r="C78" i="3"/>
  <c r="N92" i="9"/>
  <c r="J97" i="10" s="1"/>
  <c r="A92" i="9"/>
  <c r="A97" i="10" s="1"/>
  <c r="M92" i="9"/>
  <c r="I97" i="10" s="1"/>
  <c r="J92" i="9"/>
  <c r="L97" i="10" s="1"/>
  <c r="P92" i="9"/>
  <c r="O97" i="10" s="1"/>
  <c r="Q92" i="9"/>
  <c r="P97" i="10" s="1"/>
  <c r="L92" i="9"/>
  <c r="N97" i="10" s="1"/>
  <c r="I92" i="9"/>
  <c r="K97" i="10" s="1"/>
  <c r="B91" i="9"/>
  <c r="C91" i="9" s="1"/>
  <c r="D90" i="9"/>
  <c r="C95" i="10" s="1"/>
  <c r="Q77" i="2"/>
  <c r="J82" i="3"/>
  <c r="L77" i="2"/>
  <c r="N82" i="3" s="1"/>
  <c r="I77" i="2"/>
  <c r="K82" i="3" s="1"/>
  <c r="P77" i="2"/>
  <c r="M77" i="2"/>
  <c r="I82" i="3" s="1"/>
  <c r="J77" i="2"/>
  <c r="L82" i="3" s="1"/>
  <c r="D74" i="2"/>
  <c r="S75" i="2"/>
  <c r="T75" i="2" s="1"/>
  <c r="B76" i="2"/>
  <c r="C76" i="2" s="1"/>
  <c r="G43" i="7"/>
  <c r="L80" i="7"/>
  <c r="A80" i="7"/>
  <c r="I80" i="7"/>
  <c r="D79" i="7"/>
  <c r="K80" i="7"/>
  <c r="A81" i="3"/>
  <c r="A77" i="2"/>
  <c r="N78" i="2" s="1"/>
  <c r="B79" i="3"/>
  <c r="S91" i="9" l="1"/>
  <c r="T91" i="9" s="1"/>
  <c r="B96" i="10"/>
  <c r="O82" i="3"/>
  <c r="P82" i="3"/>
  <c r="C79" i="3"/>
  <c r="D91" i="9"/>
  <c r="C96" i="10" s="1"/>
  <c r="J93" i="9"/>
  <c r="L98" i="10" s="1"/>
  <c r="N93" i="9"/>
  <c r="J98" i="10" s="1"/>
  <c r="A93" i="9"/>
  <c r="A98" i="10" s="1"/>
  <c r="L93" i="9"/>
  <c r="N98" i="10" s="1"/>
  <c r="I93" i="9"/>
  <c r="K98" i="10" s="1"/>
  <c r="Q93" i="9"/>
  <c r="P98" i="10" s="1"/>
  <c r="P93" i="9"/>
  <c r="O98" i="10" s="1"/>
  <c r="M93" i="9"/>
  <c r="I98" i="10" s="1"/>
  <c r="B92" i="9"/>
  <c r="C92" i="9" s="1"/>
  <c r="P78" i="2"/>
  <c r="M78" i="2"/>
  <c r="I83" i="3" s="1"/>
  <c r="J78" i="2"/>
  <c r="L83" i="3" s="1"/>
  <c r="Q78" i="2"/>
  <c r="J83" i="3"/>
  <c r="L78" i="2"/>
  <c r="N83" i="3" s="1"/>
  <c r="I78" i="2"/>
  <c r="K83" i="3" s="1"/>
  <c r="D75" i="2"/>
  <c r="S76" i="2"/>
  <c r="T76" i="2" s="1"/>
  <c r="B77" i="2"/>
  <c r="C77" i="2" s="1"/>
  <c r="F43" i="7"/>
  <c r="I81" i="7"/>
  <c r="A81" i="7"/>
  <c r="D80" i="7"/>
  <c r="L81" i="7"/>
  <c r="K81" i="7"/>
  <c r="A82" i="3"/>
  <c r="A78" i="2"/>
  <c r="N79" i="2" s="1"/>
  <c r="B80" i="3"/>
  <c r="S92" i="9" l="1"/>
  <c r="T92" i="9" s="1"/>
  <c r="B97" i="10"/>
  <c r="O83" i="3"/>
  <c r="P83" i="3"/>
  <c r="C80" i="3"/>
  <c r="M94" i="9"/>
  <c r="I99" i="10" s="1"/>
  <c r="J94" i="9"/>
  <c r="L99" i="10" s="1"/>
  <c r="Q94" i="9"/>
  <c r="P99" i="10" s="1"/>
  <c r="P94" i="9"/>
  <c r="O99" i="10" s="1"/>
  <c r="A94" i="9"/>
  <c r="A99" i="10" s="1"/>
  <c r="L94" i="9"/>
  <c r="N99" i="10" s="1"/>
  <c r="N94" i="9"/>
  <c r="J99" i="10" s="1"/>
  <c r="I94" i="9"/>
  <c r="K99" i="10" s="1"/>
  <c r="B93" i="9"/>
  <c r="C93" i="9" s="1"/>
  <c r="D92" i="9"/>
  <c r="C97" i="10" s="1"/>
  <c r="Q79" i="2"/>
  <c r="J84" i="3"/>
  <c r="L79" i="2"/>
  <c r="N84" i="3" s="1"/>
  <c r="I79" i="2"/>
  <c r="K84" i="3" s="1"/>
  <c r="P79" i="2"/>
  <c r="M79" i="2"/>
  <c r="I84" i="3" s="1"/>
  <c r="J79" i="2"/>
  <c r="L84" i="3" s="1"/>
  <c r="D76" i="2"/>
  <c r="S77" i="2"/>
  <c r="T77" i="2" s="1"/>
  <c r="B78" i="2"/>
  <c r="C78" i="2" s="1"/>
  <c r="H43" i="7"/>
  <c r="E43" i="7"/>
  <c r="K82" i="7"/>
  <c r="L82" i="7"/>
  <c r="D81" i="7"/>
  <c r="I82" i="7"/>
  <c r="A82" i="7"/>
  <c r="A83" i="3"/>
  <c r="A79" i="2"/>
  <c r="N80" i="2" s="1"/>
  <c r="B81" i="3"/>
  <c r="S93" i="9" l="1"/>
  <c r="T93" i="9" s="1"/>
  <c r="B98" i="10"/>
  <c r="O84" i="3"/>
  <c r="P84" i="3"/>
  <c r="C81" i="3"/>
  <c r="D93" i="9"/>
  <c r="C98" i="10" s="1"/>
  <c r="P95" i="9"/>
  <c r="O100" i="10" s="1"/>
  <c r="M95" i="9"/>
  <c r="I100" i="10" s="1"/>
  <c r="I95" i="9"/>
  <c r="K100" i="10" s="1"/>
  <c r="Q95" i="9"/>
  <c r="P100" i="10" s="1"/>
  <c r="A95" i="9"/>
  <c r="A100" i="10" s="1"/>
  <c r="N95" i="9"/>
  <c r="J100" i="10" s="1"/>
  <c r="J95" i="9"/>
  <c r="L100" i="10" s="1"/>
  <c r="L95" i="9"/>
  <c r="N100" i="10" s="1"/>
  <c r="B94" i="9"/>
  <c r="C94" i="9" s="1"/>
  <c r="P80" i="2"/>
  <c r="M80" i="2"/>
  <c r="I85" i="3" s="1"/>
  <c r="J80" i="2"/>
  <c r="L85" i="3" s="1"/>
  <c r="Q80" i="2"/>
  <c r="J85" i="3"/>
  <c r="L80" i="2"/>
  <c r="N85" i="3" s="1"/>
  <c r="I80" i="2"/>
  <c r="K85" i="3" s="1"/>
  <c r="D77" i="2"/>
  <c r="S78" i="2"/>
  <c r="T78" i="2" s="1"/>
  <c r="B79" i="2"/>
  <c r="C79" i="2" s="1"/>
  <c r="G44" i="7"/>
  <c r="L83" i="7"/>
  <c r="K83" i="7"/>
  <c r="D82" i="7"/>
  <c r="I83" i="7"/>
  <c r="A83" i="7"/>
  <c r="A80" i="2"/>
  <c r="N81" i="2" s="1"/>
  <c r="A84" i="3"/>
  <c r="B82" i="3"/>
  <c r="S94" i="9" l="1"/>
  <c r="T94" i="9" s="1"/>
  <c r="B99" i="10"/>
  <c r="O85" i="3"/>
  <c r="P85" i="3"/>
  <c r="C82" i="3"/>
  <c r="P96" i="9"/>
  <c r="O101" i="10" s="1"/>
  <c r="Q96" i="9"/>
  <c r="P101" i="10" s="1"/>
  <c r="M96" i="9"/>
  <c r="I101" i="10" s="1"/>
  <c r="I96" i="9"/>
  <c r="K101" i="10" s="1"/>
  <c r="L96" i="9"/>
  <c r="N101" i="10" s="1"/>
  <c r="J96" i="9"/>
  <c r="L101" i="10" s="1"/>
  <c r="N96" i="9"/>
  <c r="J101" i="10" s="1"/>
  <c r="A96" i="9"/>
  <c r="A101" i="10" s="1"/>
  <c r="B95" i="9"/>
  <c r="C95" i="9" s="1"/>
  <c r="D94" i="9"/>
  <c r="C99" i="10" s="1"/>
  <c r="Q81" i="2"/>
  <c r="J86" i="3"/>
  <c r="L81" i="2"/>
  <c r="N86" i="3" s="1"/>
  <c r="I81" i="2"/>
  <c r="K86" i="3" s="1"/>
  <c r="P81" i="2"/>
  <c r="M81" i="2"/>
  <c r="I86" i="3" s="1"/>
  <c r="J81" i="2"/>
  <c r="L86" i="3" s="1"/>
  <c r="D78" i="2"/>
  <c r="S79" i="2"/>
  <c r="T79" i="2" s="1"/>
  <c r="B80" i="2"/>
  <c r="C80" i="2" s="1"/>
  <c r="F44" i="7"/>
  <c r="K84" i="7"/>
  <c r="D83" i="7"/>
  <c r="I84" i="7"/>
  <c r="A84" i="7"/>
  <c r="L84" i="7"/>
  <c r="A81" i="2"/>
  <c r="N82" i="2" s="1"/>
  <c r="A85" i="3"/>
  <c r="B83" i="3"/>
  <c r="S95" i="9" l="1"/>
  <c r="T95" i="9" s="1"/>
  <c r="B100" i="10"/>
  <c r="O86" i="3"/>
  <c r="P86" i="3"/>
  <c r="C83" i="3"/>
  <c r="D95" i="9"/>
  <c r="C100" i="10" s="1"/>
  <c r="Q97" i="9"/>
  <c r="P102" i="10" s="1"/>
  <c r="J97" i="9"/>
  <c r="L102" i="10" s="1"/>
  <c r="P97" i="9"/>
  <c r="O102" i="10" s="1"/>
  <c r="A97" i="9"/>
  <c r="A102" i="10" s="1"/>
  <c r="M97" i="9"/>
  <c r="I102" i="10" s="1"/>
  <c r="L97" i="9"/>
  <c r="N102" i="10" s="1"/>
  <c r="I97" i="9"/>
  <c r="K102" i="10" s="1"/>
  <c r="B96" i="9"/>
  <c r="C96" i="9" s="1"/>
  <c r="P82" i="2"/>
  <c r="M82" i="2"/>
  <c r="I87" i="3" s="1"/>
  <c r="J82" i="2"/>
  <c r="L87" i="3" s="1"/>
  <c r="Q82" i="2"/>
  <c r="J87" i="3"/>
  <c r="L82" i="2"/>
  <c r="N87" i="3" s="1"/>
  <c r="I82" i="2"/>
  <c r="K87" i="3" s="1"/>
  <c r="D79" i="2"/>
  <c r="S80" i="2"/>
  <c r="T80" i="2" s="1"/>
  <c r="B81" i="2"/>
  <c r="C81" i="2" s="1"/>
  <c r="H44" i="7"/>
  <c r="E44" i="7"/>
  <c r="I85" i="7"/>
  <c r="A85" i="7"/>
  <c r="D84" i="7"/>
  <c r="A86" i="3"/>
  <c r="A82" i="2"/>
  <c r="N83" i="2" s="1"/>
  <c r="B84" i="3"/>
  <c r="S96" i="9" l="1"/>
  <c r="T96" i="9" s="1"/>
  <c r="B101" i="10"/>
  <c r="O87" i="3"/>
  <c r="P87" i="3"/>
  <c r="C84" i="3"/>
  <c r="D96" i="9"/>
  <c r="C101" i="10" s="1"/>
  <c r="I98" i="9"/>
  <c r="K103" i="10" s="1"/>
  <c r="Q98" i="9"/>
  <c r="P103" i="10" s="1"/>
  <c r="N98" i="9"/>
  <c r="J103" i="10" s="1"/>
  <c r="A98" i="9"/>
  <c r="A103" i="10" s="1"/>
  <c r="J98" i="9"/>
  <c r="L103" i="10" s="1"/>
  <c r="P98" i="9"/>
  <c r="O103" i="10" s="1"/>
  <c r="M98" i="9"/>
  <c r="I103" i="10" s="1"/>
  <c r="L98" i="9"/>
  <c r="N103" i="10" s="1"/>
  <c r="B97" i="9"/>
  <c r="C97" i="9" s="1"/>
  <c r="Q83" i="2"/>
  <c r="J88" i="3"/>
  <c r="L83" i="2"/>
  <c r="N88" i="3" s="1"/>
  <c r="I83" i="2"/>
  <c r="K88" i="3" s="1"/>
  <c r="P83" i="2"/>
  <c r="M83" i="2"/>
  <c r="I88" i="3" s="1"/>
  <c r="J83" i="2"/>
  <c r="L88" i="3" s="1"/>
  <c r="D80" i="2"/>
  <c r="S81" i="2"/>
  <c r="T81" i="2" s="1"/>
  <c r="B82" i="2"/>
  <c r="C82" i="2" s="1"/>
  <c r="G45" i="7"/>
  <c r="K86" i="7"/>
  <c r="I86" i="7"/>
  <c r="D85" i="7"/>
  <c r="A86" i="7"/>
  <c r="L86" i="7"/>
  <c r="A83" i="2"/>
  <c r="N84" i="2" s="1"/>
  <c r="A87" i="3"/>
  <c r="B85" i="3"/>
  <c r="S97" i="9" l="1"/>
  <c r="T97" i="9" s="1"/>
  <c r="B102" i="10"/>
  <c r="O88" i="3"/>
  <c r="P88" i="3"/>
  <c r="C85" i="3"/>
  <c r="D97" i="9"/>
  <c r="C102" i="10" s="1"/>
  <c r="L99" i="9"/>
  <c r="N104" i="10" s="1"/>
  <c r="A99" i="9"/>
  <c r="A104" i="10" s="1"/>
  <c r="I99" i="9"/>
  <c r="K104" i="10" s="1"/>
  <c r="M99" i="9"/>
  <c r="I104" i="10" s="1"/>
  <c r="J99" i="9"/>
  <c r="L104" i="10" s="1"/>
  <c r="Q99" i="9"/>
  <c r="P104" i="10" s="1"/>
  <c r="N99" i="9"/>
  <c r="J104" i="10" s="1"/>
  <c r="P99" i="9"/>
  <c r="O104" i="10" s="1"/>
  <c r="B98" i="9"/>
  <c r="C98" i="9" s="1"/>
  <c r="P84" i="2"/>
  <c r="M84" i="2"/>
  <c r="I89" i="3" s="1"/>
  <c r="J84" i="2"/>
  <c r="L89" i="3" s="1"/>
  <c r="Q84" i="2"/>
  <c r="J89" i="3"/>
  <c r="L84" i="2"/>
  <c r="N89" i="3" s="1"/>
  <c r="I84" i="2"/>
  <c r="K89" i="3" s="1"/>
  <c r="D81" i="2"/>
  <c r="S82" i="2"/>
  <c r="T82" i="2" s="1"/>
  <c r="B83" i="2"/>
  <c r="C83" i="2" s="1"/>
  <c r="F45" i="7"/>
  <c r="L87" i="7"/>
  <c r="I87" i="7"/>
  <c r="D86" i="7"/>
  <c r="A87" i="7"/>
  <c r="K87" i="7"/>
  <c r="A84" i="2"/>
  <c r="A88" i="3"/>
  <c r="B86" i="3"/>
  <c r="S98" i="9" l="1"/>
  <c r="T98" i="9" s="1"/>
  <c r="B103" i="10"/>
  <c r="O89" i="3"/>
  <c r="P89" i="3"/>
  <c r="C86" i="3"/>
  <c r="D98" i="9"/>
  <c r="C103" i="10" s="1"/>
  <c r="N100" i="9"/>
  <c r="J105" i="10" s="1"/>
  <c r="L100" i="9"/>
  <c r="N105" i="10" s="1"/>
  <c r="A100" i="9"/>
  <c r="A105" i="10" s="1"/>
  <c r="Q100" i="9"/>
  <c r="P105" i="10" s="1"/>
  <c r="J100" i="9"/>
  <c r="L105" i="10" s="1"/>
  <c r="P100" i="9"/>
  <c r="O105" i="10" s="1"/>
  <c r="I100" i="9"/>
  <c r="K105" i="10" s="1"/>
  <c r="M100" i="9"/>
  <c r="I105" i="10" s="1"/>
  <c r="B99" i="9"/>
  <c r="C99" i="9" s="1"/>
  <c r="K85" i="2"/>
  <c r="M90" i="3" s="1"/>
  <c r="N85" i="2"/>
  <c r="AE7" i="2" s="1"/>
  <c r="M85" i="2"/>
  <c r="I90" i="3" s="1"/>
  <c r="I85" i="2"/>
  <c r="K90" i="3" s="1"/>
  <c r="L85" i="2"/>
  <c r="N90" i="3" s="1"/>
  <c r="J85" i="2"/>
  <c r="L90" i="3" s="1"/>
  <c r="D82" i="2"/>
  <c r="S83" i="2"/>
  <c r="T83" i="2" s="1"/>
  <c r="B84" i="2"/>
  <c r="C84" i="2" s="1"/>
  <c r="H45" i="7"/>
  <c r="E45" i="7"/>
  <c r="I88" i="7"/>
  <c r="D87" i="7"/>
  <c r="L88" i="7"/>
  <c r="A88" i="7"/>
  <c r="K88" i="7"/>
  <c r="A85" i="2"/>
  <c r="N86" i="2" s="1"/>
  <c r="A89" i="3"/>
  <c r="B87" i="3"/>
  <c r="Y7" i="2" l="1"/>
  <c r="Z7" i="2" s="1"/>
  <c r="J90" i="3"/>
  <c r="S99" i="9"/>
  <c r="T99" i="9" s="1"/>
  <c r="B104" i="10"/>
  <c r="D99" i="9"/>
  <c r="C104" i="10" s="1"/>
  <c r="C87" i="3"/>
  <c r="Q101" i="9"/>
  <c r="P106" i="10" s="1"/>
  <c r="N101" i="9"/>
  <c r="J106" i="10" s="1"/>
  <c r="M101" i="9"/>
  <c r="I106" i="10" s="1"/>
  <c r="L101" i="9"/>
  <c r="N106" i="10" s="1"/>
  <c r="I101" i="9"/>
  <c r="K106" i="10" s="1"/>
  <c r="J101" i="9"/>
  <c r="L106" i="10" s="1"/>
  <c r="A101" i="9"/>
  <c r="A106" i="10" s="1"/>
  <c r="P101" i="9"/>
  <c r="O106" i="10" s="1"/>
  <c r="B100" i="9"/>
  <c r="C100" i="9" s="1"/>
  <c r="Q86" i="2"/>
  <c r="P91" i="3" s="1"/>
  <c r="J91" i="3"/>
  <c r="L86" i="2"/>
  <c r="N91" i="3" s="1"/>
  <c r="I86" i="2"/>
  <c r="K91" i="3" s="1"/>
  <c r="P86" i="2"/>
  <c r="M86" i="2"/>
  <c r="I91" i="3" s="1"/>
  <c r="J86" i="2"/>
  <c r="L91" i="3" s="1"/>
  <c r="D83" i="2"/>
  <c r="S84" i="2"/>
  <c r="T84" i="2" s="1"/>
  <c r="B85" i="2"/>
  <c r="C85" i="2" s="1"/>
  <c r="G46" i="7"/>
  <c r="I89" i="7"/>
  <c r="A89" i="7"/>
  <c r="D88" i="7"/>
  <c r="L89" i="7"/>
  <c r="K89" i="7"/>
  <c r="A86" i="2"/>
  <c r="N87" i="2" s="1"/>
  <c r="A90" i="3"/>
  <c r="B88" i="3"/>
  <c r="S100" i="9" l="1"/>
  <c r="T100" i="9" s="1"/>
  <c r="B105" i="10"/>
  <c r="O91" i="3"/>
  <c r="C88" i="3"/>
  <c r="Q102" i="9"/>
  <c r="P107" i="10" s="1"/>
  <c r="M102" i="9"/>
  <c r="I107" i="10" s="1"/>
  <c r="N102" i="9"/>
  <c r="J107" i="10" s="1"/>
  <c r="L102" i="9"/>
  <c r="N107" i="10" s="1"/>
  <c r="I102" i="9"/>
  <c r="K107" i="10" s="1"/>
  <c r="A102" i="9"/>
  <c r="A107" i="10" s="1"/>
  <c r="P102" i="9"/>
  <c r="O107" i="10" s="1"/>
  <c r="J102" i="9"/>
  <c r="L107" i="10" s="1"/>
  <c r="B101" i="9"/>
  <c r="C101" i="9" s="1"/>
  <c r="D100" i="9"/>
  <c r="C105" i="10" s="1"/>
  <c r="P87" i="2"/>
  <c r="M87" i="2"/>
  <c r="I92" i="3" s="1"/>
  <c r="J87" i="2"/>
  <c r="L92" i="3" s="1"/>
  <c r="Q87" i="2"/>
  <c r="P92" i="3" s="1"/>
  <c r="J92" i="3"/>
  <c r="L87" i="2"/>
  <c r="N92" i="3" s="1"/>
  <c r="I87" i="2"/>
  <c r="K92" i="3" s="1"/>
  <c r="D84" i="2"/>
  <c r="S85" i="2"/>
  <c r="T85" i="2" s="1"/>
  <c r="B86" i="2"/>
  <c r="C86" i="2" s="1"/>
  <c r="F46" i="7"/>
  <c r="K90" i="7"/>
  <c r="L90" i="7"/>
  <c r="D89" i="7"/>
  <c r="A90" i="7"/>
  <c r="I90" i="7"/>
  <c r="A87" i="2"/>
  <c r="N88" i="2" s="1"/>
  <c r="A91" i="3"/>
  <c r="S101" i="9" l="1"/>
  <c r="T101" i="9" s="1"/>
  <c r="B106" i="10"/>
  <c r="O92" i="3"/>
  <c r="C89" i="3"/>
  <c r="D101" i="9"/>
  <c r="C106" i="10" s="1"/>
  <c r="I103" i="9"/>
  <c r="K108" i="10" s="1"/>
  <c r="P103" i="9"/>
  <c r="O108" i="10" s="1"/>
  <c r="N103" i="9"/>
  <c r="J108" i="10" s="1"/>
  <c r="A103" i="9"/>
  <c r="A108" i="10" s="1"/>
  <c r="L103" i="9"/>
  <c r="N108" i="10" s="1"/>
  <c r="Q103" i="9"/>
  <c r="P108" i="10" s="1"/>
  <c r="J103" i="9"/>
  <c r="L108" i="10" s="1"/>
  <c r="M103" i="9"/>
  <c r="I108" i="10" s="1"/>
  <c r="B102" i="9"/>
  <c r="C102" i="9" s="1"/>
  <c r="Q88" i="2"/>
  <c r="P93" i="3" s="1"/>
  <c r="J93" i="3"/>
  <c r="L88" i="2"/>
  <c r="N93" i="3" s="1"/>
  <c r="I88" i="2"/>
  <c r="K93" i="3" s="1"/>
  <c r="P88" i="2"/>
  <c r="M88" i="2"/>
  <c r="I93" i="3" s="1"/>
  <c r="J88" i="2"/>
  <c r="L93" i="3" s="1"/>
  <c r="D85" i="2"/>
  <c r="S86" i="2"/>
  <c r="T86" i="2" s="1"/>
  <c r="B90" i="3"/>
  <c r="B87" i="2"/>
  <c r="C87" i="2" s="1"/>
  <c r="H46" i="7"/>
  <c r="E46" i="7"/>
  <c r="L91" i="7"/>
  <c r="K91" i="7"/>
  <c r="D90" i="7"/>
  <c r="A91" i="7"/>
  <c r="I91" i="7"/>
  <c r="A88" i="2"/>
  <c r="N89" i="2" s="1"/>
  <c r="A92" i="3"/>
  <c r="B89" i="3"/>
  <c r="S102" i="9" l="1"/>
  <c r="T102" i="9" s="1"/>
  <c r="B107" i="10"/>
  <c r="O93" i="3"/>
  <c r="C90" i="3"/>
  <c r="L104" i="9"/>
  <c r="N109" i="10" s="1"/>
  <c r="A104" i="9"/>
  <c r="A109" i="10" s="1"/>
  <c r="I104" i="9"/>
  <c r="K109" i="10" s="1"/>
  <c r="P104" i="9"/>
  <c r="O109" i="10" s="1"/>
  <c r="N104" i="9"/>
  <c r="J109" i="10" s="1"/>
  <c r="M104" i="9"/>
  <c r="I109" i="10" s="1"/>
  <c r="J104" i="9"/>
  <c r="L109" i="10" s="1"/>
  <c r="Q104" i="9"/>
  <c r="P109" i="10" s="1"/>
  <c r="B103" i="9"/>
  <c r="C103" i="9" s="1"/>
  <c r="D102" i="9"/>
  <c r="C107" i="10" s="1"/>
  <c r="P89" i="2"/>
  <c r="M89" i="2"/>
  <c r="I94" i="3" s="1"/>
  <c r="J89" i="2"/>
  <c r="L94" i="3" s="1"/>
  <c r="Q89" i="2"/>
  <c r="P94" i="3" s="1"/>
  <c r="J94" i="3"/>
  <c r="L89" i="2"/>
  <c r="N94" i="3" s="1"/>
  <c r="I89" i="2"/>
  <c r="K94" i="3" s="1"/>
  <c r="D86" i="2"/>
  <c r="B91" i="3"/>
  <c r="S87" i="2"/>
  <c r="T87" i="2" s="1"/>
  <c r="B88" i="2"/>
  <c r="C88" i="2" s="1"/>
  <c r="G47" i="7"/>
  <c r="K92" i="7"/>
  <c r="D91" i="7"/>
  <c r="L92" i="7"/>
  <c r="A92" i="7"/>
  <c r="I92" i="7"/>
  <c r="A89" i="2"/>
  <c r="N90" i="2" s="1"/>
  <c r="A93" i="3"/>
  <c r="S103" i="9" l="1"/>
  <c r="T103" i="9" s="1"/>
  <c r="B108" i="10"/>
  <c r="O94" i="3"/>
  <c r="C91" i="3"/>
  <c r="N105" i="9"/>
  <c r="J110" i="10" s="1"/>
  <c r="L105" i="9"/>
  <c r="N110" i="10" s="1"/>
  <c r="A105" i="9"/>
  <c r="A110" i="10" s="1"/>
  <c r="Q105" i="9"/>
  <c r="P110" i="10" s="1"/>
  <c r="M105" i="9"/>
  <c r="I110" i="10" s="1"/>
  <c r="P105" i="9"/>
  <c r="O110" i="10" s="1"/>
  <c r="J105" i="9"/>
  <c r="L110" i="10" s="1"/>
  <c r="I105" i="9"/>
  <c r="K110" i="10" s="1"/>
  <c r="B104" i="9"/>
  <c r="C104" i="9" s="1"/>
  <c r="D103" i="9"/>
  <c r="C108" i="10" s="1"/>
  <c r="Q90" i="2"/>
  <c r="P95" i="3" s="1"/>
  <c r="J95" i="3"/>
  <c r="L90" i="2"/>
  <c r="N95" i="3" s="1"/>
  <c r="I90" i="2"/>
  <c r="K95" i="3" s="1"/>
  <c r="P90" i="2"/>
  <c r="M90" i="2"/>
  <c r="I95" i="3" s="1"/>
  <c r="J90" i="2"/>
  <c r="L95" i="3" s="1"/>
  <c r="D87" i="2"/>
  <c r="B92" i="3"/>
  <c r="S88" i="2"/>
  <c r="T88" i="2" s="1"/>
  <c r="B89" i="2"/>
  <c r="C89" i="2" s="1"/>
  <c r="F47" i="7"/>
  <c r="L93" i="7"/>
  <c r="I93" i="7"/>
  <c r="A93" i="7"/>
  <c r="D92" i="7"/>
  <c r="K93" i="7"/>
  <c r="A90" i="2"/>
  <c r="N91" i="2" s="1"/>
  <c r="A94" i="3"/>
  <c r="S104" i="9" l="1"/>
  <c r="T104" i="9" s="1"/>
  <c r="B109" i="10"/>
  <c r="O95" i="3"/>
  <c r="C92" i="3"/>
  <c r="D104" i="9"/>
  <c r="C109" i="10" s="1"/>
  <c r="Q106" i="9"/>
  <c r="P111" i="10" s="1"/>
  <c r="N106" i="9"/>
  <c r="J111" i="10" s="1"/>
  <c r="J106" i="9"/>
  <c r="L111" i="10" s="1"/>
  <c r="M106" i="9"/>
  <c r="I111" i="10" s="1"/>
  <c r="L106" i="9"/>
  <c r="N111" i="10" s="1"/>
  <c r="P106" i="9"/>
  <c r="O111" i="10" s="1"/>
  <c r="A106" i="9"/>
  <c r="A111" i="10" s="1"/>
  <c r="I106" i="9"/>
  <c r="K111" i="10" s="1"/>
  <c r="B105" i="9"/>
  <c r="C105" i="9" s="1"/>
  <c r="P91" i="2"/>
  <c r="M91" i="2"/>
  <c r="I96" i="3" s="1"/>
  <c r="J91" i="2"/>
  <c r="L96" i="3" s="1"/>
  <c r="Q91" i="2"/>
  <c r="P96" i="3" s="1"/>
  <c r="J96" i="3"/>
  <c r="L91" i="2"/>
  <c r="N96" i="3" s="1"/>
  <c r="I91" i="2"/>
  <c r="K96" i="3" s="1"/>
  <c r="D88" i="2"/>
  <c r="B93" i="3"/>
  <c r="S89" i="2"/>
  <c r="T89" i="2" s="1"/>
  <c r="B90" i="2"/>
  <c r="C90" i="2" s="1"/>
  <c r="H47" i="7"/>
  <c r="E47" i="7"/>
  <c r="K94" i="7"/>
  <c r="I94" i="7"/>
  <c r="A94" i="7"/>
  <c r="D93" i="7"/>
  <c r="L94" i="7"/>
  <c r="A95" i="3"/>
  <c r="A91" i="2"/>
  <c r="N92" i="2" s="1"/>
  <c r="S105" i="9" l="1"/>
  <c r="T105" i="9" s="1"/>
  <c r="B110" i="10"/>
  <c r="O96" i="3"/>
  <c r="C93" i="3"/>
  <c r="D105" i="9"/>
  <c r="C110" i="10" s="1"/>
  <c r="Q107" i="9"/>
  <c r="P112" i="10" s="1"/>
  <c r="M107" i="9"/>
  <c r="I112" i="10" s="1"/>
  <c r="I107" i="9"/>
  <c r="K112" i="10" s="1"/>
  <c r="P107" i="9"/>
  <c r="O112" i="10" s="1"/>
  <c r="L107" i="9"/>
  <c r="N112" i="10" s="1"/>
  <c r="J107" i="9"/>
  <c r="L112" i="10" s="1"/>
  <c r="A107" i="9"/>
  <c r="A112" i="10" s="1"/>
  <c r="N107" i="9"/>
  <c r="J112" i="10" s="1"/>
  <c r="B106" i="9"/>
  <c r="C106" i="9" s="1"/>
  <c r="Q92" i="2"/>
  <c r="P97" i="3" s="1"/>
  <c r="J97" i="3"/>
  <c r="L92" i="2"/>
  <c r="N97" i="3" s="1"/>
  <c r="I92" i="2"/>
  <c r="K97" i="3" s="1"/>
  <c r="P92" i="2"/>
  <c r="M92" i="2"/>
  <c r="I97" i="3" s="1"/>
  <c r="J92" i="2"/>
  <c r="L97" i="3" s="1"/>
  <c r="D89" i="2"/>
  <c r="B94" i="3"/>
  <c r="S90" i="2"/>
  <c r="T90" i="2" s="1"/>
  <c r="B91" i="2"/>
  <c r="C91" i="2" s="1"/>
  <c r="G48" i="7"/>
  <c r="I95" i="7"/>
  <c r="A95" i="7"/>
  <c r="D94" i="7"/>
  <c r="L95" i="7"/>
  <c r="K95" i="7"/>
  <c r="A92" i="2"/>
  <c r="N93" i="2" s="1"/>
  <c r="A96" i="3"/>
  <c r="S106" i="9" l="1"/>
  <c r="T106" i="9" s="1"/>
  <c r="B111" i="10"/>
  <c r="O97" i="3"/>
  <c r="C94" i="3"/>
  <c r="D106" i="9"/>
  <c r="C111" i="10" s="1"/>
  <c r="I108" i="9"/>
  <c r="K113" i="10" s="1"/>
  <c r="P108" i="9"/>
  <c r="O113" i="10" s="1"/>
  <c r="Q108" i="9"/>
  <c r="P113" i="10" s="1"/>
  <c r="A108" i="9"/>
  <c r="A113" i="10" s="1"/>
  <c r="L108" i="9"/>
  <c r="N113" i="10" s="1"/>
  <c r="N108" i="9"/>
  <c r="J113" i="10" s="1"/>
  <c r="J108" i="9"/>
  <c r="L113" i="10" s="1"/>
  <c r="M108" i="9"/>
  <c r="I113" i="10" s="1"/>
  <c r="B107" i="9"/>
  <c r="C107" i="9" s="1"/>
  <c r="P93" i="2"/>
  <c r="M93" i="2"/>
  <c r="I98" i="3" s="1"/>
  <c r="J93" i="2"/>
  <c r="L98" i="3" s="1"/>
  <c r="Q93" i="2"/>
  <c r="P98" i="3" s="1"/>
  <c r="J98" i="3"/>
  <c r="L93" i="2"/>
  <c r="N98" i="3" s="1"/>
  <c r="I93" i="2"/>
  <c r="K98" i="3" s="1"/>
  <c r="D90" i="2"/>
  <c r="B95" i="3"/>
  <c r="S91" i="2"/>
  <c r="T91" i="2" s="1"/>
  <c r="B92" i="2"/>
  <c r="C92" i="2" s="1"/>
  <c r="F48" i="7"/>
  <c r="K96" i="7"/>
  <c r="L96" i="7"/>
  <c r="A96" i="7"/>
  <c r="I96" i="7"/>
  <c r="D95" i="7"/>
  <c r="A93" i="2"/>
  <c r="N94" i="2" s="1"/>
  <c r="A97" i="3"/>
  <c r="S107" i="9" l="1"/>
  <c r="T107" i="9" s="1"/>
  <c r="B112" i="10"/>
  <c r="O98" i="3"/>
  <c r="D107" i="9"/>
  <c r="C112" i="10" s="1"/>
  <c r="C95" i="3"/>
  <c r="A109" i="9"/>
  <c r="A114" i="10" s="1"/>
  <c r="I109" i="9"/>
  <c r="K114" i="10" s="1"/>
  <c r="Q109" i="9"/>
  <c r="P114" i="10" s="1"/>
  <c r="P109" i="9"/>
  <c r="O114" i="10" s="1"/>
  <c r="L109" i="9"/>
  <c r="N114" i="10" s="1"/>
  <c r="M109" i="9"/>
  <c r="I114" i="10" s="1"/>
  <c r="J109" i="9"/>
  <c r="L114" i="10" s="1"/>
  <c r="B108" i="9"/>
  <c r="C108" i="9" s="1"/>
  <c r="Q94" i="2"/>
  <c r="P99" i="3" s="1"/>
  <c r="J99" i="3"/>
  <c r="L94" i="2"/>
  <c r="N99" i="3" s="1"/>
  <c r="I94" i="2"/>
  <c r="K99" i="3" s="1"/>
  <c r="P94" i="2"/>
  <c r="M94" i="2"/>
  <c r="I99" i="3" s="1"/>
  <c r="J94" i="2"/>
  <c r="L99" i="3" s="1"/>
  <c r="D91" i="2"/>
  <c r="B96" i="3"/>
  <c r="S92" i="2"/>
  <c r="T92" i="2" s="1"/>
  <c r="B93" i="2"/>
  <c r="C93" i="2" s="1"/>
  <c r="H48" i="7"/>
  <c r="E48" i="7"/>
  <c r="L97" i="7"/>
  <c r="I97" i="7"/>
  <c r="A97" i="7"/>
  <c r="D96" i="7"/>
  <c r="K97" i="7"/>
  <c r="A94" i="2"/>
  <c r="N95" i="2" s="1"/>
  <c r="A98" i="3"/>
  <c r="S108" i="9" l="1"/>
  <c r="T108" i="9" s="1"/>
  <c r="B113" i="10"/>
  <c r="O99" i="3"/>
  <c r="C96" i="3"/>
  <c r="D108" i="9"/>
  <c r="C113" i="10" s="1"/>
  <c r="M110" i="9"/>
  <c r="I115" i="10" s="1"/>
  <c r="J110" i="9"/>
  <c r="L115" i="10" s="1"/>
  <c r="I110" i="9"/>
  <c r="K115" i="10" s="1"/>
  <c r="P110" i="9"/>
  <c r="O115" i="10" s="1"/>
  <c r="N110" i="9"/>
  <c r="J115" i="10" s="1"/>
  <c r="A110" i="9"/>
  <c r="A115" i="10" s="1"/>
  <c r="L110" i="9"/>
  <c r="N115" i="10" s="1"/>
  <c r="Q110" i="9"/>
  <c r="P115" i="10" s="1"/>
  <c r="B109" i="9"/>
  <c r="C109" i="9" s="1"/>
  <c r="P95" i="2"/>
  <c r="M95" i="2"/>
  <c r="I100" i="3" s="1"/>
  <c r="J95" i="2"/>
  <c r="L100" i="3" s="1"/>
  <c r="Q95" i="2"/>
  <c r="P100" i="3" s="1"/>
  <c r="J100" i="3"/>
  <c r="L95" i="2"/>
  <c r="N100" i="3" s="1"/>
  <c r="I95" i="2"/>
  <c r="K100" i="3" s="1"/>
  <c r="D92" i="2"/>
  <c r="B97" i="3"/>
  <c r="S93" i="2"/>
  <c r="T93" i="2" s="1"/>
  <c r="B94" i="2"/>
  <c r="C94" i="2" s="1"/>
  <c r="G49" i="7"/>
  <c r="K98" i="7"/>
  <c r="I98" i="7"/>
  <c r="A98" i="7"/>
  <c r="D97" i="7"/>
  <c r="L98" i="7"/>
  <c r="A95" i="2"/>
  <c r="N96" i="2" s="1"/>
  <c r="A99" i="3"/>
  <c r="S109" i="9" l="1"/>
  <c r="T109" i="9" s="1"/>
  <c r="B114" i="10"/>
  <c r="O100" i="3"/>
  <c r="C97" i="3"/>
  <c r="P111" i="9"/>
  <c r="O116" i="10" s="1"/>
  <c r="M111" i="9"/>
  <c r="I116" i="10" s="1"/>
  <c r="L111" i="9"/>
  <c r="N116" i="10" s="1"/>
  <c r="A111" i="9"/>
  <c r="A116" i="10" s="1"/>
  <c r="I111" i="9"/>
  <c r="K116" i="10" s="1"/>
  <c r="N111" i="9"/>
  <c r="J116" i="10" s="1"/>
  <c r="J111" i="9"/>
  <c r="L116" i="10" s="1"/>
  <c r="Q111" i="9"/>
  <c r="P116" i="10" s="1"/>
  <c r="B110" i="9"/>
  <c r="C110" i="9" s="1"/>
  <c r="D109" i="9"/>
  <c r="C114" i="10" s="1"/>
  <c r="Q96" i="2"/>
  <c r="P101" i="3" s="1"/>
  <c r="J101" i="3"/>
  <c r="L96" i="2"/>
  <c r="N101" i="3" s="1"/>
  <c r="I96" i="2"/>
  <c r="K101" i="3" s="1"/>
  <c r="P96" i="2"/>
  <c r="M96" i="2"/>
  <c r="I101" i="3" s="1"/>
  <c r="J96" i="2"/>
  <c r="L101" i="3" s="1"/>
  <c r="B98" i="3"/>
  <c r="D93" i="2"/>
  <c r="S94" i="2"/>
  <c r="T94" i="2" s="1"/>
  <c r="B95" i="2"/>
  <c r="C95" i="2" s="1"/>
  <c r="F49" i="7"/>
  <c r="H49" i="7" s="1"/>
  <c r="I99" i="7"/>
  <c r="A99" i="7"/>
  <c r="D98" i="7"/>
  <c r="L99" i="7"/>
  <c r="K99" i="7"/>
  <c r="A96" i="2"/>
  <c r="A100" i="3"/>
  <c r="S110" i="9" l="1"/>
  <c r="T110" i="9" s="1"/>
  <c r="B115" i="10"/>
  <c r="O101" i="3"/>
  <c r="C98" i="3"/>
  <c r="D110" i="9"/>
  <c r="C115" i="10" s="1"/>
  <c r="P112" i="9"/>
  <c r="O117" i="10" s="1"/>
  <c r="N112" i="9"/>
  <c r="J117" i="10" s="1"/>
  <c r="L112" i="9"/>
  <c r="N117" i="10" s="1"/>
  <c r="A112" i="9"/>
  <c r="A117" i="10" s="1"/>
  <c r="J112" i="9"/>
  <c r="L117" i="10" s="1"/>
  <c r="I112" i="9"/>
  <c r="K117" i="10" s="1"/>
  <c r="Q112" i="9"/>
  <c r="P117" i="10" s="1"/>
  <c r="M112" i="9"/>
  <c r="I117" i="10" s="1"/>
  <c r="B111" i="9"/>
  <c r="C111" i="9" s="1"/>
  <c r="K97" i="2"/>
  <c r="M102" i="3" s="1"/>
  <c r="N97" i="2"/>
  <c r="AE8" i="2" s="1"/>
  <c r="Q97" i="2"/>
  <c r="P102" i="3" s="1"/>
  <c r="L97" i="2"/>
  <c r="N102" i="3" s="1"/>
  <c r="J97" i="2"/>
  <c r="L102" i="3" s="1"/>
  <c r="P97" i="2"/>
  <c r="M97" i="2"/>
  <c r="I102" i="3" s="1"/>
  <c r="I97" i="2"/>
  <c r="K102" i="3" s="1"/>
  <c r="D94" i="2"/>
  <c r="B99" i="3"/>
  <c r="S95" i="2"/>
  <c r="T95" i="2" s="1"/>
  <c r="B96" i="2"/>
  <c r="C96" i="2" s="1"/>
  <c r="E49" i="7"/>
  <c r="K100" i="7"/>
  <c r="L100" i="7"/>
  <c r="A100" i="7"/>
  <c r="D99" i="7"/>
  <c r="I100" i="7"/>
  <c r="A97" i="2"/>
  <c r="N98" i="2" s="1"/>
  <c r="A101" i="3"/>
  <c r="J102" i="3" l="1"/>
  <c r="Y8" i="2"/>
  <c r="Z8" i="2" s="1"/>
  <c r="S111" i="9"/>
  <c r="T111" i="9" s="1"/>
  <c r="B116" i="10"/>
  <c r="O102" i="3"/>
  <c r="C99" i="3"/>
  <c r="Q113" i="9"/>
  <c r="P118" i="10" s="1"/>
  <c r="P113" i="9"/>
  <c r="O118" i="10" s="1"/>
  <c r="I113" i="9"/>
  <c r="K118" i="10" s="1"/>
  <c r="L113" i="9"/>
  <c r="N118" i="10" s="1"/>
  <c r="J113" i="9"/>
  <c r="L118" i="10" s="1"/>
  <c r="A113" i="9"/>
  <c r="A118" i="10" s="1"/>
  <c r="N113" i="9"/>
  <c r="J118" i="10" s="1"/>
  <c r="M113" i="9"/>
  <c r="I118" i="10" s="1"/>
  <c r="B112" i="9"/>
  <c r="C112" i="9" s="1"/>
  <c r="D111" i="9"/>
  <c r="C116" i="10" s="1"/>
  <c r="P98" i="2"/>
  <c r="M98" i="2"/>
  <c r="I103" i="3" s="1"/>
  <c r="J98" i="2"/>
  <c r="L103" i="3" s="1"/>
  <c r="Q98" i="2"/>
  <c r="P103" i="3" s="1"/>
  <c r="J103" i="3"/>
  <c r="L98" i="2"/>
  <c r="N103" i="3" s="1"/>
  <c r="I98" i="2"/>
  <c r="K103" i="3" s="1"/>
  <c r="D95" i="2"/>
  <c r="B100" i="3"/>
  <c r="S96" i="2"/>
  <c r="T96" i="2" s="1"/>
  <c r="B97" i="2"/>
  <c r="C97" i="2" s="1"/>
  <c r="G50" i="7"/>
  <c r="L101" i="7"/>
  <c r="I101" i="7"/>
  <c r="A101" i="7"/>
  <c r="D100" i="7"/>
  <c r="K101" i="7"/>
  <c r="A98" i="2"/>
  <c r="N99" i="2" s="1"/>
  <c r="A102" i="3"/>
  <c r="S112" i="9" l="1"/>
  <c r="T112" i="9" s="1"/>
  <c r="B117" i="10"/>
  <c r="O103" i="3"/>
  <c r="C100" i="3"/>
  <c r="D112" i="9"/>
  <c r="C117" i="10" s="1"/>
  <c r="Q114" i="9"/>
  <c r="P119" i="10" s="1"/>
  <c r="P114" i="9"/>
  <c r="O119" i="10" s="1"/>
  <c r="N114" i="9"/>
  <c r="J119" i="10" s="1"/>
  <c r="A114" i="9"/>
  <c r="A119" i="10" s="1"/>
  <c r="M114" i="9"/>
  <c r="I119" i="10" s="1"/>
  <c r="J114" i="9"/>
  <c r="L119" i="10" s="1"/>
  <c r="I114" i="9"/>
  <c r="K119" i="10" s="1"/>
  <c r="L114" i="9"/>
  <c r="N119" i="10" s="1"/>
  <c r="B113" i="9"/>
  <c r="C113" i="9" s="1"/>
  <c r="Q99" i="2"/>
  <c r="P104" i="3" s="1"/>
  <c r="J104" i="3"/>
  <c r="L99" i="2"/>
  <c r="N104" i="3" s="1"/>
  <c r="I99" i="2"/>
  <c r="K104" i="3" s="1"/>
  <c r="P99" i="2"/>
  <c r="M99" i="2"/>
  <c r="I104" i="3" s="1"/>
  <c r="J99" i="2"/>
  <c r="L104" i="3" s="1"/>
  <c r="D96" i="2"/>
  <c r="B101" i="3"/>
  <c r="S97" i="2"/>
  <c r="T97" i="2" s="1"/>
  <c r="B98" i="2"/>
  <c r="C98" i="2" s="1"/>
  <c r="F50" i="7"/>
  <c r="K102" i="7"/>
  <c r="I102" i="7"/>
  <c r="A102" i="7"/>
  <c r="D101" i="7"/>
  <c r="L102" i="7"/>
  <c r="A99" i="2"/>
  <c r="N100" i="2" s="1"/>
  <c r="A103" i="3"/>
  <c r="S113" i="9" l="1"/>
  <c r="T113" i="9" s="1"/>
  <c r="B118" i="10"/>
  <c r="O104" i="3"/>
  <c r="C101" i="3"/>
  <c r="I115" i="9"/>
  <c r="K120" i="10" s="1"/>
  <c r="L115" i="9"/>
  <c r="N120" i="10" s="1"/>
  <c r="J115" i="9"/>
  <c r="L120" i="10" s="1"/>
  <c r="A115" i="9"/>
  <c r="A120" i="10" s="1"/>
  <c r="Q115" i="9"/>
  <c r="P120" i="10" s="1"/>
  <c r="M115" i="9"/>
  <c r="I120" i="10" s="1"/>
  <c r="P115" i="9"/>
  <c r="O120" i="10" s="1"/>
  <c r="N115" i="9"/>
  <c r="J120" i="10" s="1"/>
  <c r="B114" i="9"/>
  <c r="C114" i="9" s="1"/>
  <c r="D113" i="9"/>
  <c r="C118" i="10" s="1"/>
  <c r="P100" i="2"/>
  <c r="M100" i="2"/>
  <c r="I105" i="3" s="1"/>
  <c r="J100" i="2"/>
  <c r="L105" i="3" s="1"/>
  <c r="Q100" i="2"/>
  <c r="P105" i="3" s="1"/>
  <c r="J105" i="3"/>
  <c r="L100" i="2"/>
  <c r="N105" i="3" s="1"/>
  <c r="I100" i="2"/>
  <c r="K105" i="3" s="1"/>
  <c r="D97" i="2"/>
  <c r="B102" i="3"/>
  <c r="S98" i="2"/>
  <c r="T98" i="2" s="1"/>
  <c r="B99" i="2"/>
  <c r="C99" i="2" s="1"/>
  <c r="H50" i="7"/>
  <c r="E50" i="7"/>
  <c r="I103" i="7"/>
  <c r="A103" i="7"/>
  <c r="D102" i="7"/>
  <c r="L103" i="7"/>
  <c r="K103" i="7"/>
  <c r="A104" i="3"/>
  <c r="A100" i="2"/>
  <c r="N101" i="2" s="1"/>
  <c r="S114" i="9" l="1"/>
  <c r="T114" i="9" s="1"/>
  <c r="B119" i="10"/>
  <c r="O105" i="3"/>
  <c r="C102" i="3"/>
  <c r="D114" i="9"/>
  <c r="C119" i="10" s="1"/>
  <c r="L116" i="9"/>
  <c r="N121" i="10" s="1"/>
  <c r="A116" i="9"/>
  <c r="A121" i="10" s="1"/>
  <c r="J116" i="9"/>
  <c r="L121" i="10" s="1"/>
  <c r="Q116" i="9"/>
  <c r="P121" i="10" s="1"/>
  <c r="P116" i="9"/>
  <c r="O121" i="10" s="1"/>
  <c r="M116" i="9"/>
  <c r="I121" i="10" s="1"/>
  <c r="N116" i="9"/>
  <c r="J121" i="10" s="1"/>
  <c r="I116" i="9"/>
  <c r="K121" i="10" s="1"/>
  <c r="B115" i="9"/>
  <c r="C115" i="9" s="1"/>
  <c r="Q101" i="2"/>
  <c r="P106" i="3" s="1"/>
  <c r="J106" i="3"/>
  <c r="L101" i="2"/>
  <c r="N106" i="3" s="1"/>
  <c r="I101" i="2"/>
  <c r="K106" i="3" s="1"/>
  <c r="P101" i="2"/>
  <c r="M101" i="2"/>
  <c r="I106" i="3" s="1"/>
  <c r="J101" i="2"/>
  <c r="L106" i="3" s="1"/>
  <c r="D98" i="2"/>
  <c r="B103" i="3"/>
  <c r="S99" i="2"/>
  <c r="T99" i="2" s="1"/>
  <c r="B100" i="2"/>
  <c r="C100" i="2" s="1"/>
  <c r="G51" i="7"/>
  <c r="K104" i="7"/>
  <c r="L104" i="7"/>
  <c r="I104" i="7"/>
  <c r="D103" i="7"/>
  <c r="A104" i="7"/>
  <c r="A101" i="2"/>
  <c r="N102" i="2" s="1"/>
  <c r="A105" i="3"/>
  <c r="S115" i="9" l="1"/>
  <c r="T115" i="9" s="1"/>
  <c r="B120" i="10"/>
  <c r="O106" i="3"/>
  <c r="D115" i="9"/>
  <c r="C120" i="10" s="1"/>
  <c r="C103" i="3"/>
  <c r="N117" i="9"/>
  <c r="J122" i="10" s="1"/>
  <c r="M117" i="9"/>
  <c r="I122" i="10" s="1"/>
  <c r="L117" i="9"/>
  <c r="N122" i="10" s="1"/>
  <c r="J117" i="9"/>
  <c r="L122" i="10" s="1"/>
  <c r="I117" i="9"/>
  <c r="K122" i="10" s="1"/>
  <c r="Q117" i="9"/>
  <c r="P122" i="10" s="1"/>
  <c r="P117" i="9"/>
  <c r="O122" i="10" s="1"/>
  <c r="A117" i="9"/>
  <c r="A122" i="10" s="1"/>
  <c r="B116" i="9"/>
  <c r="C116" i="9" s="1"/>
  <c r="P102" i="2"/>
  <c r="M102" i="2"/>
  <c r="I107" i="3" s="1"/>
  <c r="J102" i="2"/>
  <c r="L107" i="3" s="1"/>
  <c r="Q102" i="2"/>
  <c r="P107" i="3" s="1"/>
  <c r="J107" i="3"/>
  <c r="L102" i="2"/>
  <c r="N107" i="3" s="1"/>
  <c r="I102" i="2"/>
  <c r="K107" i="3" s="1"/>
  <c r="D99" i="2"/>
  <c r="B104" i="3"/>
  <c r="S100" i="2"/>
  <c r="T100" i="2" s="1"/>
  <c r="B101" i="2"/>
  <c r="C101" i="2" s="1"/>
  <c r="F51" i="7"/>
  <c r="H51" i="7" s="1"/>
  <c r="L105" i="7"/>
  <c r="I105" i="7"/>
  <c r="A105" i="7"/>
  <c r="D104" i="7"/>
  <c r="K105" i="7"/>
  <c r="A102" i="2"/>
  <c r="N103" i="2" s="1"/>
  <c r="A106" i="3"/>
  <c r="S116" i="9" l="1"/>
  <c r="T116" i="9" s="1"/>
  <c r="B121" i="10"/>
  <c r="O107" i="3"/>
  <c r="D116" i="9"/>
  <c r="C121" i="10" s="1"/>
  <c r="C104" i="3"/>
  <c r="Q118" i="9"/>
  <c r="P123" i="10" s="1"/>
  <c r="P118" i="9"/>
  <c r="O123" i="10" s="1"/>
  <c r="M118" i="9"/>
  <c r="I123" i="10" s="1"/>
  <c r="L118" i="9"/>
  <c r="N123" i="10" s="1"/>
  <c r="A118" i="9"/>
  <c r="A123" i="10" s="1"/>
  <c r="J118" i="9"/>
  <c r="L123" i="10" s="1"/>
  <c r="I118" i="9"/>
  <c r="K123" i="10" s="1"/>
  <c r="N118" i="9"/>
  <c r="J123" i="10" s="1"/>
  <c r="B117" i="9"/>
  <c r="C117" i="9" s="1"/>
  <c r="Q103" i="2"/>
  <c r="P108" i="3" s="1"/>
  <c r="J108" i="3"/>
  <c r="L103" i="2"/>
  <c r="N108" i="3" s="1"/>
  <c r="I103" i="2"/>
  <c r="K108" i="3" s="1"/>
  <c r="P103" i="2"/>
  <c r="M103" i="2"/>
  <c r="I108" i="3" s="1"/>
  <c r="J103" i="2"/>
  <c r="L108" i="3" s="1"/>
  <c r="D100" i="2"/>
  <c r="B105" i="3"/>
  <c r="S101" i="2"/>
  <c r="T101" i="2" s="1"/>
  <c r="B102" i="2"/>
  <c r="C102" i="2" s="1"/>
  <c r="E51" i="7"/>
  <c r="K106" i="7"/>
  <c r="I106" i="7"/>
  <c r="A106" i="7"/>
  <c r="D105" i="7"/>
  <c r="L106" i="7"/>
  <c r="A103" i="2"/>
  <c r="N104" i="2" s="1"/>
  <c r="A107" i="3"/>
  <c r="S117" i="9" l="1"/>
  <c r="T117" i="9" s="1"/>
  <c r="B122" i="10"/>
  <c r="O108" i="3"/>
  <c r="C105" i="3"/>
  <c r="N119" i="9"/>
  <c r="J124" i="10" s="1"/>
  <c r="A119" i="9"/>
  <c r="A124" i="10" s="1"/>
  <c r="M119" i="9"/>
  <c r="I124" i="10" s="1"/>
  <c r="L119" i="9"/>
  <c r="N124" i="10" s="1"/>
  <c r="J119" i="9"/>
  <c r="L124" i="10" s="1"/>
  <c r="P119" i="9"/>
  <c r="O124" i="10" s="1"/>
  <c r="I119" i="9"/>
  <c r="K124" i="10" s="1"/>
  <c r="Q119" i="9"/>
  <c r="P124" i="10" s="1"/>
  <c r="B118" i="9"/>
  <c r="C118" i="9" s="1"/>
  <c r="D117" i="9"/>
  <c r="C122" i="10" s="1"/>
  <c r="P104" i="2"/>
  <c r="M104" i="2"/>
  <c r="I109" i="3" s="1"/>
  <c r="J104" i="2"/>
  <c r="L109" i="3" s="1"/>
  <c r="Q104" i="2"/>
  <c r="P109" i="3" s="1"/>
  <c r="J109" i="3"/>
  <c r="L104" i="2"/>
  <c r="N109" i="3" s="1"/>
  <c r="I104" i="2"/>
  <c r="K109" i="3" s="1"/>
  <c r="D101" i="2"/>
  <c r="B106" i="3"/>
  <c r="S102" i="2"/>
  <c r="T102" i="2" s="1"/>
  <c r="B103" i="2"/>
  <c r="C103" i="2" s="1"/>
  <c r="G52" i="7"/>
  <c r="I107" i="7"/>
  <c r="A107" i="7"/>
  <c r="D106" i="7"/>
  <c r="L107" i="7"/>
  <c r="K107" i="7"/>
  <c r="A104" i="2"/>
  <c r="N105" i="2" s="1"/>
  <c r="A108" i="3"/>
  <c r="S118" i="9" l="1"/>
  <c r="T118" i="9" s="1"/>
  <c r="B123" i="10"/>
  <c r="O109" i="3"/>
  <c r="C106" i="3"/>
  <c r="I120" i="9"/>
  <c r="K125" i="10" s="1"/>
  <c r="P120" i="9"/>
  <c r="O125" i="10" s="1"/>
  <c r="L120" i="9"/>
  <c r="N125" i="10" s="1"/>
  <c r="J120" i="9"/>
  <c r="L125" i="10" s="1"/>
  <c r="A120" i="9"/>
  <c r="A125" i="10" s="1"/>
  <c r="Q120" i="9"/>
  <c r="P125" i="10" s="1"/>
  <c r="N120" i="9"/>
  <c r="J125" i="10" s="1"/>
  <c r="M120" i="9"/>
  <c r="I125" i="10" s="1"/>
  <c r="B119" i="9"/>
  <c r="C119" i="9" s="1"/>
  <c r="D118" i="9"/>
  <c r="C123" i="10" s="1"/>
  <c r="Q105" i="2"/>
  <c r="P110" i="3" s="1"/>
  <c r="J110" i="3"/>
  <c r="L105" i="2"/>
  <c r="N110" i="3" s="1"/>
  <c r="I105" i="2"/>
  <c r="K110" i="3" s="1"/>
  <c r="P105" i="2"/>
  <c r="M105" i="2"/>
  <c r="I110" i="3" s="1"/>
  <c r="J105" i="2"/>
  <c r="L110" i="3" s="1"/>
  <c r="D102" i="2"/>
  <c r="S103" i="2"/>
  <c r="T103" i="2" s="1"/>
  <c r="B107" i="3"/>
  <c r="B104" i="2"/>
  <c r="C104" i="2" s="1"/>
  <c r="F52" i="7"/>
  <c r="K108" i="7"/>
  <c r="L108" i="7"/>
  <c r="I108" i="7"/>
  <c r="D107" i="7"/>
  <c r="A108" i="7"/>
  <c r="A105" i="2"/>
  <c r="N106" i="2" s="1"/>
  <c r="A109" i="3"/>
  <c r="S119" i="9" l="1"/>
  <c r="T119" i="9" s="1"/>
  <c r="B124" i="10"/>
  <c r="O110" i="3"/>
  <c r="C107" i="3"/>
  <c r="A121" i="9"/>
  <c r="A126" i="10" s="1"/>
  <c r="J121" i="9"/>
  <c r="L126" i="10" s="1"/>
  <c r="P121" i="9"/>
  <c r="O126" i="10" s="1"/>
  <c r="M121" i="9"/>
  <c r="I126" i="10" s="1"/>
  <c r="L121" i="9"/>
  <c r="N126" i="10" s="1"/>
  <c r="Q121" i="9"/>
  <c r="P126" i="10" s="1"/>
  <c r="I121" i="9"/>
  <c r="K126" i="10" s="1"/>
  <c r="B120" i="9"/>
  <c r="C120" i="9" s="1"/>
  <c r="D119" i="9"/>
  <c r="C124" i="10" s="1"/>
  <c r="P106" i="2"/>
  <c r="M106" i="2"/>
  <c r="I111" i="3" s="1"/>
  <c r="J106" i="2"/>
  <c r="L111" i="3" s="1"/>
  <c r="Q106" i="2"/>
  <c r="P111" i="3" s="1"/>
  <c r="J111" i="3"/>
  <c r="L106" i="2"/>
  <c r="N111" i="3" s="1"/>
  <c r="I106" i="2"/>
  <c r="K111" i="3" s="1"/>
  <c r="D103" i="2"/>
  <c r="B108" i="3"/>
  <c r="S104" i="2"/>
  <c r="T104" i="2" s="1"/>
  <c r="B105" i="2"/>
  <c r="C105" i="2" s="1"/>
  <c r="H52" i="7"/>
  <c r="E52" i="7"/>
  <c r="L109" i="7"/>
  <c r="I109" i="7"/>
  <c r="A109" i="7"/>
  <c r="D108" i="7"/>
  <c r="K109" i="7"/>
  <c r="A106" i="2"/>
  <c r="N107" i="2" s="1"/>
  <c r="A110" i="3"/>
  <c r="S120" i="9" l="1"/>
  <c r="T120" i="9" s="1"/>
  <c r="B125" i="10"/>
  <c r="O111" i="3"/>
  <c r="C108" i="3"/>
  <c r="D120" i="9"/>
  <c r="C125" i="10" s="1"/>
  <c r="M122" i="9"/>
  <c r="I127" i="10" s="1"/>
  <c r="L122" i="9"/>
  <c r="N127" i="10" s="1"/>
  <c r="A122" i="9"/>
  <c r="A127" i="10" s="1"/>
  <c r="Q122" i="9"/>
  <c r="P127" i="10" s="1"/>
  <c r="P122" i="9"/>
  <c r="O127" i="10" s="1"/>
  <c r="I122" i="9"/>
  <c r="K127" i="10" s="1"/>
  <c r="N122" i="9"/>
  <c r="J127" i="10" s="1"/>
  <c r="J122" i="9"/>
  <c r="L127" i="10" s="1"/>
  <c r="B121" i="9"/>
  <c r="C121" i="9" s="1"/>
  <c r="Q107" i="2"/>
  <c r="P112" i="3" s="1"/>
  <c r="J112" i="3"/>
  <c r="L107" i="2"/>
  <c r="N112" i="3" s="1"/>
  <c r="I107" i="2"/>
  <c r="K112" i="3" s="1"/>
  <c r="P107" i="2"/>
  <c r="M107" i="2"/>
  <c r="I112" i="3" s="1"/>
  <c r="J107" i="2"/>
  <c r="L112" i="3" s="1"/>
  <c r="D104" i="2"/>
  <c r="B109" i="3"/>
  <c r="S105" i="2"/>
  <c r="T105" i="2" s="1"/>
  <c r="B106" i="2"/>
  <c r="C106" i="2" s="1"/>
  <c r="G53" i="7"/>
  <c r="I110" i="7"/>
  <c r="A110" i="7"/>
  <c r="A107" i="2"/>
  <c r="N108" i="2" s="1"/>
  <c r="A111" i="3"/>
  <c r="S121" i="9" l="1"/>
  <c r="T121" i="9" s="1"/>
  <c r="B126" i="10"/>
  <c r="O112" i="3"/>
  <c r="C109" i="3"/>
  <c r="P123" i="9"/>
  <c r="O128" i="10" s="1"/>
  <c r="N123" i="9"/>
  <c r="J128" i="10" s="1"/>
  <c r="Q123" i="9"/>
  <c r="P128" i="10" s="1"/>
  <c r="A123" i="9"/>
  <c r="A128" i="10" s="1"/>
  <c r="M123" i="9"/>
  <c r="I128" i="10" s="1"/>
  <c r="L123" i="9"/>
  <c r="N128" i="10" s="1"/>
  <c r="J123" i="9"/>
  <c r="L128" i="10" s="1"/>
  <c r="I123" i="9"/>
  <c r="K128" i="10" s="1"/>
  <c r="B122" i="9"/>
  <c r="C122" i="9" s="1"/>
  <c r="D121" i="9"/>
  <c r="C126" i="10" s="1"/>
  <c r="P108" i="2"/>
  <c r="M108" i="2"/>
  <c r="I113" i="3" s="1"/>
  <c r="J108" i="2"/>
  <c r="L113" i="3" s="1"/>
  <c r="Q108" i="2"/>
  <c r="P113" i="3" s="1"/>
  <c r="J113" i="3"/>
  <c r="L108" i="2"/>
  <c r="N113" i="3" s="1"/>
  <c r="I108" i="2"/>
  <c r="K113" i="3" s="1"/>
  <c r="B110" i="3"/>
  <c r="D105" i="2"/>
  <c r="B111" i="3"/>
  <c r="B107" i="2"/>
  <c r="C107" i="2" s="1"/>
  <c r="F53" i="7"/>
  <c r="I111" i="7"/>
  <c r="A111" i="7"/>
  <c r="A108" i="2"/>
  <c r="A112" i="3"/>
  <c r="S122" i="9" l="1"/>
  <c r="T122" i="9" s="1"/>
  <c r="B127" i="10"/>
  <c r="O113" i="3"/>
  <c r="C110" i="3"/>
  <c r="D122" i="9"/>
  <c r="C127" i="10" s="1"/>
  <c r="Q124" i="9"/>
  <c r="P129" i="10" s="1"/>
  <c r="J124" i="9"/>
  <c r="L129" i="10" s="1"/>
  <c r="I124" i="9"/>
  <c r="K129" i="10" s="1"/>
  <c r="P124" i="9"/>
  <c r="O129" i="10" s="1"/>
  <c r="M124" i="9"/>
  <c r="I129" i="10" s="1"/>
  <c r="A124" i="9"/>
  <c r="A129" i="10" s="1"/>
  <c r="N124" i="9"/>
  <c r="J129" i="10" s="1"/>
  <c r="L124" i="9"/>
  <c r="N129" i="10" s="1"/>
  <c r="B123" i="9"/>
  <c r="C123" i="9" s="1"/>
  <c r="K109" i="2"/>
  <c r="M114" i="3" s="1"/>
  <c r="N109" i="2"/>
  <c r="AE9" i="2" s="1"/>
  <c r="P109" i="2"/>
  <c r="M109" i="2"/>
  <c r="I114" i="3" s="1"/>
  <c r="I109" i="2"/>
  <c r="K114" i="3" s="1"/>
  <c r="Q109" i="2"/>
  <c r="P114" i="3" s="1"/>
  <c r="J114" i="3"/>
  <c r="L109" i="2"/>
  <c r="N114" i="3" s="1"/>
  <c r="J109" i="2"/>
  <c r="L114" i="3" s="1"/>
  <c r="D106" i="2"/>
  <c r="S107" i="2"/>
  <c r="T107" i="2" s="1"/>
  <c r="S106" i="2"/>
  <c r="T106" i="2" s="1"/>
  <c r="B108" i="2"/>
  <c r="C108" i="2" s="1"/>
  <c r="H53" i="7"/>
  <c r="E53" i="7"/>
  <c r="I112" i="7"/>
  <c r="A112" i="7"/>
  <c r="I113" i="7" s="1"/>
  <c r="A113" i="3"/>
  <c r="A109" i="2"/>
  <c r="N110" i="2" s="1"/>
  <c r="Y9" i="2" l="1"/>
  <c r="Z9" i="2" s="1"/>
  <c r="S123" i="9"/>
  <c r="T123" i="9" s="1"/>
  <c r="B128" i="10"/>
  <c r="O114" i="3"/>
  <c r="C111" i="3"/>
  <c r="D123" i="9"/>
  <c r="C128" i="10" s="1"/>
  <c r="Q125" i="9"/>
  <c r="P130" i="10" s="1"/>
  <c r="P125" i="9"/>
  <c r="O130" i="10" s="1"/>
  <c r="N125" i="9"/>
  <c r="J130" i="10" s="1"/>
  <c r="A125" i="9"/>
  <c r="A130" i="10" s="1"/>
  <c r="M125" i="9"/>
  <c r="I130" i="10" s="1"/>
  <c r="L125" i="9"/>
  <c r="N130" i="10" s="1"/>
  <c r="J125" i="9"/>
  <c r="L130" i="10" s="1"/>
  <c r="I125" i="9"/>
  <c r="K130" i="10" s="1"/>
  <c r="B124" i="9"/>
  <c r="C124" i="9" s="1"/>
  <c r="Q110" i="2"/>
  <c r="P115" i="3" s="1"/>
  <c r="J115" i="3"/>
  <c r="L110" i="2"/>
  <c r="N115" i="3" s="1"/>
  <c r="I110" i="2"/>
  <c r="K115" i="3" s="1"/>
  <c r="P110" i="2"/>
  <c r="M110" i="2"/>
  <c r="I115" i="3" s="1"/>
  <c r="J110" i="2"/>
  <c r="L115" i="3" s="1"/>
  <c r="B112" i="3"/>
  <c r="D107" i="2"/>
  <c r="D108" i="2"/>
  <c r="A114" i="3"/>
  <c r="B109" i="2"/>
  <c r="C109" i="2" s="1"/>
  <c r="G54" i="7"/>
  <c r="A110" i="2"/>
  <c r="N111" i="2" s="1"/>
  <c r="S124" i="9" l="1"/>
  <c r="T124" i="9" s="1"/>
  <c r="B129" i="10"/>
  <c r="O115" i="3"/>
  <c r="D124" i="9"/>
  <c r="C129" i="10" s="1"/>
  <c r="C113" i="3"/>
  <c r="C112" i="3"/>
  <c r="J126" i="9"/>
  <c r="L131" i="10" s="1"/>
  <c r="I126" i="9"/>
  <c r="K131" i="10" s="1"/>
  <c r="M126" i="9"/>
  <c r="I131" i="10" s="1"/>
  <c r="L126" i="9"/>
  <c r="N131" i="10" s="1"/>
  <c r="Q126" i="9"/>
  <c r="P131" i="10" s="1"/>
  <c r="P126" i="9"/>
  <c r="O131" i="10" s="1"/>
  <c r="A126" i="9"/>
  <c r="A131" i="10" s="1"/>
  <c r="N126" i="9"/>
  <c r="J131" i="10" s="1"/>
  <c r="B125" i="9"/>
  <c r="C125" i="9" s="1"/>
  <c r="P111" i="2"/>
  <c r="M111" i="2"/>
  <c r="I116" i="3" s="1"/>
  <c r="J111" i="2"/>
  <c r="L116" i="3" s="1"/>
  <c r="Q111" i="2"/>
  <c r="P116" i="3" s="1"/>
  <c r="J116" i="3"/>
  <c r="L111" i="2"/>
  <c r="N116" i="3" s="1"/>
  <c r="I111" i="2"/>
  <c r="K116" i="3" s="1"/>
  <c r="S108" i="2"/>
  <c r="T108" i="2" s="1"/>
  <c r="B113" i="3"/>
  <c r="S109" i="2"/>
  <c r="T109" i="2" s="1"/>
  <c r="A115" i="3"/>
  <c r="B110" i="2"/>
  <c r="C110" i="2" s="1"/>
  <c r="F54" i="7"/>
  <c r="A111" i="2"/>
  <c r="N112" i="2" s="1"/>
  <c r="S125" i="9" l="1"/>
  <c r="T125" i="9" s="1"/>
  <c r="B130" i="10"/>
  <c r="O116" i="3"/>
  <c r="D125" i="9"/>
  <c r="C130" i="10" s="1"/>
  <c r="M127" i="9"/>
  <c r="I132" i="10" s="1"/>
  <c r="L127" i="9"/>
  <c r="N132" i="10" s="1"/>
  <c r="A127" i="9"/>
  <c r="A132" i="10" s="1"/>
  <c r="Q127" i="9"/>
  <c r="P132" i="10" s="1"/>
  <c r="P127" i="9"/>
  <c r="O132" i="10" s="1"/>
  <c r="N127" i="9"/>
  <c r="J132" i="10" s="1"/>
  <c r="I127" i="9"/>
  <c r="K132" i="10" s="1"/>
  <c r="J127" i="9"/>
  <c r="L132" i="10" s="1"/>
  <c r="B126" i="9"/>
  <c r="C126" i="9" s="1"/>
  <c r="Q112" i="2"/>
  <c r="P117" i="3" s="1"/>
  <c r="J117" i="3"/>
  <c r="L112" i="2"/>
  <c r="N117" i="3" s="1"/>
  <c r="I112" i="2"/>
  <c r="K117" i="3" s="1"/>
  <c r="P112" i="2"/>
  <c r="M112" i="2"/>
  <c r="I117" i="3" s="1"/>
  <c r="J112" i="2"/>
  <c r="L117" i="3" s="1"/>
  <c r="B114" i="3"/>
  <c r="D109" i="2"/>
  <c r="B115" i="3"/>
  <c r="A116" i="3"/>
  <c r="B111" i="2"/>
  <c r="C111" i="2" s="1"/>
  <c r="H54" i="7"/>
  <c r="E54" i="7"/>
  <c r="A112" i="2"/>
  <c r="N113" i="2" s="1"/>
  <c r="S126" i="9" l="1"/>
  <c r="T126" i="9" s="1"/>
  <c r="B131" i="10"/>
  <c r="O117" i="3"/>
  <c r="C114" i="3"/>
  <c r="D126" i="9"/>
  <c r="C131" i="10" s="1"/>
  <c r="P128" i="9"/>
  <c r="O133" i="10" s="1"/>
  <c r="N128" i="9"/>
  <c r="J133" i="10" s="1"/>
  <c r="M128" i="9"/>
  <c r="I133" i="10" s="1"/>
  <c r="L128" i="9"/>
  <c r="N133" i="10" s="1"/>
  <c r="J128" i="9"/>
  <c r="L133" i="10" s="1"/>
  <c r="I128" i="9"/>
  <c r="K133" i="10" s="1"/>
  <c r="Q128" i="9"/>
  <c r="P133" i="10" s="1"/>
  <c r="A128" i="9"/>
  <c r="A133" i="10" s="1"/>
  <c r="B127" i="9"/>
  <c r="C127" i="9" s="1"/>
  <c r="P113" i="2"/>
  <c r="M113" i="2"/>
  <c r="I118" i="3" s="1"/>
  <c r="J113" i="2"/>
  <c r="L118" i="3" s="1"/>
  <c r="Q113" i="2"/>
  <c r="P118" i="3" s="1"/>
  <c r="J118" i="3"/>
  <c r="L113" i="2"/>
  <c r="N118" i="3" s="1"/>
  <c r="I113" i="2"/>
  <c r="K118" i="3" s="1"/>
  <c r="S110" i="2"/>
  <c r="T110" i="2" s="1"/>
  <c r="D110" i="2"/>
  <c r="D111" i="2"/>
  <c r="A117" i="3"/>
  <c r="A113" i="2"/>
  <c r="N114" i="2" s="1"/>
  <c r="B112" i="2"/>
  <c r="C112" i="2" s="1"/>
  <c r="G55" i="7"/>
  <c r="S127" i="9" l="1"/>
  <c r="T127" i="9" s="1"/>
  <c r="B132" i="10"/>
  <c r="O118" i="3"/>
  <c r="D127" i="9"/>
  <c r="C132" i="10" s="1"/>
  <c r="C115" i="3"/>
  <c r="C116" i="3"/>
  <c r="Q129" i="9"/>
  <c r="P134" i="10" s="1"/>
  <c r="P129" i="9"/>
  <c r="O134" i="10" s="1"/>
  <c r="N129" i="9"/>
  <c r="J134" i="10" s="1"/>
  <c r="A129" i="9"/>
  <c r="A134" i="10" s="1"/>
  <c r="M129" i="9"/>
  <c r="I134" i="10" s="1"/>
  <c r="I129" i="9"/>
  <c r="K134" i="10" s="1"/>
  <c r="L129" i="9"/>
  <c r="N134" i="10" s="1"/>
  <c r="J129" i="9"/>
  <c r="L134" i="10" s="1"/>
  <c r="B128" i="9"/>
  <c r="C128" i="9" s="1"/>
  <c r="Q114" i="2"/>
  <c r="P119" i="3" s="1"/>
  <c r="J119" i="3"/>
  <c r="L114" i="2"/>
  <c r="N119" i="3" s="1"/>
  <c r="I114" i="2"/>
  <c r="K119" i="3" s="1"/>
  <c r="P114" i="2"/>
  <c r="M114" i="2"/>
  <c r="I119" i="3" s="1"/>
  <c r="J114" i="2"/>
  <c r="L119" i="3" s="1"/>
  <c r="S111" i="2"/>
  <c r="T111" i="2" s="1"/>
  <c r="B116" i="3"/>
  <c r="D112" i="2"/>
  <c r="A114" i="2"/>
  <c r="N115" i="2" s="1"/>
  <c r="A118" i="3"/>
  <c r="B113" i="2"/>
  <c r="C113" i="2" s="1"/>
  <c r="F55" i="7"/>
  <c r="S128" i="9" l="1"/>
  <c r="T128" i="9" s="1"/>
  <c r="B133" i="10"/>
  <c r="O119" i="3"/>
  <c r="C117" i="3"/>
  <c r="D128" i="9"/>
  <c r="C133" i="10" s="1"/>
  <c r="P130" i="9"/>
  <c r="O135" i="10" s="1"/>
  <c r="N130" i="9"/>
  <c r="J135" i="10" s="1"/>
  <c r="A130" i="9"/>
  <c r="A135" i="10" s="1"/>
  <c r="M130" i="9"/>
  <c r="I135" i="10" s="1"/>
  <c r="L130" i="9"/>
  <c r="N135" i="10" s="1"/>
  <c r="J130" i="9"/>
  <c r="L135" i="10" s="1"/>
  <c r="I130" i="9"/>
  <c r="K135" i="10" s="1"/>
  <c r="Q130" i="9"/>
  <c r="P135" i="10" s="1"/>
  <c r="B129" i="9"/>
  <c r="C129" i="9" s="1"/>
  <c r="P115" i="2"/>
  <c r="M115" i="2"/>
  <c r="I120" i="3" s="1"/>
  <c r="J115" i="2"/>
  <c r="L120" i="3" s="1"/>
  <c r="Q115" i="2"/>
  <c r="P120" i="3" s="1"/>
  <c r="J120" i="3"/>
  <c r="L115" i="2"/>
  <c r="N120" i="3" s="1"/>
  <c r="I115" i="2"/>
  <c r="K120" i="3" s="1"/>
  <c r="B117" i="3"/>
  <c r="S112" i="2"/>
  <c r="T112" i="2" s="1"/>
  <c r="D113" i="2"/>
  <c r="A115" i="2"/>
  <c r="N116" i="2" s="1"/>
  <c r="A119" i="3"/>
  <c r="B114" i="2"/>
  <c r="C114" i="2" s="1"/>
  <c r="H55" i="7"/>
  <c r="E55" i="7"/>
  <c r="S129" i="9" l="1"/>
  <c r="T129" i="9" s="1"/>
  <c r="B134" i="10"/>
  <c r="O120" i="3"/>
  <c r="D129" i="9"/>
  <c r="C134" i="10" s="1"/>
  <c r="C118" i="3"/>
  <c r="J131" i="9"/>
  <c r="L136" i="10" s="1"/>
  <c r="I131" i="9"/>
  <c r="K136" i="10" s="1"/>
  <c r="Q131" i="9"/>
  <c r="P136" i="10" s="1"/>
  <c r="P131" i="9"/>
  <c r="O136" i="10" s="1"/>
  <c r="M131" i="9"/>
  <c r="I136" i="10" s="1"/>
  <c r="A131" i="9"/>
  <c r="A136" i="10" s="1"/>
  <c r="N131" i="9"/>
  <c r="J136" i="10" s="1"/>
  <c r="L131" i="9"/>
  <c r="N136" i="10" s="1"/>
  <c r="B130" i="9"/>
  <c r="C130" i="9" s="1"/>
  <c r="Q116" i="2"/>
  <c r="P121" i="3" s="1"/>
  <c r="J121" i="3"/>
  <c r="L116" i="2"/>
  <c r="N121" i="3" s="1"/>
  <c r="I116" i="2"/>
  <c r="K121" i="3" s="1"/>
  <c r="P116" i="2"/>
  <c r="M116" i="2"/>
  <c r="I121" i="3" s="1"/>
  <c r="J116" i="2"/>
  <c r="L121" i="3" s="1"/>
  <c r="S113" i="2"/>
  <c r="T113" i="2" s="1"/>
  <c r="B118" i="3"/>
  <c r="D114" i="2"/>
  <c r="A116" i="2"/>
  <c r="N117" i="2" s="1"/>
  <c r="A120" i="3"/>
  <c r="B115" i="2"/>
  <c r="C115" i="2" s="1"/>
  <c r="G56" i="7"/>
  <c r="S130" i="9" l="1"/>
  <c r="T130" i="9" s="1"/>
  <c r="B135" i="10"/>
  <c r="O121" i="3"/>
  <c r="C119" i="3"/>
  <c r="M132" i="9"/>
  <c r="I137" i="10" s="1"/>
  <c r="L132" i="9"/>
  <c r="N137" i="10" s="1"/>
  <c r="A132" i="9"/>
  <c r="A137" i="10" s="1"/>
  <c r="Q132" i="9"/>
  <c r="P137" i="10" s="1"/>
  <c r="P132" i="9"/>
  <c r="O137" i="10" s="1"/>
  <c r="N132" i="9"/>
  <c r="J137" i="10" s="1"/>
  <c r="J132" i="9"/>
  <c r="L137" i="10" s="1"/>
  <c r="I132" i="9"/>
  <c r="K137" i="10" s="1"/>
  <c r="B131" i="9"/>
  <c r="C131" i="9" s="1"/>
  <c r="D130" i="9"/>
  <c r="C135" i="10" s="1"/>
  <c r="P117" i="2"/>
  <c r="M117" i="2"/>
  <c r="I122" i="3" s="1"/>
  <c r="J117" i="2"/>
  <c r="L122" i="3" s="1"/>
  <c r="Q117" i="2"/>
  <c r="P122" i="3" s="1"/>
  <c r="J122" i="3"/>
  <c r="L117" i="2"/>
  <c r="N122" i="3" s="1"/>
  <c r="I117" i="2"/>
  <c r="K122" i="3" s="1"/>
  <c r="B119" i="3"/>
  <c r="S114" i="2"/>
  <c r="T114" i="2" s="1"/>
  <c r="D115" i="2"/>
  <c r="A117" i="2"/>
  <c r="N118" i="2" s="1"/>
  <c r="A121" i="3"/>
  <c r="B116" i="2"/>
  <c r="C116" i="2" s="1"/>
  <c r="F56" i="7"/>
  <c r="S131" i="9" l="1"/>
  <c r="T131" i="9" s="1"/>
  <c r="B136" i="10"/>
  <c r="O122" i="3"/>
  <c r="C120" i="3"/>
  <c r="M133" i="9"/>
  <c r="I138" i="10" s="1"/>
  <c r="J133" i="9"/>
  <c r="L138" i="10" s="1"/>
  <c r="I133" i="9"/>
  <c r="K138" i="10" s="1"/>
  <c r="Q133" i="9"/>
  <c r="P138" i="10" s="1"/>
  <c r="L133" i="9"/>
  <c r="N138" i="10" s="1"/>
  <c r="P133" i="9"/>
  <c r="O138" i="10" s="1"/>
  <c r="A133" i="9"/>
  <c r="A138" i="10" s="1"/>
  <c r="B132" i="9"/>
  <c r="C132" i="9" s="1"/>
  <c r="D131" i="9"/>
  <c r="C136" i="10" s="1"/>
  <c r="Q118" i="2"/>
  <c r="P123" i="3" s="1"/>
  <c r="J123" i="3"/>
  <c r="L118" i="2"/>
  <c r="N123" i="3" s="1"/>
  <c r="I118" i="2"/>
  <c r="K123" i="3" s="1"/>
  <c r="P118" i="2"/>
  <c r="M118" i="2"/>
  <c r="I123" i="3" s="1"/>
  <c r="J118" i="2"/>
  <c r="L123" i="3" s="1"/>
  <c r="S115" i="2"/>
  <c r="T115" i="2" s="1"/>
  <c r="B120" i="3"/>
  <c r="D116" i="2"/>
  <c r="A118" i="2"/>
  <c r="N119" i="2" s="1"/>
  <c r="A122" i="3"/>
  <c r="B117" i="2"/>
  <c r="C117" i="2" s="1"/>
  <c r="H56" i="7"/>
  <c r="E56" i="7"/>
  <c r="S132" i="9" l="1"/>
  <c r="T132" i="9" s="1"/>
  <c r="B137" i="10"/>
  <c r="O123" i="3"/>
  <c r="C121" i="3"/>
  <c r="D132" i="9"/>
  <c r="C137" i="10" s="1"/>
  <c r="Q134" i="9"/>
  <c r="P139" i="10" s="1"/>
  <c r="P134" i="9"/>
  <c r="O139" i="10" s="1"/>
  <c r="L134" i="9"/>
  <c r="N139" i="10" s="1"/>
  <c r="A134" i="9"/>
  <c r="A139" i="10" s="1"/>
  <c r="N134" i="9"/>
  <c r="J139" i="10" s="1"/>
  <c r="M134" i="9"/>
  <c r="I139" i="10" s="1"/>
  <c r="J134" i="9"/>
  <c r="L139" i="10" s="1"/>
  <c r="I134" i="9"/>
  <c r="K139" i="10" s="1"/>
  <c r="B133" i="9"/>
  <c r="C133" i="9" s="1"/>
  <c r="P119" i="2"/>
  <c r="M119" i="2"/>
  <c r="I124" i="3" s="1"/>
  <c r="J119" i="2"/>
  <c r="L124" i="3" s="1"/>
  <c r="Q119" i="2"/>
  <c r="P124" i="3" s="1"/>
  <c r="J124" i="3"/>
  <c r="L119" i="2"/>
  <c r="N124" i="3" s="1"/>
  <c r="I119" i="2"/>
  <c r="K124" i="3" s="1"/>
  <c r="B121" i="3"/>
  <c r="D117" i="2"/>
  <c r="S116" i="2"/>
  <c r="T116" i="2" s="1"/>
  <c r="A119" i="2"/>
  <c r="N120" i="2" s="1"/>
  <c r="A123" i="3"/>
  <c r="B118" i="2"/>
  <c r="C118" i="2" s="1"/>
  <c r="G57" i="7"/>
  <c r="S133" i="9" l="1"/>
  <c r="T133" i="9" s="1"/>
  <c r="B138" i="10"/>
  <c r="O124" i="3"/>
  <c r="C122" i="3"/>
  <c r="N135" i="9"/>
  <c r="J140" i="10" s="1"/>
  <c r="M135" i="9"/>
  <c r="I140" i="10" s="1"/>
  <c r="L135" i="9"/>
  <c r="N140" i="10" s="1"/>
  <c r="J135" i="9"/>
  <c r="L140" i="10" s="1"/>
  <c r="I135" i="9"/>
  <c r="K140" i="10" s="1"/>
  <c r="P135" i="9"/>
  <c r="O140" i="10" s="1"/>
  <c r="A135" i="9"/>
  <c r="A140" i="10" s="1"/>
  <c r="Q135" i="9"/>
  <c r="P140" i="10" s="1"/>
  <c r="B134" i="9"/>
  <c r="C134" i="9" s="1"/>
  <c r="D133" i="9"/>
  <c r="C138" i="10" s="1"/>
  <c r="Q120" i="2"/>
  <c r="P125" i="3" s="1"/>
  <c r="J125" i="3"/>
  <c r="L120" i="2"/>
  <c r="N125" i="3" s="1"/>
  <c r="I120" i="2"/>
  <c r="K125" i="3" s="1"/>
  <c r="P120" i="2"/>
  <c r="M120" i="2"/>
  <c r="I125" i="3" s="1"/>
  <c r="J120" i="2"/>
  <c r="L125" i="3" s="1"/>
  <c r="B122" i="3"/>
  <c r="S117" i="2"/>
  <c r="T117" i="2" s="1"/>
  <c r="D118" i="2"/>
  <c r="A120" i="2"/>
  <c r="A124" i="3"/>
  <c r="B119" i="2"/>
  <c r="C119" i="2" s="1"/>
  <c r="F57" i="7"/>
  <c r="S134" i="9" l="1"/>
  <c r="T134" i="9" s="1"/>
  <c r="B139" i="10"/>
  <c r="O125" i="3"/>
  <c r="C123" i="3"/>
  <c r="D134" i="9"/>
  <c r="C139" i="10" s="1"/>
  <c r="I136" i="9"/>
  <c r="K141" i="10" s="1"/>
  <c r="Q136" i="9"/>
  <c r="P141" i="10" s="1"/>
  <c r="J136" i="9"/>
  <c r="L141" i="10" s="1"/>
  <c r="P136" i="9"/>
  <c r="O141" i="10" s="1"/>
  <c r="L136" i="9"/>
  <c r="N141" i="10" s="1"/>
  <c r="A136" i="9"/>
  <c r="A141" i="10" s="1"/>
  <c r="N136" i="9"/>
  <c r="J141" i="10" s="1"/>
  <c r="M136" i="9"/>
  <c r="I141" i="10" s="1"/>
  <c r="B135" i="9"/>
  <c r="C135" i="9" s="1"/>
  <c r="K121" i="2"/>
  <c r="M126" i="3" s="1"/>
  <c r="N121" i="2"/>
  <c r="AE10" i="2" s="1"/>
  <c r="Q121" i="2"/>
  <c r="P126" i="3" s="1"/>
  <c r="L121" i="2"/>
  <c r="N126" i="3" s="1"/>
  <c r="J121" i="2"/>
  <c r="L126" i="3" s="1"/>
  <c r="P121" i="2"/>
  <c r="M121" i="2"/>
  <c r="I126" i="3" s="1"/>
  <c r="I121" i="2"/>
  <c r="K126" i="3" s="1"/>
  <c r="S118" i="2"/>
  <c r="T118" i="2" s="1"/>
  <c r="B123" i="3"/>
  <c r="S119" i="2"/>
  <c r="T119" i="2" s="1"/>
  <c r="A121" i="2"/>
  <c r="N122" i="2" s="1"/>
  <c r="A125" i="3"/>
  <c r="B120" i="2"/>
  <c r="C120" i="2" s="1"/>
  <c r="H57" i="7"/>
  <c r="E57" i="7"/>
  <c r="Y10" i="2" l="1"/>
  <c r="Z10" i="2" s="1"/>
  <c r="S135" i="9"/>
  <c r="T135" i="9" s="1"/>
  <c r="B140" i="10"/>
  <c r="D135" i="9"/>
  <c r="C140" i="10" s="1"/>
  <c r="O126" i="3"/>
  <c r="L137" i="9"/>
  <c r="N142" i="10" s="1"/>
  <c r="A137" i="9"/>
  <c r="A142" i="10" s="1"/>
  <c r="J137" i="9"/>
  <c r="L142" i="10" s="1"/>
  <c r="Q137" i="9"/>
  <c r="P142" i="10" s="1"/>
  <c r="P137" i="9"/>
  <c r="O142" i="10" s="1"/>
  <c r="N137" i="9"/>
  <c r="J142" i="10" s="1"/>
  <c r="I137" i="9"/>
  <c r="K142" i="10" s="1"/>
  <c r="M137" i="9"/>
  <c r="I142" i="10" s="1"/>
  <c r="B136" i="9"/>
  <c r="C136" i="9" s="1"/>
  <c r="J126" i="3"/>
  <c r="P122" i="2"/>
  <c r="M122" i="2"/>
  <c r="I127" i="3" s="1"/>
  <c r="J122" i="2"/>
  <c r="L127" i="3" s="1"/>
  <c r="Q122" i="2"/>
  <c r="P127" i="3" s="1"/>
  <c r="J127" i="3"/>
  <c r="L122" i="2"/>
  <c r="N127" i="3" s="1"/>
  <c r="I122" i="2"/>
  <c r="K127" i="3" s="1"/>
  <c r="B124" i="3"/>
  <c r="D119" i="2"/>
  <c r="D120" i="2"/>
  <c r="A122" i="2"/>
  <c r="N123" i="2" s="1"/>
  <c r="A126" i="3"/>
  <c r="B121" i="2"/>
  <c r="C121" i="2" s="1"/>
  <c r="G58" i="7"/>
  <c r="S136" i="9" l="1"/>
  <c r="T136" i="9" s="1"/>
  <c r="B141" i="10"/>
  <c r="O127" i="3"/>
  <c r="C125" i="3"/>
  <c r="C124" i="3"/>
  <c r="D136" i="9"/>
  <c r="C141" i="10" s="1"/>
  <c r="N138" i="9"/>
  <c r="J143" i="10" s="1"/>
  <c r="M138" i="9"/>
  <c r="I143" i="10" s="1"/>
  <c r="I138" i="9"/>
  <c r="K143" i="10" s="1"/>
  <c r="A138" i="9"/>
  <c r="A143" i="10" s="1"/>
  <c r="Q138" i="9"/>
  <c r="P143" i="10" s="1"/>
  <c r="P138" i="9"/>
  <c r="O143" i="10" s="1"/>
  <c r="L138" i="9"/>
  <c r="N143" i="10" s="1"/>
  <c r="J138" i="9"/>
  <c r="L143" i="10" s="1"/>
  <c r="B137" i="9"/>
  <c r="C137" i="9" s="1"/>
  <c r="Q123" i="2"/>
  <c r="P128" i="3" s="1"/>
  <c r="J128" i="3"/>
  <c r="L123" i="2"/>
  <c r="N128" i="3" s="1"/>
  <c r="I123" i="2"/>
  <c r="K128" i="3" s="1"/>
  <c r="P123" i="2"/>
  <c r="M123" i="2"/>
  <c r="I128" i="3" s="1"/>
  <c r="J123" i="2"/>
  <c r="L128" i="3" s="1"/>
  <c r="S120" i="2"/>
  <c r="T120" i="2" s="1"/>
  <c r="B125" i="3"/>
  <c r="D121" i="2"/>
  <c r="A123" i="2"/>
  <c r="N124" i="2" s="1"/>
  <c r="A127" i="3"/>
  <c r="B122" i="2"/>
  <c r="C122" i="2" s="1"/>
  <c r="F58" i="7"/>
  <c r="S137" i="9" l="1"/>
  <c r="T137" i="9" s="1"/>
  <c r="B142" i="10"/>
  <c r="O128" i="3"/>
  <c r="C126" i="3"/>
  <c r="D137" i="9"/>
  <c r="C142" i="10" s="1"/>
  <c r="Q139" i="9"/>
  <c r="P144" i="10" s="1"/>
  <c r="P139" i="9"/>
  <c r="O144" i="10" s="1"/>
  <c r="L139" i="9"/>
  <c r="N144" i="10" s="1"/>
  <c r="A139" i="9"/>
  <c r="A144" i="10" s="1"/>
  <c r="M139" i="9"/>
  <c r="I144" i="10" s="1"/>
  <c r="J139" i="9"/>
  <c r="L144" i="10" s="1"/>
  <c r="I139" i="9"/>
  <c r="K144" i="10" s="1"/>
  <c r="N139" i="9"/>
  <c r="J144" i="10" s="1"/>
  <c r="B138" i="9"/>
  <c r="C138" i="9" s="1"/>
  <c r="P124" i="2"/>
  <c r="M124" i="2"/>
  <c r="I129" i="3" s="1"/>
  <c r="J124" i="2"/>
  <c r="L129" i="3" s="1"/>
  <c r="Q124" i="2"/>
  <c r="P129" i="3" s="1"/>
  <c r="J129" i="3"/>
  <c r="L124" i="2"/>
  <c r="N129" i="3" s="1"/>
  <c r="I124" i="2"/>
  <c r="K129" i="3" s="1"/>
  <c r="S121" i="2"/>
  <c r="T121" i="2" s="1"/>
  <c r="B126" i="3"/>
  <c r="D122" i="2"/>
  <c r="A124" i="2"/>
  <c r="N125" i="2" s="1"/>
  <c r="A128" i="3"/>
  <c r="B123" i="2"/>
  <c r="C123" i="2" s="1"/>
  <c r="H58" i="7"/>
  <c r="E58" i="7"/>
  <c r="S138" i="9" l="1"/>
  <c r="T138" i="9" s="1"/>
  <c r="B143" i="10"/>
  <c r="O129" i="3"/>
  <c r="C127" i="3"/>
  <c r="D138" i="9"/>
  <c r="C143" i="10" s="1"/>
  <c r="N140" i="9"/>
  <c r="J145" i="10" s="1"/>
  <c r="I140" i="9"/>
  <c r="K145" i="10" s="1"/>
  <c r="Q140" i="9"/>
  <c r="P145" i="10" s="1"/>
  <c r="A140" i="9"/>
  <c r="A145" i="10" s="1"/>
  <c r="P140" i="9"/>
  <c r="O145" i="10" s="1"/>
  <c r="J140" i="9"/>
  <c r="L145" i="10" s="1"/>
  <c r="M140" i="9"/>
  <c r="I145" i="10" s="1"/>
  <c r="L140" i="9"/>
  <c r="N145" i="10" s="1"/>
  <c r="B139" i="9"/>
  <c r="C139" i="9" s="1"/>
  <c r="Q125" i="2"/>
  <c r="P130" i="3" s="1"/>
  <c r="J130" i="3"/>
  <c r="L125" i="2"/>
  <c r="N130" i="3" s="1"/>
  <c r="I125" i="2"/>
  <c r="K130" i="3" s="1"/>
  <c r="P125" i="2"/>
  <c r="M125" i="2"/>
  <c r="I130" i="3" s="1"/>
  <c r="J125" i="2"/>
  <c r="L130" i="3" s="1"/>
  <c r="D123" i="2"/>
  <c r="B127" i="3"/>
  <c r="S122" i="2"/>
  <c r="T122" i="2" s="1"/>
  <c r="A125" i="2"/>
  <c r="N126" i="2" s="1"/>
  <c r="A129" i="3"/>
  <c r="B124" i="2"/>
  <c r="C124" i="2" s="1"/>
  <c r="G59" i="7"/>
  <c r="S139" i="9" l="1"/>
  <c r="T139" i="9" s="1"/>
  <c r="B144" i="10"/>
  <c r="O130" i="3"/>
  <c r="C128" i="3"/>
  <c r="D139" i="9"/>
  <c r="C144" i="10" s="1"/>
  <c r="I141" i="9"/>
  <c r="K146" i="10" s="1"/>
  <c r="Q141" i="9"/>
  <c r="P146" i="10" s="1"/>
  <c r="P141" i="9"/>
  <c r="O146" i="10" s="1"/>
  <c r="A141" i="9"/>
  <c r="A146" i="10" s="1"/>
  <c r="N141" i="9"/>
  <c r="J146" i="10" s="1"/>
  <c r="M141" i="9"/>
  <c r="I146" i="10" s="1"/>
  <c r="J141" i="9"/>
  <c r="L146" i="10" s="1"/>
  <c r="L141" i="9"/>
  <c r="N146" i="10" s="1"/>
  <c r="B140" i="9"/>
  <c r="C140" i="9" s="1"/>
  <c r="P126" i="2"/>
  <c r="M126" i="2"/>
  <c r="I131" i="3" s="1"/>
  <c r="J126" i="2"/>
  <c r="L131" i="3" s="1"/>
  <c r="Q126" i="2"/>
  <c r="P131" i="3" s="1"/>
  <c r="J131" i="3"/>
  <c r="L126" i="2"/>
  <c r="N131" i="3" s="1"/>
  <c r="I126" i="2"/>
  <c r="K131" i="3" s="1"/>
  <c r="B128" i="3"/>
  <c r="S123" i="2"/>
  <c r="T123" i="2" s="1"/>
  <c r="D124" i="2"/>
  <c r="A126" i="2"/>
  <c r="N127" i="2" s="1"/>
  <c r="A130" i="3"/>
  <c r="B125" i="2"/>
  <c r="C125" i="2" s="1"/>
  <c r="F59" i="7"/>
  <c r="S140" i="9" l="1"/>
  <c r="T140" i="9" s="1"/>
  <c r="B145" i="10"/>
  <c r="O131" i="3"/>
  <c r="C129" i="3"/>
  <c r="L142" i="9"/>
  <c r="N147" i="10" s="1"/>
  <c r="A142" i="9"/>
  <c r="A147" i="10" s="1"/>
  <c r="J142" i="9"/>
  <c r="L147" i="10" s="1"/>
  <c r="Q142" i="9"/>
  <c r="P147" i="10" s="1"/>
  <c r="P142" i="9"/>
  <c r="O147" i="10" s="1"/>
  <c r="N142" i="9"/>
  <c r="J147" i="10" s="1"/>
  <c r="M142" i="9"/>
  <c r="I147" i="10" s="1"/>
  <c r="I142" i="9"/>
  <c r="K147" i="10" s="1"/>
  <c r="B141" i="9"/>
  <c r="C141" i="9" s="1"/>
  <c r="D140" i="9"/>
  <c r="C145" i="10" s="1"/>
  <c r="Q127" i="2"/>
  <c r="P132" i="3" s="1"/>
  <c r="J132" i="3"/>
  <c r="L127" i="2"/>
  <c r="N132" i="3" s="1"/>
  <c r="I127" i="2"/>
  <c r="K132" i="3" s="1"/>
  <c r="P127" i="2"/>
  <c r="M127" i="2"/>
  <c r="I132" i="3" s="1"/>
  <c r="J127" i="2"/>
  <c r="L132" i="3" s="1"/>
  <c r="B129" i="3"/>
  <c r="S124" i="2"/>
  <c r="T124" i="2" s="1"/>
  <c r="D125" i="2"/>
  <c r="A127" i="2"/>
  <c r="N128" i="2" s="1"/>
  <c r="A131" i="3"/>
  <c r="B126" i="2"/>
  <c r="C126" i="2" s="1"/>
  <c r="H59" i="7"/>
  <c r="E59" i="7"/>
  <c r="S141" i="9" l="1"/>
  <c r="T141" i="9" s="1"/>
  <c r="B146" i="10"/>
  <c r="O132" i="3"/>
  <c r="C130" i="3"/>
  <c r="N143" i="9"/>
  <c r="J148" i="10" s="1"/>
  <c r="M143" i="9"/>
  <c r="I148" i="10" s="1"/>
  <c r="I143" i="9"/>
  <c r="K148" i="10" s="1"/>
  <c r="Q143" i="9"/>
  <c r="P148" i="10" s="1"/>
  <c r="P143" i="9"/>
  <c r="O148" i="10" s="1"/>
  <c r="L143" i="9"/>
  <c r="N148" i="10" s="1"/>
  <c r="J143" i="9"/>
  <c r="L148" i="10" s="1"/>
  <c r="A143" i="9"/>
  <c r="A148" i="10" s="1"/>
  <c r="B142" i="9"/>
  <c r="C142" i="9" s="1"/>
  <c r="D141" i="9"/>
  <c r="C146" i="10" s="1"/>
  <c r="P128" i="2"/>
  <c r="M128" i="2"/>
  <c r="I133" i="3" s="1"/>
  <c r="J128" i="2"/>
  <c r="L133" i="3" s="1"/>
  <c r="Q128" i="2"/>
  <c r="P133" i="3" s="1"/>
  <c r="J133" i="3"/>
  <c r="L128" i="2"/>
  <c r="N133" i="3" s="1"/>
  <c r="I128" i="2"/>
  <c r="K133" i="3" s="1"/>
  <c r="S125" i="2"/>
  <c r="T125" i="2" s="1"/>
  <c r="B130" i="3"/>
  <c r="D126" i="2"/>
  <c r="A128" i="2"/>
  <c r="N129" i="2" s="1"/>
  <c r="A132" i="3"/>
  <c r="B127" i="2"/>
  <c r="C127" i="2" s="1"/>
  <c r="G60" i="7"/>
  <c r="S142" i="9" l="1"/>
  <c r="T142" i="9" s="1"/>
  <c r="B147" i="10"/>
  <c r="O133" i="3"/>
  <c r="C131" i="3"/>
  <c r="D142" i="9"/>
  <c r="C147" i="10" s="1"/>
  <c r="Q144" i="9"/>
  <c r="P149" i="10" s="1"/>
  <c r="P144" i="9"/>
  <c r="O149" i="10" s="1"/>
  <c r="L144" i="9"/>
  <c r="N149" i="10" s="1"/>
  <c r="A144" i="9"/>
  <c r="A149" i="10" s="1"/>
  <c r="J144" i="9"/>
  <c r="L149" i="10" s="1"/>
  <c r="N144" i="9"/>
  <c r="J149" i="10" s="1"/>
  <c r="M144" i="9"/>
  <c r="I149" i="10" s="1"/>
  <c r="I144" i="9"/>
  <c r="K149" i="10" s="1"/>
  <c r="B143" i="9"/>
  <c r="C143" i="9" s="1"/>
  <c r="Q129" i="2"/>
  <c r="P134" i="3" s="1"/>
  <c r="J134" i="3"/>
  <c r="L129" i="2"/>
  <c r="N134" i="3" s="1"/>
  <c r="I129" i="2"/>
  <c r="K134" i="3" s="1"/>
  <c r="P129" i="2"/>
  <c r="M129" i="2"/>
  <c r="I134" i="3" s="1"/>
  <c r="J129" i="2"/>
  <c r="L134" i="3" s="1"/>
  <c r="B132" i="3"/>
  <c r="S126" i="2"/>
  <c r="T126" i="2" s="1"/>
  <c r="B131" i="3"/>
  <c r="A129" i="2"/>
  <c r="N130" i="2" s="1"/>
  <c r="A133" i="3"/>
  <c r="B128" i="2"/>
  <c r="C128" i="2" s="1"/>
  <c r="F60" i="7"/>
  <c r="S143" i="9" l="1"/>
  <c r="T143" i="9" s="1"/>
  <c r="B148" i="10"/>
  <c r="O134" i="3"/>
  <c r="D143" i="9"/>
  <c r="C148" i="10" s="1"/>
  <c r="Q145" i="9"/>
  <c r="P150" i="10" s="1"/>
  <c r="M145" i="9"/>
  <c r="I150" i="10" s="1"/>
  <c r="L145" i="9"/>
  <c r="N150" i="10" s="1"/>
  <c r="J145" i="9"/>
  <c r="L150" i="10" s="1"/>
  <c r="I145" i="9"/>
  <c r="K150" i="10" s="1"/>
  <c r="P145" i="9"/>
  <c r="O150" i="10" s="1"/>
  <c r="A145" i="9"/>
  <c r="A150" i="10" s="1"/>
  <c r="B144" i="9"/>
  <c r="C144" i="9" s="1"/>
  <c r="P130" i="2"/>
  <c r="M130" i="2"/>
  <c r="I135" i="3" s="1"/>
  <c r="J130" i="2"/>
  <c r="L135" i="3" s="1"/>
  <c r="Q130" i="2"/>
  <c r="P135" i="3" s="1"/>
  <c r="J135" i="3"/>
  <c r="L130" i="2"/>
  <c r="N135" i="3" s="1"/>
  <c r="I130" i="2"/>
  <c r="K135" i="3" s="1"/>
  <c r="S127" i="2"/>
  <c r="T127" i="2" s="1"/>
  <c r="D127" i="2"/>
  <c r="D128" i="2"/>
  <c r="A130" i="2"/>
  <c r="N131" i="2" s="1"/>
  <c r="A134" i="3"/>
  <c r="B129" i="2"/>
  <c r="C129" i="2" s="1"/>
  <c r="H60" i="7"/>
  <c r="E60" i="7"/>
  <c r="S144" i="9" l="1"/>
  <c r="T144" i="9" s="1"/>
  <c r="B149" i="10"/>
  <c r="O135" i="3"/>
  <c r="D144" i="9"/>
  <c r="C149" i="10" s="1"/>
  <c r="C133" i="3"/>
  <c r="C132" i="3"/>
  <c r="J146" i="9"/>
  <c r="L151" i="10" s="1"/>
  <c r="I146" i="9"/>
  <c r="K151" i="10" s="1"/>
  <c r="Q146" i="9"/>
  <c r="P151" i="10" s="1"/>
  <c r="N146" i="9"/>
  <c r="J151" i="10" s="1"/>
  <c r="M146" i="9"/>
  <c r="I151" i="10" s="1"/>
  <c r="L146" i="9"/>
  <c r="N151" i="10" s="1"/>
  <c r="P146" i="9"/>
  <c r="O151" i="10" s="1"/>
  <c r="A146" i="9"/>
  <c r="A151" i="10" s="1"/>
  <c r="B145" i="9"/>
  <c r="C145" i="9" s="1"/>
  <c r="Q131" i="2"/>
  <c r="P136" i="3" s="1"/>
  <c r="J136" i="3"/>
  <c r="L131" i="2"/>
  <c r="N136" i="3" s="1"/>
  <c r="I131" i="2"/>
  <c r="K136" i="3" s="1"/>
  <c r="P131" i="2"/>
  <c r="M131" i="2"/>
  <c r="I136" i="3" s="1"/>
  <c r="J131" i="2"/>
  <c r="L136" i="3" s="1"/>
  <c r="S128" i="2"/>
  <c r="T128" i="2" s="1"/>
  <c r="D129" i="2"/>
  <c r="B133" i="3"/>
  <c r="A131" i="2"/>
  <c r="N132" i="2" s="1"/>
  <c r="A135" i="3"/>
  <c r="B130" i="2"/>
  <c r="C130" i="2" s="1"/>
  <c r="G61" i="7"/>
  <c r="S145" i="9" l="1"/>
  <c r="T145" i="9" s="1"/>
  <c r="B150" i="10"/>
  <c r="O136" i="3"/>
  <c r="C134" i="3"/>
  <c r="J147" i="9"/>
  <c r="L152" i="10" s="1"/>
  <c r="P147" i="9"/>
  <c r="O152" i="10" s="1"/>
  <c r="N147" i="9"/>
  <c r="J152" i="10" s="1"/>
  <c r="I147" i="9"/>
  <c r="K152" i="10" s="1"/>
  <c r="Q147" i="9"/>
  <c r="P152" i="10" s="1"/>
  <c r="M147" i="9"/>
  <c r="I152" i="10" s="1"/>
  <c r="L147" i="9"/>
  <c r="N152" i="10" s="1"/>
  <c r="A147" i="9"/>
  <c r="A152" i="10" s="1"/>
  <c r="B146" i="9"/>
  <c r="C146" i="9" s="1"/>
  <c r="D145" i="9"/>
  <c r="C150" i="10" s="1"/>
  <c r="P132" i="2"/>
  <c r="M132" i="2"/>
  <c r="I137" i="3" s="1"/>
  <c r="J132" i="2"/>
  <c r="L137" i="3" s="1"/>
  <c r="Q132" i="2"/>
  <c r="P137" i="3" s="1"/>
  <c r="J137" i="3"/>
  <c r="L132" i="2"/>
  <c r="N137" i="3" s="1"/>
  <c r="I132" i="2"/>
  <c r="K137" i="3" s="1"/>
  <c r="S129" i="2"/>
  <c r="T129" i="2" s="1"/>
  <c r="B134" i="3"/>
  <c r="D130" i="2"/>
  <c r="A132" i="2"/>
  <c r="A136" i="3"/>
  <c r="B131" i="2"/>
  <c r="C131" i="2" s="1"/>
  <c r="F61" i="7"/>
  <c r="S146" i="9" l="1"/>
  <c r="T146" i="9" s="1"/>
  <c r="B151" i="10"/>
  <c r="O137" i="3"/>
  <c r="D146" i="9"/>
  <c r="C151" i="10" s="1"/>
  <c r="C135" i="3"/>
  <c r="M148" i="9"/>
  <c r="I153" i="10" s="1"/>
  <c r="P148" i="9"/>
  <c r="O153" i="10" s="1"/>
  <c r="N148" i="9"/>
  <c r="J153" i="10" s="1"/>
  <c r="A148" i="9"/>
  <c r="A153" i="10" s="1"/>
  <c r="Q148" i="9"/>
  <c r="P153" i="10" s="1"/>
  <c r="L148" i="9"/>
  <c r="N153" i="10" s="1"/>
  <c r="J148" i="9"/>
  <c r="L153" i="10" s="1"/>
  <c r="I148" i="9"/>
  <c r="K153" i="10" s="1"/>
  <c r="B147" i="9"/>
  <c r="C147" i="9" s="1"/>
  <c r="K133" i="2"/>
  <c r="M138" i="3" s="1"/>
  <c r="N133" i="2"/>
  <c r="AE11" i="2" s="1"/>
  <c r="P133" i="2"/>
  <c r="M133" i="2"/>
  <c r="I138" i="3" s="1"/>
  <c r="I133" i="2"/>
  <c r="K138" i="3" s="1"/>
  <c r="Q133" i="2"/>
  <c r="P138" i="3" s="1"/>
  <c r="L133" i="2"/>
  <c r="N138" i="3" s="1"/>
  <c r="J133" i="2"/>
  <c r="L138" i="3" s="1"/>
  <c r="S130" i="2"/>
  <c r="T130" i="2" s="1"/>
  <c r="B135" i="3"/>
  <c r="D131" i="2"/>
  <c r="A133" i="2"/>
  <c r="N134" i="2" s="1"/>
  <c r="A137" i="3"/>
  <c r="B132" i="2"/>
  <c r="C132" i="2" s="1"/>
  <c r="H61" i="7"/>
  <c r="E61" i="7"/>
  <c r="J138" i="3" l="1"/>
  <c r="S147" i="9"/>
  <c r="T147" i="9" s="1"/>
  <c r="B152" i="10"/>
  <c r="O138" i="3"/>
  <c r="C136" i="3"/>
  <c r="P149" i="9"/>
  <c r="O154" i="10" s="1"/>
  <c r="L149" i="9"/>
  <c r="N154" i="10" s="1"/>
  <c r="J149" i="9"/>
  <c r="L154" i="10" s="1"/>
  <c r="Q149" i="9"/>
  <c r="P154" i="10" s="1"/>
  <c r="N149" i="9"/>
  <c r="J154" i="10" s="1"/>
  <c r="M149" i="9"/>
  <c r="I154" i="10" s="1"/>
  <c r="I149" i="9"/>
  <c r="K154" i="10" s="1"/>
  <c r="A149" i="9"/>
  <c r="A154" i="10" s="1"/>
  <c r="B148" i="9"/>
  <c r="C148" i="9" s="1"/>
  <c r="D147" i="9"/>
  <c r="C152" i="10" s="1"/>
  <c r="Y11" i="2"/>
  <c r="Z11" i="2" s="1"/>
  <c r="Q134" i="2"/>
  <c r="P139" i="3" s="1"/>
  <c r="J139" i="3"/>
  <c r="L134" i="2"/>
  <c r="N139" i="3" s="1"/>
  <c r="I134" i="2"/>
  <c r="K139" i="3" s="1"/>
  <c r="P134" i="2"/>
  <c r="M134" i="2"/>
  <c r="I139" i="3" s="1"/>
  <c r="J134" i="2"/>
  <c r="L139" i="3" s="1"/>
  <c r="B136" i="3"/>
  <c r="S131" i="2"/>
  <c r="T131" i="2" s="1"/>
  <c r="D132" i="2"/>
  <c r="A134" i="2"/>
  <c r="N135" i="2" s="1"/>
  <c r="A138" i="3"/>
  <c r="B133" i="2"/>
  <c r="C133" i="2" s="1"/>
  <c r="G62" i="7"/>
  <c r="S148" i="9" l="1"/>
  <c r="T148" i="9" s="1"/>
  <c r="B153" i="10"/>
  <c r="O139" i="3"/>
  <c r="C137" i="3"/>
  <c r="Q150" i="9"/>
  <c r="P155" i="10" s="1"/>
  <c r="P150" i="9"/>
  <c r="O155" i="10" s="1"/>
  <c r="L150" i="9"/>
  <c r="N155" i="10" s="1"/>
  <c r="J150" i="9"/>
  <c r="L155" i="10" s="1"/>
  <c r="N150" i="9"/>
  <c r="J155" i="10" s="1"/>
  <c r="M150" i="9"/>
  <c r="I155" i="10" s="1"/>
  <c r="I150" i="9"/>
  <c r="K155" i="10" s="1"/>
  <c r="A150" i="9"/>
  <c r="A155" i="10" s="1"/>
  <c r="B149" i="9"/>
  <c r="C149" i="9" s="1"/>
  <c r="D148" i="9"/>
  <c r="C153" i="10" s="1"/>
  <c r="P135" i="2"/>
  <c r="M135" i="2"/>
  <c r="I140" i="3" s="1"/>
  <c r="J135" i="2"/>
  <c r="L140" i="3" s="1"/>
  <c r="Q135" i="2"/>
  <c r="P140" i="3" s="1"/>
  <c r="J140" i="3"/>
  <c r="L135" i="2"/>
  <c r="N140" i="3" s="1"/>
  <c r="I135" i="2"/>
  <c r="K140" i="3" s="1"/>
  <c r="B137" i="3"/>
  <c r="S132" i="2"/>
  <c r="T132" i="2" s="1"/>
  <c r="D133" i="2"/>
  <c r="A135" i="2"/>
  <c r="N136" i="2" s="1"/>
  <c r="A139" i="3"/>
  <c r="B134" i="2"/>
  <c r="C134" i="2" s="1"/>
  <c r="F62" i="7"/>
  <c r="S149" i="9" l="1"/>
  <c r="T149" i="9" s="1"/>
  <c r="B154" i="10"/>
  <c r="O140" i="3"/>
  <c r="C138" i="3"/>
  <c r="I151" i="9"/>
  <c r="K156" i="10" s="1"/>
  <c r="Q151" i="9"/>
  <c r="P156" i="10" s="1"/>
  <c r="P151" i="9"/>
  <c r="O156" i="10" s="1"/>
  <c r="N151" i="9"/>
  <c r="J156" i="10" s="1"/>
  <c r="M151" i="9"/>
  <c r="I156" i="10" s="1"/>
  <c r="L151" i="9"/>
  <c r="N156" i="10" s="1"/>
  <c r="J151" i="9"/>
  <c r="L156" i="10" s="1"/>
  <c r="A151" i="9"/>
  <c r="A156" i="10" s="1"/>
  <c r="B150" i="9"/>
  <c r="C150" i="9" s="1"/>
  <c r="D149" i="9"/>
  <c r="C154" i="10" s="1"/>
  <c r="Q136" i="2"/>
  <c r="P141" i="3" s="1"/>
  <c r="J141" i="3"/>
  <c r="L136" i="2"/>
  <c r="N141" i="3" s="1"/>
  <c r="I136" i="2"/>
  <c r="K141" i="3" s="1"/>
  <c r="P136" i="2"/>
  <c r="M136" i="2"/>
  <c r="I141" i="3" s="1"/>
  <c r="J136" i="2"/>
  <c r="L141" i="3" s="1"/>
  <c r="S133" i="2"/>
  <c r="T133" i="2" s="1"/>
  <c r="B138" i="3"/>
  <c r="B139" i="3"/>
  <c r="A136" i="2"/>
  <c r="N137" i="2" s="1"/>
  <c r="A140" i="3"/>
  <c r="B135" i="2"/>
  <c r="C135" i="2" s="1"/>
  <c r="H62" i="7"/>
  <c r="E62" i="7"/>
  <c r="S150" i="9" l="1"/>
  <c r="T150" i="9" s="1"/>
  <c r="B155" i="10"/>
  <c r="O141" i="3"/>
  <c r="D150" i="9"/>
  <c r="C155" i="10" s="1"/>
  <c r="J152" i="9"/>
  <c r="L157" i="10" s="1"/>
  <c r="N152" i="9"/>
  <c r="J157" i="10" s="1"/>
  <c r="M152" i="9"/>
  <c r="I157" i="10" s="1"/>
  <c r="A152" i="9"/>
  <c r="A157" i="10" s="1"/>
  <c r="Q152" i="9"/>
  <c r="P157" i="10" s="1"/>
  <c r="P152" i="9"/>
  <c r="O157" i="10" s="1"/>
  <c r="L152" i="9"/>
  <c r="N157" i="10" s="1"/>
  <c r="I152" i="9"/>
  <c r="K157" i="10" s="1"/>
  <c r="B151" i="9"/>
  <c r="C151" i="9" s="1"/>
  <c r="P137" i="2"/>
  <c r="M137" i="2"/>
  <c r="I142" i="3" s="1"/>
  <c r="J137" i="2"/>
  <c r="L142" i="3" s="1"/>
  <c r="Q137" i="2"/>
  <c r="P142" i="3" s="1"/>
  <c r="J142" i="3"/>
  <c r="L137" i="2"/>
  <c r="N142" i="3" s="1"/>
  <c r="I137" i="2"/>
  <c r="K142" i="3" s="1"/>
  <c r="S134" i="2"/>
  <c r="T134" i="2" s="1"/>
  <c r="D134" i="2"/>
  <c r="D135" i="2"/>
  <c r="A137" i="2"/>
  <c r="N138" i="2" s="1"/>
  <c r="A141" i="3"/>
  <c r="B136" i="2"/>
  <c r="C136" i="2" s="1"/>
  <c r="G63" i="7"/>
  <c r="S151" i="9" l="1"/>
  <c r="T151" i="9" s="1"/>
  <c r="B156" i="10"/>
  <c r="O142" i="3"/>
  <c r="D151" i="9"/>
  <c r="C156" i="10" s="1"/>
  <c r="C140" i="3"/>
  <c r="C139" i="3"/>
  <c r="M153" i="9"/>
  <c r="I158" i="10" s="1"/>
  <c r="N153" i="9"/>
  <c r="J158" i="10" s="1"/>
  <c r="A153" i="9"/>
  <c r="A158" i="10" s="1"/>
  <c r="L153" i="9"/>
  <c r="N158" i="10" s="1"/>
  <c r="Q153" i="9"/>
  <c r="P158" i="10" s="1"/>
  <c r="P153" i="9"/>
  <c r="O158" i="10" s="1"/>
  <c r="J153" i="9"/>
  <c r="L158" i="10" s="1"/>
  <c r="I153" i="9"/>
  <c r="K158" i="10" s="1"/>
  <c r="B152" i="9"/>
  <c r="C152" i="9" s="1"/>
  <c r="Q138" i="2"/>
  <c r="P143" i="3" s="1"/>
  <c r="J143" i="3"/>
  <c r="L138" i="2"/>
  <c r="N143" i="3" s="1"/>
  <c r="I138" i="2"/>
  <c r="K143" i="3" s="1"/>
  <c r="P138" i="2"/>
  <c r="M138" i="2"/>
  <c r="I143" i="3" s="1"/>
  <c r="J138" i="2"/>
  <c r="L143" i="3" s="1"/>
  <c r="B140" i="3"/>
  <c r="B141" i="3"/>
  <c r="S135" i="2"/>
  <c r="T135" i="2" s="1"/>
  <c r="A138" i="2"/>
  <c r="N139" i="2" s="1"/>
  <c r="A142" i="3"/>
  <c r="B137" i="2"/>
  <c r="C137" i="2" s="1"/>
  <c r="F63" i="7"/>
  <c r="S152" i="9" l="1"/>
  <c r="T152" i="9" s="1"/>
  <c r="B157" i="10"/>
  <c r="O143" i="3"/>
  <c r="P154" i="9"/>
  <c r="O159" i="10" s="1"/>
  <c r="J154" i="9"/>
  <c r="L159" i="10" s="1"/>
  <c r="I154" i="9"/>
  <c r="K159" i="10" s="1"/>
  <c r="M154" i="9"/>
  <c r="I159" i="10" s="1"/>
  <c r="A154" i="9"/>
  <c r="A159" i="10" s="1"/>
  <c r="Q154" i="9"/>
  <c r="P159" i="10" s="1"/>
  <c r="N154" i="9"/>
  <c r="J159" i="10" s="1"/>
  <c r="L154" i="9"/>
  <c r="N159" i="10" s="1"/>
  <c r="B153" i="9"/>
  <c r="C153" i="9" s="1"/>
  <c r="D152" i="9"/>
  <c r="C157" i="10" s="1"/>
  <c r="P139" i="2"/>
  <c r="M139" i="2"/>
  <c r="I144" i="3" s="1"/>
  <c r="J139" i="2"/>
  <c r="L144" i="3" s="1"/>
  <c r="Q139" i="2"/>
  <c r="P144" i="3" s="1"/>
  <c r="J144" i="3"/>
  <c r="L139" i="2"/>
  <c r="N144" i="3" s="1"/>
  <c r="I139" i="2"/>
  <c r="K144" i="3" s="1"/>
  <c r="S136" i="2"/>
  <c r="T136" i="2" s="1"/>
  <c r="D136" i="2"/>
  <c r="D137" i="2"/>
  <c r="A139" i="2"/>
  <c r="N140" i="2" s="1"/>
  <c r="A143" i="3"/>
  <c r="B138" i="2"/>
  <c r="C138" i="2" s="1"/>
  <c r="H63" i="7"/>
  <c r="E63" i="7"/>
  <c r="S153" i="9" l="1"/>
  <c r="T153" i="9" s="1"/>
  <c r="B158" i="10"/>
  <c r="O144" i="3"/>
  <c r="C141" i="3"/>
  <c r="C142" i="3"/>
  <c r="D153" i="9"/>
  <c r="C158" i="10" s="1"/>
  <c r="P155" i="9"/>
  <c r="O160" i="10" s="1"/>
  <c r="N155" i="9"/>
  <c r="J160" i="10" s="1"/>
  <c r="J155" i="9"/>
  <c r="L160" i="10" s="1"/>
  <c r="I155" i="9"/>
  <c r="K160" i="10" s="1"/>
  <c r="A155" i="9"/>
  <c r="A160" i="10" s="1"/>
  <c r="M155" i="9"/>
  <c r="I160" i="10" s="1"/>
  <c r="Q155" i="9"/>
  <c r="P160" i="10" s="1"/>
  <c r="L155" i="9"/>
  <c r="N160" i="10" s="1"/>
  <c r="B154" i="9"/>
  <c r="C154" i="9" s="1"/>
  <c r="Q140" i="2"/>
  <c r="P145" i="3" s="1"/>
  <c r="J145" i="3"/>
  <c r="L140" i="2"/>
  <c r="N145" i="3" s="1"/>
  <c r="I140" i="2"/>
  <c r="K145" i="3" s="1"/>
  <c r="P140" i="2"/>
  <c r="M140" i="2"/>
  <c r="I145" i="3" s="1"/>
  <c r="J140" i="2"/>
  <c r="L145" i="3" s="1"/>
  <c r="B142" i="3"/>
  <c r="D138" i="2"/>
  <c r="S137" i="2"/>
  <c r="T137" i="2" s="1"/>
  <c r="A140" i="2"/>
  <c r="N141" i="2" s="1"/>
  <c r="A144" i="3"/>
  <c r="B139" i="2"/>
  <c r="C139" i="2" s="1"/>
  <c r="G64" i="7"/>
  <c r="S154" i="9" l="1"/>
  <c r="T154" i="9" s="1"/>
  <c r="B159" i="10"/>
  <c r="O145" i="3"/>
  <c r="C143" i="3"/>
  <c r="D154" i="9"/>
  <c r="C159" i="10" s="1"/>
  <c r="P156" i="9"/>
  <c r="O161" i="10" s="1"/>
  <c r="N156" i="9"/>
  <c r="J161" i="10" s="1"/>
  <c r="J156" i="9"/>
  <c r="L161" i="10" s="1"/>
  <c r="L156" i="9"/>
  <c r="N161" i="10" s="1"/>
  <c r="I156" i="9"/>
  <c r="K161" i="10" s="1"/>
  <c r="A156" i="9"/>
  <c r="A161" i="10" s="1"/>
  <c r="Q156" i="9"/>
  <c r="P161" i="10" s="1"/>
  <c r="M156" i="9"/>
  <c r="I161" i="10" s="1"/>
  <c r="B155" i="9"/>
  <c r="C155" i="9" s="1"/>
  <c r="P141" i="2"/>
  <c r="M141" i="2"/>
  <c r="I146" i="3" s="1"/>
  <c r="J141" i="2"/>
  <c r="L146" i="3" s="1"/>
  <c r="Q141" i="2"/>
  <c r="P146" i="3" s="1"/>
  <c r="J146" i="3"/>
  <c r="L141" i="2"/>
  <c r="N146" i="3" s="1"/>
  <c r="I141" i="2"/>
  <c r="K146" i="3" s="1"/>
  <c r="S138" i="2"/>
  <c r="T138" i="2" s="1"/>
  <c r="B143" i="3"/>
  <c r="D139" i="2"/>
  <c r="A141" i="2"/>
  <c r="N142" i="2" s="1"/>
  <c r="A145" i="3"/>
  <c r="B140" i="2"/>
  <c r="C140" i="2" s="1"/>
  <c r="F64" i="7"/>
  <c r="S155" i="9" l="1"/>
  <c r="T155" i="9" s="1"/>
  <c r="B160" i="10"/>
  <c r="O146" i="3"/>
  <c r="C144" i="3"/>
  <c r="J157" i="9"/>
  <c r="L162" i="10" s="1"/>
  <c r="L157" i="9"/>
  <c r="N162" i="10" s="1"/>
  <c r="A157" i="9"/>
  <c r="A162" i="10" s="1"/>
  <c r="M157" i="9"/>
  <c r="I162" i="10" s="1"/>
  <c r="I157" i="9"/>
  <c r="K162" i="10" s="1"/>
  <c r="Q157" i="9"/>
  <c r="P162" i="10" s="1"/>
  <c r="P157" i="9"/>
  <c r="O162" i="10" s="1"/>
  <c r="B156" i="9"/>
  <c r="C156" i="9" s="1"/>
  <c r="D155" i="9"/>
  <c r="C160" i="10" s="1"/>
  <c r="Q142" i="2"/>
  <c r="P147" i="3" s="1"/>
  <c r="J147" i="3"/>
  <c r="L142" i="2"/>
  <c r="N147" i="3" s="1"/>
  <c r="I142" i="2"/>
  <c r="K147" i="3" s="1"/>
  <c r="P142" i="2"/>
  <c r="M142" i="2"/>
  <c r="I147" i="3" s="1"/>
  <c r="J142" i="2"/>
  <c r="L147" i="3" s="1"/>
  <c r="S139" i="2"/>
  <c r="T139" i="2" s="1"/>
  <c r="B144" i="3"/>
  <c r="D140" i="2"/>
  <c r="A142" i="2"/>
  <c r="N143" i="2" s="1"/>
  <c r="A146" i="3"/>
  <c r="B141" i="2"/>
  <c r="C141" i="2" s="1"/>
  <c r="H64" i="7"/>
  <c r="E64" i="7"/>
  <c r="S156" i="9" l="1"/>
  <c r="T156" i="9" s="1"/>
  <c r="B161" i="10"/>
  <c r="O147" i="3"/>
  <c r="C145" i="3"/>
  <c r="L158" i="9"/>
  <c r="N163" i="10" s="1"/>
  <c r="A158" i="9"/>
  <c r="A163" i="10" s="1"/>
  <c r="Q158" i="9"/>
  <c r="P163" i="10" s="1"/>
  <c r="P158" i="9"/>
  <c r="O163" i="10" s="1"/>
  <c r="J158" i="9"/>
  <c r="L163" i="10" s="1"/>
  <c r="I158" i="9"/>
  <c r="K163" i="10" s="1"/>
  <c r="N158" i="9"/>
  <c r="J163" i="10" s="1"/>
  <c r="M158" i="9"/>
  <c r="I163" i="10" s="1"/>
  <c r="B157" i="9"/>
  <c r="C157" i="9" s="1"/>
  <c r="D156" i="9"/>
  <c r="C161" i="10" s="1"/>
  <c r="P143" i="2"/>
  <c r="M143" i="2"/>
  <c r="I148" i="3" s="1"/>
  <c r="J143" i="2"/>
  <c r="L148" i="3" s="1"/>
  <c r="Q143" i="2"/>
  <c r="P148" i="3" s="1"/>
  <c r="J148" i="3"/>
  <c r="L143" i="2"/>
  <c r="N148" i="3" s="1"/>
  <c r="I143" i="2"/>
  <c r="K148" i="3" s="1"/>
  <c r="S140" i="2"/>
  <c r="T140" i="2" s="1"/>
  <c r="B145" i="3"/>
  <c r="S141" i="2"/>
  <c r="T141" i="2" s="1"/>
  <c r="A143" i="2"/>
  <c r="N144" i="2" s="1"/>
  <c r="A147" i="3"/>
  <c r="B142" i="2"/>
  <c r="C142" i="2" s="1"/>
  <c r="G65" i="7"/>
  <c r="S157" i="9" l="1"/>
  <c r="T157" i="9" s="1"/>
  <c r="B162" i="10"/>
  <c r="O148" i="3"/>
  <c r="D157" i="9"/>
  <c r="C162" i="10" s="1"/>
  <c r="N159" i="9"/>
  <c r="J164" i="10" s="1"/>
  <c r="Q159" i="9"/>
  <c r="P164" i="10" s="1"/>
  <c r="P159" i="9"/>
  <c r="O164" i="10" s="1"/>
  <c r="J159" i="9"/>
  <c r="L164" i="10" s="1"/>
  <c r="M159" i="9"/>
  <c r="I164" i="10" s="1"/>
  <c r="L159" i="9"/>
  <c r="N164" i="10" s="1"/>
  <c r="I159" i="9"/>
  <c r="K164" i="10" s="1"/>
  <c r="A159" i="9"/>
  <c r="A164" i="10" s="1"/>
  <c r="B158" i="9"/>
  <c r="C158" i="9" s="1"/>
  <c r="Q144" i="2"/>
  <c r="P149" i="3" s="1"/>
  <c r="J149" i="3"/>
  <c r="L144" i="2"/>
  <c r="N149" i="3" s="1"/>
  <c r="I144" i="2"/>
  <c r="K149" i="3" s="1"/>
  <c r="P144" i="2"/>
  <c r="M144" i="2"/>
  <c r="I149" i="3" s="1"/>
  <c r="J144" i="2"/>
  <c r="L149" i="3" s="1"/>
  <c r="B146" i="3"/>
  <c r="D141" i="2"/>
  <c r="D142" i="2"/>
  <c r="A144" i="2"/>
  <c r="A148" i="3"/>
  <c r="B143" i="2"/>
  <c r="C143" i="2" s="1"/>
  <c r="F65" i="7"/>
  <c r="S158" i="9" l="1"/>
  <c r="T158" i="9" s="1"/>
  <c r="B163" i="10"/>
  <c r="O149" i="3"/>
  <c r="C146" i="3"/>
  <c r="C147" i="3"/>
  <c r="D158" i="9"/>
  <c r="C163" i="10" s="1"/>
  <c r="Q160" i="9"/>
  <c r="P165" i="10" s="1"/>
  <c r="M160" i="9"/>
  <c r="I165" i="10" s="1"/>
  <c r="A160" i="9"/>
  <c r="A165" i="10" s="1"/>
  <c r="L160" i="9"/>
  <c r="N165" i="10" s="1"/>
  <c r="P160" i="9"/>
  <c r="O165" i="10" s="1"/>
  <c r="N160" i="9"/>
  <c r="J165" i="10" s="1"/>
  <c r="I160" i="9"/>
  <c r="K165" i="10" s="1"/>
  <c r="J160" i="9"/>
  <c r="L165" i="10" s="1"/>
  <c r="B159" i="9"/>
  <c r="C159" i="9" s="1"/>
  <c r="K145" i="2"/>
  <c r="M150" i="3" s="1"/>
  <c r="N145" i="2"/>
  <c r="L145" i="2"/>
  <c r="N150" i="3" s="1"/>
  <c r="J145" i="2"/>
  <c r="L150" i="3" s="1"/>
  <c r="M145" i="2"/>
  <c r="I150" i="3" s="1"/>
  <c r="I145" i="2"/>
  <c r="K150" i="3" s="1"/>
  <c r="S142" i="2"/>
  <c r="T142" i="2" s="1"/>
  <c r="B147" i="3"/>
  <c r="D143" i="2"/>
  <c r="A145" i="2"/>
  <c r="N146" i="2" s="1"/>
  <c r="A149" i="3"/>
  <c r="B144" i="2"/>
  <c r="C144" i="2" s="1"/>
  <c r="H65" i="7"/>
  <c r="E65" i="7"/>
  <c r="Y12" i="2" l="1"/>
  <c r="Z12" i="2" s="1"/>
  <c r="S159" i="9"/>
  <c r="T159" i="9" s="1"/>
  <c r="B164" i="10"/>
  <c r="C148" i="3"/>
  <c r="D159" i="9"/>
  <c r="C164" i="10" s="1"/>
  <c r="Q161" i="9"/>
  <c r="P166" i="10" s="1"/>
  <c r="P161" i="9"/>
  <c r="O166" i="10" s="1"/>
  <c r="M161" i="9"/>
  <c r="I166" i="10" s="1"/>
  <c r="A161" i="9"/>
  <c r="A166" i="10" s="1"/>
  <c r="L161" i="9"/>
  <c r="N166" i="10" s="1"/>
  <c r="I161" i="9"/>
  <c r="K166" i="10" s="1"/>
  <c r="N161" i="9"/>
  <c r="J166" i="10" s="1"/>
  <c r="J161" i="9"/>
  <c r="L166" i="10" s="1"/>
  <c r="B160" i="9"/>
  <c r="C160" i="9" s="1"/>
  <c r="J150" i="3"/>
  <c r="AE12" i="2"/>
  <c r="P146" i="2"/>
  <c r="M146" i="2"/>
  <c r="I151" i="3" s="1"/>
  <c r="J146" i="2"/>
  <c r="L151" i="3" s="1"/>
  <c r="Q146" i="2"/>
  <c r="P151" i="3" s="1"/>
  <c r="J151" i="3"/>
  <c r="L146" i="2"/>
  <c r="N151" i="3" s="1"/>
  <c r="I146" i="2"/>
  <c r="K151" i="3" s="1"/>
  <c r="S143" i="2"/>
  <c r="T143" i="2" s="1"/>
  <c r="B148" i="3"/>
  <c r="D144" i="2"/>
  <c r="A150" i="3"/>
  <c r="A146" i="2"/>
  <c r="N147" i="2" s="1"/>
  <c r="B145" i="2"/>
  <c r="C145" i="2" s="1"/>
  <c r="G66" i="7"/>
  <c r="S160" i="9" l="1"/>
  <c r="T160" i="9" s="1"/>
  <c r="B165" i="10"/>
  <c r="O151" i="3"/>
  <c r="C149" i="3"/>
  <c r="I162" i="9"/>
  <c r="K167" i="10" s="1"/>
  <c r="P162" i="9"/>
  <c r="O167" i="10" s="1"/>
  <c r="M162" i="9"/>
  <c r="I167" i="10" s="1"/>
  <c r="L162" i="9"/>
  <c r="N167" i="10" s="1"/>
  <c r="J162" i="9"/>
  <c r="L167" i="10" s="1"/>
  <c r="Q162" i="9"/>
  <c r="P167" i="10" s="1"/>
  <c r="N162" i="9"/>
  <c r="J167" i="10" s="1"/>
  <c r="A162" i="9"/>
  <c r="A167" i="10" s="1"/>
  <c r="B161" i="9"/>
  <c r="C161" i="9" s="1"/>
  <c r="D160" i="9"/>
  <c r="C165" i="10" s="1"/>
  <c r="Q147" i="2"/>
  <c r="P152" i="3" s="1"/>
  <c r="J152" i="3"/>
  <c r="L147" i="2"/>
  <c r="N152" i="3" s="1"/>
  <c r="I147" i="2"/>
  <c r="K152" i="3" s="1"/>
  <c r="P147" i="2"/>
  <c r="M147" i="2"/>
  <c r="I152" i="3" s="1"/>
  <c r="J147" i="2"/>
  <c r="L152" i="3" s="1"/>
  <c r="B149" i="3"/>
  <c r="S144" i="2"/>
  <c r="T144" i="2" s="1"/>
  <c r="D145" i="2"/>
  <c r="A147" i="2"/>
  <c r="N148" i="2" s="1"/>
  <c r="A151" i="3"/>
  <c r="B146" i="2"/>
  <c r="C146" i="2" s="1"/>
  <c r="F66" i="7"/>
  <c r="S161" i="9" l="1"/>
  <c r="T161" i="9" s="1"/>
  <c r="B166" i="10"/>
  <c r="O152" i="3"/>
  <c r="C150" i="3"/>
  <c r="D161" i="9"/>
  <c r="C166" i="10" s="1"/>
  <c r="L163" i="9"/>
  <c r="N168" i="10" s="1"/>
  <c r="A163" i="9"/>
  <c r="A168" i="10" s="1"/>
  <c r="I163" i="9"/>
  <c r="K168" i="10" s="1"/>
  <c r="M163" i="9"/>
  <c r="I168" i="10" s="1"/>
  <c r="J163" i="9"/>
  <c r="L168" i="10" s="1"/>
  <c r="P163" i="9"/>
  <c r="O168" i="10" s="1"/>
  <c r="Q163" i="9"/>
  <c r="P168" i="10" s="1"/>
  <c r="N163" i="9"/>
  <c r="J168" i="10" s="1"/>
  <c r="B162" i="9"/>
  <c r="C162" i="9" s="1"/>
  <c r="P148" i="2"/>
  <c r="M148" i="2"/>
  <c r="I153" i="3" s="1"/>
  <c r="J148" i="2"/>
  <c r="L153" i="3" s="1"/>
  <c r="Q148" i="2"/>
  <c r="P153" i="3" s="1"/>
  <c r="J153" i="3"/>
  <c r="L148" i="2"/>
  <c r="N153" i="3" s="1"/>
  <c r="I148" i="2"/>
  <c r="K153" i="3" s="1"/>
  <c r="B150" i="3"/>
  <c r="S145" i="2"/>
  <c r="T145" i="2" s="1"/>
  <c r="D146" i="2"/>
  <c r="A148" i="2"/>
  <c r="N149" i="2" s="1"/>
  <c r="A152" i="3"/>
  <c r="B147" i="2"/>
  <c r="C147" i="2" s="1"/>
  <c r="H66" i="7"/>
  <c r="E66" i="7"/>
  <c r="S162" i="9" l="1"/>
  <c r="T162" i="9" s="1"/>
  <c r="B167" i="10"/>
  <c r="O153" i="3"/>
  <c r="C151" i="3"/>
  <c r="D162" i="9"/>
  <c r="C167" i="10" s="1"/>
  <c r="N164" i="9"/>
  <c r="J169" i="10" s="1"/>
  <c r="L164" i="9"/>
  <c r="N169" i="10" s="1"/>
  <c r="A164" i="9"/>
  <c r="A169" i="10" s="1"/>
  <c r="J164" i="9"/>
  <c r="L169" i="10" s="1"/>
  <c r="I164" i="9"/>
  <c r="K169" i="10" s="1"/>
  <c r="P164" i="9"/>
  <c r="O169" i="10" s="1"/>
  <c r="Q164" i="9"/>
  <c r="P169" i="10" s="1"/>
  <c r="M164" i="9"/>
  <c r="I169" i="10" s="1"/>
  <c r="B163" i="9"/>
  <c r="C163" i="9" s="1"/>
  <c r="Q149" i="2"/>
  <c r="P154" i="3" s="1"/>
  <c r="J154" i="3"/>
  <c r="L149" i="2"/>
  <c r="N154" i="3" s="1"/>
  <c r="I149" i="2"/>
  <c r="K154" i="3" s="1"/>
  <c r="P149" i="2"/>
  <c r="M149" i="2"/>
  <c r="I154" i="3" s="1"/>
  <c r="J149" i="2"/>
  <c r="L154" i="3" s="1"/>
  <c r="S146" i="2"/>
  <c r="T146" i="2" s="1"/>
  <c r="B151" i="3"/>
  <c r="S147" i="2"/>
  <c r="T147" i="2" s="1"/>
  <c r="A149" i="2"/>
  <c r="N150" i="2" s="1"/>
  <c r="A153" i="3"/>
  <c r="B148" i="2"/>
  <c r="C148" i="2" s="1"/>
  <c r="G67" i="7"/>
  <c r="S163" i="9" l="1"/>
  <c r="T163" i="9" s="1"/>
  <c r="B168" i="10"/>
  <c r="O154" i="3"/>
  <c r="Q165" i="9"/>
  <c r="P170" i="10" s="1"/>
  <c r="N165" i="9"/>
  <c r="J170" i="10" s="1"/>
  <c r="M165" i="9"/>
  <c r="I170" i="10" s="1"/>
  <c r="J165" i="9"/>
  <c r="L170" i="10" s="1"/>
  <c r="A165" i="9"/>
  <c r="A170" i="10" s="1"/>
  <c r="L165" i="9"/>
  <c r="N170" i="10" s="1"/>
  <c r="P165" i="9"/>
  <c r="O170" i="10" s="1"/>
  <c r="I165" i="9"/>
  <c r="K170" i="10" s="1"/>
  <c r="B164" i="9"/>
  <c r="C164" i="9" s="1"/>
  <c r="D163" i="9"/>
  <c r="C168" i="10" s="1"/>
  <c r="P150" i="2"/>
  <c r="M150" i="2"/>
  <c r="I155" i="3" s="1"/>
  <c r="J150" i="2"/>
  <c r="L155" i="3" s="1"/>
  <c r="Q150" i="2"/>
  <c r="P155" i="3" s="1"/>
  <c r="J155" i="3"/>
  <c r="L150" i="2"/>
  <c r="N155" i="3" s="1"/>
  <c r="I150" i="2"/>
  <c r="K155" i="3" s="1"/>
  <c r="B152" i="3"/>
  <c r="D147" i="2"/>
  <c r="D148" i="2"/>
  <c r="A150" i="2"/>
  <c r="N151" i="2" s="1"/>
  <c r="A154" i="3"/>
  <c r="B149" i="2"/>
  <c r="C149" i="2" s="1"/>
  <c r="F67" i="7"/>
  <c r="S164" i="9" l="1"/>
  <c r="T164" i="9" s="1"/>
  <c r="B169" i="10"/>
  <c r="O155" i="3"/>
  <c r="C152" i="3"/>
  <c r="C153" i="3"/>
  <c r="Q166" i="9"/>
  <c r="P171" i="10" s="1"/>
  <c r="P166" i="9"/>
  <c r="O171" i="10" s="1"/>
  <c r="M166" i="9"/>
  <c r="I171" i="10" s="1"/>
  <c r="A166" i="9"/>
  <c r="A171" i="10" s="1"/>
  <c r="J166" i="9"/>
  <c r="L171" i="10" s="1"/>
  <c r="N166" i="9"/>
  <c r="J171" i="10" s="1"/>
  <c r="L166" i="9"/>
  <c r="N171" i="10" s="1"/>
  <c r="I166" i="9"/>
  <c r="K171" i="10" s="1"/>
  <c r="B165" i="9"/>
  <c r="C165" i="9" s="1"/>
  <c r="D164" i="9"/>
  <c r="C169" i="10" s="1"/>
  <c r="Q151" i="2"/>
  <c r="P156" i="3" s="1"/>
  <c r="J156" i="3"/>
  <c r="L151" i="2"/>
  <c r="N156" i="3" s="1"/>
  <c r="I151" i="2"/>
  <c r="K156" i="3" s="1"/>
  <c r="P151" i="2"/>
  <c r="M151" i="2"/>
  <c r="I156" i="3" s="1"/>
  <c r="J151" i="2"/>
  <c r="L156" i="3" s="1"/>
  <c r="B153" i="3"/>
  <c r="S148" i="2"/>
  <c r="T148" i="2" s="1"/>
  <c r="D149" i="2"/>
  <c r="A151" i="2"/>
  <c r="N152" i="2" s="1"/>
  <c r="A155" i="3"/>
  <c r="B150" i="2"/>
  <c r="C150" i="2" s="1"/>
  <c r="H67" i="7"/>
  <c r="E67" i="7"/>
  <c r="S165" i="9" l="1"/>
  <c r="T165" i="9" s="1"/>
  <c r="B170" i="10"/>
  <c r="O156" i="3"/>
  <c r="C154" i="3"/>
  <c r="D165" i="9"/>
  <c r="C170" i="10" s="1"/>
  <c r="I167" i="9"/>
  <c r="K172" i="10" s="1"/>
  <c r="P167" i="9"/>
  <c r="O172" i="10" s="1"/>
  <c r="A167" i="9"/>
  <c r="A172" i="10" s="1"/>
  <c r="Q167" i="9"/>
  <c r="P172" i="10" s="1"/>
  <c r="N167" i="9"/>
  <c r="J172" i="10" s="1"/>
  <c r="J167" i="9"/>
  <c r="L172" i="10" s="1"/>
  <c r="M167" i="9"/>
  <c r="I172" i="10" s="1"/>
  <c r="L167" i="9"/>
  <c r="N172" i="10" s="1"/>
  <c r="B166" i="9"/>
  <c r="C166" i="9" s="1"/>
  <c r="P152" i="2"/>
  <c r="M152" i="2"/>
  <c r="I157" i="3" s="1"/>
  <c r="J152" i="2"/>
  <c r="L157" i="3" s="1"/>
  <c r="Q152" i="2"/>
  <c r="P157" i="3" s="1"/>
  <c r="J157" i="3"/>
  <c r="L152" i="2"/>
  <c r="N157" i="3" s="1"/>
  <c r="I152" i="2"/>
  <c r="K157" i="3" s="1"/>
  <c r="S149" i="2"/>
  <c r="T149" i="2" s="1"/>
  <c r="B154" i="3"/>
  <c r="D150" i="2"/>
  <c r="A152" i="2"/>
  <c r="N153" i="2" s="1"/>
  <c r="A156" i="3"/>
  <c r="B151" i="2"/>
  <c r="C151" i="2" s="1"/>
  <c r="G68" i="7"/>
  <c r="S166" i="9" l="1"/>
  <c r="T166" i="9" s="1"/>
  <c r="B171" i="10"/>
  <c r="O157" i="3"/>
  <c r="C155" i="3"/>
  <c r="L168" i="9"/>
  <c r="N173" i="10" s="1"/>
  <c r="A168" i="9"/>
  <c r="A173" i="10" s="1"/>
  <c r="I168" i="9"/>
  <c r="K173" i="10" s="1"/>
  <c r="Q168" i="9"/>
  <c r="P173" i="10" s="1"/>
  <c r="P168" i="9"/>
  <c r="O173" i="10" s="1"/>
  <c r="N168" i="9"/>
  <c r="J173" i="10" s="1"/>
  <c r="M168" i="9"/>
  <c r="I173" i="10" s="1"/>
  <c r="J168" i="9"/>
  <c r="L173" i="10" s="1"/>
  <c r="B167" i="9"/>
  <c r="C167" i="9" s="1"/>
  <c r="D166" i="9"/>
  <c r="C171" i="10" s="1"/>
  <c r="Q153" i="2"/>
  <c r="P158" i="3" s="1"/>
  <c r="J158" i="3"/>
  <c r="L153" i="2"/>
  <c r="N158" i="3" s="1"/>
  <c r="I153" i="2"/>
  <c r="K158" i="3" s="1"/>
  <c r="P153" i="2"/>
  <c r="M153" i="2"/>
  <c r="I158" i="3" s="1"/>
  <c r="J153" i="2"/>
  <c r="L158" i="3" s="1"/>
  <c r="S150" i="2"/>
  <c r="T150" i="2" s="1"/>
  <c r="B155" i="3"/>
  <c r="D151" i="2"/>
  <c r="A153" i="2"/>
  <c r="N154" i="2" s="1"/>
  <c r="A157" i="3"/>
  <c r="B152" i="2"/>
  <c r="C152" i="2" s="1"/>
  <c r="F68" i="7"/>
  <c r="S167" i="9" l="1"/>
  <c r="T167" i="9" s="1"/>
  <c r="B172" i="10"/>
  <c r="O158" i="3"/>
  <c r="C156" i="3"/>
  <c r="D167" i="9"/>
  <c r="C172" i="10" s="1"/>
  <c r="M169" i="9"/>
  <c r="I174" i="10" s="1"/>
  <c r="A169" i="9"/>
  <c r="A174" i="10" s="1"/>
  <c r="J169" i="9"/>
  <c r="L174" i="10" s="1"/>
  <c r="Q169" i="9"/>
  <c r="P174" i="10" s="1"/>
  <c r="P169" i="9"/>
  <c r="O174" i="10" s="1"/>
  <c r="L169" i="9"/>
  <c r="N174" i="10" s="1"/>
  <c r="I169" i="9"/>
  <c r="K174" i="10" s="1"/>
  <c r="B168" i="9"/>
  <c r="C168" i="9" s="1"/>
  <c r="P154" i="2"/>
  <c r="M154" i="2"/>
  <c r="I159" i="3" s="1"/>
  <c r="J154" i="2"/>
  <c r="L159" i="3" s="1"/>
  <c r="Q154" i="2"/>
  <c r="P159" i="3" s="1"/>
  <c r="J159" i="3"/>
  <c r="L154" i="2"/>
  <c r="N159" i="3" s="1"/>
  <c r="I154" i="2"/>
  <c r="K159" i="3" s="1"/>
  <c r="S151" i="2"/>
  <c r="T151" i="2" s="1"/>
  <c r="B156" i="3"/>
  <c r="D152" i="2"/>
  <c r="A154" i="2"/>
  <c r="N155" i="2" s="1"/>
  <c r="A158" i="3"/>
  <c r="B153" i="2"/>
  <c r="C153" i="2" s="1"/>
  <c r="H68" i="7"/>
  <c r="E68" i="7"/>
  <c r="S168" i="9" l="1"/>
  <c r="T168" i="9" s="1"/>
  <c r="B173" i="10"/>
  <c r="D168" i="9"/>
  <c r="C173" i="10" s="1"/>
  <c r="O159" i="3"/>
  <c r="C157" i="3"/>
  <c r="P170" i="9"/>
  <c r="O175" i="10" s="1"/>
  <c r="M170" i="9"/>
  <c r="I175" i="10" s="1"/>
  <c r="L170" i="9"/>
  <c r="N175" i="10" s="1"/>
  <c r="A170" i="9"/>
  <c r="A175" i="10" s="1"/>
  <c r="I170" i="9"/>
  <c r="K175" i="10" s="1"/>
  <c r="Q170" i="9"/>
  <c r="P175" i="10" s="1"/>
  <c r="N170" i="9"/>
  <c r="J175" i="10" s="1"/>
  <c r="J170" i="9"/>
  <c r="L175" i="10" s="1"/>
  <c r="B169" i="9"/>
  <c r="C169" i="9" s="1"/>
  <c r="Q155" i="2"/>
  <c r="P160" i="3" s="1"/>
  <c r="J160" i="3"/>
  <c r="L155" i="2"/>
  <c r="N160" i="3" s="1"/>
  <c r="I155" i="2"/>
  <c r="K160" i="3" s="1"/>
  <c r="P155" i="2"/>
  <c r="M155" i="2"/>
  <c r="I160" i="3" s="1"/>
  <c r="J155" i="2"/>
  <c r="L160" i="3" s="1"/>
  <c r="S152" i="2"/>
  <c r="T152" i="2" s="1"/>
  <c r="B157" i="3"/>
  <c r="D153" i="2"/>
  <c r="A155" i="2"/>
  <c r="N156" i="2" s="1"/>
  <c r="A159" i="3"/>
  <c r="B154" i="2"/>
  <c r="C154" i="2" s="1"/>
  <c r="G69" i="7"/>
  <c r="S169" i="9" l="1"/>
  <c r="T169" i="9" s="1"/>
  <c r="B174" i="10"/>
  <c r="O160" i="3"/>
  <c r="D169" i="9"/>
  <c r="C174" i="10" s="1"/>
  <c r="C158" i="3"/>
  <c r="P171" i="9"/>
  <c r="O176" i="10" s="1"/>
  <c r="N171" i="9"/>
  <c r="J176" i="10" s="1"/>
  <c r="L171" i="9"/>
  <c r="N176" i="10" s="1"/>
  <c r="A171" i="9"/>
  <c r="A176" i="10" s="1"/>
  <c r="Q171" i="9"/>
  <c r="P176" i="10" s="1"/>
  <c r="M171" i="9"/>
  <c r="I176" i="10" s="1"/>
  <c r="J171" i="9"/>
  <c r="L176" i="10" s="1"/>
  <c r="I171" i="9"/>
  <c r="K176" i="10" s="1"/>
  <c r="B170" i="9"/>
  <c r="C170" i="9" s="1"/>
  <c r="P156" i="2"/>
  <c r="M156" i="2"/>
  <c r="I161" i="3" s="1"/>
  <c r="J156" i="2"/>
  <c r="L161" i="3" s="1"/>
  <c r="Q156" i="2"/>
  <c r="P161" i="3" s="1"/>
  <c r="J161" i="3"/>
  <c r="L156" i="2"/>
  <c r="N161" i="3" s="1"/>
  <c r="I156" i="2"/>
  <c r="K161" i="3" s="1"/>
  <c r="B158" i="3"/>
  <c r="S153" i="2"/>
  <c r="T153" i="2" s="1"/>
  <c r="S154" i="2"/>
  <c r="T154" i="2" s="1"/>
  <c r="A156" i="2"/>
  <c r="A160" i="3"/>
  <c r="B155" i="2"/>
  <c r="C155" i="2" s="1"/>
  <c r="F69" i="7"/>
  <c r="S170" i="9" l="1"/>
  <c r="T170" i="9" s="1"/>
  <c r="B175" i="10"/>
  <c r="O161" i="3"/>
  <c r="D170" i="9"/>
  <c r="C175" i="10" s="1"/>
  <c r="Q172" i="9"/>
  <c r="P177" i="10" s="1"/>
  <c r="N172" i="9"/>
  <c r="J177" i="10" s="1"/>
  <c r="P172" i="9"/>
  <c r="O177" i="10" s="1"/>
  <c r="M172" i="9"/>
  <c r="I177" i="10" s="1"/>
  <c r="L172" i="9"/>
  <c r="N177" i="10" s="1"/>
  <c r="J172" i="9"/>
  <c r="L177" i="10" s="1"/>
  <c r="I172" i="9"/>
  <c r="K177" i="10" s="1"/>
  <c r="A172" i="9"/>
  <c r="A177" i="10" s="1"/>
  <c r="B171" i="9"/>
  <c r="C171" i="9" s="1"/>
  <c r="K157" i="2"/>
  <c r="M162" i="3" s="1"/>
  <c r="N157" i="2"/>
  <c r="AE13" i="2" s="1"/>
  <c r="P157" i="2"/>
  <c r="M157" i="2"/>
  <c r="I162" i="3" s="1"/>
  <c r="I157" i="2"/>
  <c r="K162" i="3" s="1"/>
  <c r="Q157" i="2"/>
  <c r="P162" i="3" s="1"/>
  <c r="J162" i="3"/>
  <c r="L157" i="2"/>
  <c r="N162" i="3" s="1"/>
  <c r="J157" i="2"/>
  <c r="L162" i="3" s="1"/>
  <c r="B159" i="3"/>
  <c r="D154" i="2"/>
  <c r="B160" i="3"/>
  <c r="A157" i="2"/>
  <c r="N158" i="2" s="1"/>
  <c r="A161" i="3"/>
  <c r="B156" i="2"/>
  <c r="C156" i="2" s="1"/>
  <c r="H69" i="7"/>
  <c r="E69" i="7"/>
  <c r="Y13" i="2" l="1"/>
  <c r="Z13" i="2" s="1"/>
  <c r="S171" i="9"/>
  <c r="T171" i="9" s="1"/>
  <c r="B176" i="10"/>
  <c r="O162" i="3"/>
  <c r="C159" i="3"/>
  <c r="D171" i="9"/>
  <c r="C176" i="10" s="1"/>
  <c r="J173" i="9"/>
  <c r="L178" i="10" s="1"/>
  <c r="Q173" i="9"/>
  <c r="P178" i="10" s="1"/>
  <c r="N173" i="9"/>
  <c r="J178" i="10" s="1"/>
  <c r="M173" i="9"/>
  <c r="I178" i="10" s="1"/>
  <c r="L173" i="9"/>
  <c r="N178" i="10" s="1"/>
  <c r="I173" i="9"/>
  <c r="K178" i="10" s="1"/>
  <c r="A173" i="9"/>
  <c r="A178" i="10" s="1"/>
  <c r="P173" i="9"/>
  <c r="O178" i="10" s="1"/>
  <c r="B172" i="9"/>
  <c r="C172" i="9" s="1"/>
  <c r="Q158" i="2"/>
  <c r="P163" i="3" s="1"/>
  <c r="J163" i="3"/>
  <c r="L158" i="2"/>
  <c r="N163" i="3" s="1"/>
  <c r="I158" i="2"/>
  <c r="K163" i="3" s="1"/>
  <c r="P158" i="2"/>
  <c r="M158" i="2"/>
  <c r="I163" i="3" s="1"/>
  <c r="J158" i="2"/>
  <c r="L163" i="3" s="1"/>
  <c r="S155" i="2"/>
  <c r="T155" i="2" s="1"/>
  <c r="D155" i="2"/>
  <c r="B161" i="3"/>
  <c r="A158" i="2"/>
  <c r="N159" i="2" s="1"/>
  <c r="A162" i="3"/>
  <c r="B157" i="2"/>
  <c r="C157" i="2" s="1"/>
  <c r="G70" i="7"/>
  <c r="S172" i="9" l="1"/>
  <c r="T172" i="9" s="1"/>
  <c r="B177" i="10"/>
  <c r="O163" i="3"/>
  <c r="C160" i="3"/>
  <c r="D172" i="9"/>
  <c r="C177" i="10" s="1"/>
  <c r="M174" i="9"/>
  <c r="I179" i="10" s="1"/>
  <c r="J174" i="9"/>
  <c r="L179" i="10" s="1"/>
  <c r="I174" i="9"/>
  <c r="K179" i="10" s="1"/>
  <c r="N174" i="9"/>
  <c r="J179" i="10" s="1"/>
  <c r="L174" i="9"/>
  <c r="N179" i="10" s="1"/>
  <c r="Q174" i="9"/>
  <c r="P179" i="10" s="1"/>
  <c r="P174" i="9"/>
  <c r="O179" i="10" s="1"/>
  <c r="A174" i="9"/>
  <c r="A179" i="10" s="1"/>
  <c r="B173" i="9"/>
  <c r="C173" i="9" s="1"/>
  <c r="P159" i="2"/>
  <c r="M159" i="2"/>
  <c r="I164" i="3" s="1"/>
  <c r="J159" i="2"/>
  <c r="L164" i="3" s="1"/>
  <c r="Q159" i="2"/>
  <c r="P164" i="3" s="1"/>
  <c r="J164" i="3"/>
  <c r="L159" i="2"/>
  <c r="N164" i="3" s="1"/>
  <c r="I159" i="2"/>
  <c r="K164" i="3" s="1"/>
  <c r="S156" i="2"/>
  <c r="T156" i="2" s="1"/>
  <c r="D156" i="2"/>
  <c r="D157" i="2"/>
  <c r="A159" i="2"/>
  <c r="N160" i="2" s="1"/>
  <c r="A163" i="3"/>
  <c r="B158" i="2"/>
  <c r="C158" i="2" s="1"/>
  <c r="F70" i="7"/>
  <c r="S173" i="9" l="1"/>
  <c r="T173" i="9" s="1"/>
  <c r="B178" i="10"/>
  <c r="O164" i="3"/>
  <c r="C162" i="3"/>
  <c r="C161" i="3"/>
  <c r="P175" i="9"/>
  <c r="O180" i="10" s="1"/>
  <c r="M175" i="9"/>
  <c r="I180" i="10" s="1"/>
  <c r="L175" i="9"/>
  <c r="N180" i="10" s="1"/>
  <c r="A175" i="9"/>
  <c r="A180" i="10" s="1"/>
  <c r="I175" i="9"/>
  <c r="K180" i="10" s="1"/>
  <c r="J175" i="9"/>
  <c r="L180" i="10" s="1"/>
  <c r="Q175" i="9"/>
  <c r="P180" i="10" s="1"/>
  <c r="N175" i="9"/>
  <c r="J180" i="10" s="1"/>
  <c r="B174" i="9"/>
  <c r="C174" i="9" s="1"/>
  <c r="D173" i="9"/>
  <c r="C178" i="10" s="1"/>
  <c r="Q160" i="2"/>
  <c r="P165" i="3" s="1"/>
  <c r="J165" i="3"/>
  <c r="L160" i="2"/>
  <c r="N165" i="3" s="1"/>
  <c r="I160" i="2"/>
  <c r="K165" i="3" s="1"/>
  <c r="P160" i="2"/>
  <c r="M160" i="2"/>
  <c r="I165" i="3" s="1"/>
  <c r="J160" i="2"/>
  <c r="L165" i="3" s="1"/>
  <c r="S157" i="2"/>
  <c r="T157" i="2" s="1"/>
  <c r="B162" i="3"/>
  <c r="D158" i="2"/>
  <c r="A160" i="2"/>
  <c r="N161" i="2" s="1"/>
  <c r="A164" i="3"/>
  <c r="B159" i="2"/>
  <c r="C159" i="2" s="1"/>
  <c r="H70" i="7"/>
  <c r="E70" i="7"/>
  <c r="S174" i="9" l="1"/>
  <c r="T174" i="9" s="1"/>
  <c r="B179" i="10"/>
  <c r="O165" i="3"/>
  <c r="C163" i="3"/>
  <c r="P176" i="9"/>
  <c r="O181" i="10" s="1"/>
  <c r="N176" i="9"/>
  <c r="J181" i="10" s="1"/>
  <c r="L176" i="9"/>
  <c r="N181" i="10" s="1"/>
  <c r="A176" i="9"/>
  <c r="A181" i="10" s="1"/>
  <c r="I176" i="9"/>
  <c r="K181" i="10" s="1"/>
  <c r="M176" i="9"/>
  <c r="I181" i="10" s="1"/>
  <c r="Q176" i="9"/>
  <c r="P181" i="10" s="1"/>
  <c r="J176" i="9"/>
  <c r="L181" i="10" s="1"/>
  <c r="B175" i="9"/>
  <c r="C175" i="9" s="1"/>
  <c r="D174" i="9"/>
  <c r="C179" i="10" s="1"/>
  <c r="P161" i="2"/>
  <c r="M161" i="2"/>
  <c r="I166" i="3" s="1"/>
  <c r="J161" i="2"/>
  <c r="L166" i="3" s="1"/>
  <c r="Q161" i="2"/>
  <c r="P166" i="3" s="1"/>
  <c r="J166" i="3"/>
  <c r="L161" i="2"/>
  <c r="N166" i="3" s="1"/>
  <c r="I161" i="2"/>
  <c r="K166" i="3" s="1"/>
  <c r="B163" i="3"/>
  <c r="S158" i="2"/>
  <c r="T158" i="2" s="1"/>
  <c r="D159" i="2"/>
  <c r="A161" i="2"/>
  <c r="N162" i="2" s="1"/>
  <c r="A165" i="3"/>
  <c r="B160" i="2"/>
  <c r="C160" i="2" s="1"/>
  <c r="G71" i="7"/>
  <c r="S175" i="9" l="1"/>
  <c r="T175" i="9" s="1"/>
  <c r="B180" i="10"/>
  <c r="O166" i="3"/>
  <c r="C164" i="3"/>
  <c r="D175" i="9"/>
  <c r="C180" i="10" s="1"/>
  <c r="Q177" i="9"/>
  <c r="P182" i="10" s="1"/>
  <c r="N177" i="9"/>
  <c r="J182" i="10" s="1"/>
  <c r="I177" i="9"/>
  <c r="K182" i="10" s="1"/>
  <c r="A177" i="9"/>
  <c r="A182" i="10" s="1"/>
  <c r="L177" i="9"/>
  <c r="N182" i="10" s="1"/>
  <c r="P177" i="9"/>
  <c r="O182" i="10" s="1"/>
  <c r="M177" i="9"/>
  <c r="I182" i="10" s="1"/>
  <c r="J177" i="9"/>
  <c r="L182" i="10" s="1"/>
  <c r="B176" i="9"/>
  <c r="C176" i="9" s="1"/>
  <c r="Q162" i="2"/>
  <c r="P167" i="3" s="1"/>
  <c r="J167" i="3"/>
  <c r="L162" i="2"/>
  <c r="N167" i="3" s="1"/>
  <c r="I162" i="2"/>
  <c r="K167" i="3" s="1"/>
  <c r="P162" i="2"/>
  <c r="M162" i="2"/>
  <c r="I167" i="3" s="1"/>
  <c r="J162" i="2"/>
  <c r="L167" i="3" s="1"/>
  <c r="D160" i="2"/>
  <c r="B164" i="3"/>
  <c r="S159" i="2"/>
  <c r="T159" i="2" s="1"/>
  <c r="A162" i="2"/>
  <c r="N163" i="2" s="1"/>
  <c r="A166" i="3"/>
  <c r="B161" i="2"/>
  <c r="C161" i="2" s="1"/>
  <c r="F71" i="7"/>
  <c r="S176" i="9" l="1"/>
  <c r="T176" i="9" s="1"/>
  <c r="B181" i="10"/>
  <c r="O167" i="3"/>
  <c r="C165" i="3"/>
  <c r="D176" i="9"/>
  <c r="C181" i="10" s="1"/>
  <c r="J178" i="9"/>
  <c r="L183" i="10" s="1"/>
  <c r="Q178" i="9"/>
  <c r="P183" i="10" s="1"/>
  <c r="M178" i="9"/>
  <c r="I183" i="10" s="1"/>
  <c r="I178" i="9"/>
  <c r="K183" i="10" s="1"/>
  <c r="A178" i="9"/>
  <c r="A183" i="10" s="1"/>
  <c r="N178" i="9"/>
  <c r="J183" i="10" s="1"/>
  <c r="P178" i="9"/>
  <c r="O183" i="10" s="1"/>
  <c r="L178" i="9"/>
  <c r="N183" i="10" s="1"/>
  <c r="B177" i="9"/>
  <c r="C177" i="9" s="1"/>
  <c r="P163" i="2"/>
  <c r="M163" i="2"/>
  <c r="I168" i="3" s="1"/>
  <c r="J163" i="2"/>
  <c r="L168" i="3" s="1"/>
  <c r="Q163" i="2"/>
  <c r="P168" i="3" s="1"/>
  <c r="J168" i="3"/>
  <c r="L163" i="2"/>
  <c r="N168" i="3" s="1"/>
  <c r="I163" i="2"/>
  <c r="K168" i="3" s="1"/>
  <c r="B165" i="3"/>
  <c r="S160" i="2"/>
  <c r="T160" i="2" s="1"/>
  <c r="D161" i="2"/>
  <c r="A163" i="2"/>
  <c r="N164" i="2" s="1"/>
  <c r="A167" i="3"/>
  <c r="B162" i="2"/>
  <c r="C162" i="2" s="1"/>
  <c r="H71" i="7"/>
  <c r="E71" i="7"/>
  <c r="S177" i="9" l="1"/>
  <c r="T177" i="9" s="1"/>
  <c r="B182" i="10"/>
  <c r="O168" i="3"/>
  <c r="D177" i="9"/>
  <c r="C182" i="10" s="1"/>
  <c r="C166" i="3"/>
  <c r="M179" i="9"/>
  <c r="I184" i="10" s="1"/>
  <c r="J179" i="9"/>
  <c r="L184" i="10" s="1"/>
  <c r="I179" i="9"/>
  <c r="K184" i="10" s="1"/>
  <c r="P179" i="9"/>
  <c r="O184" i="10" s="1"/>
  <c r="L179" i="9"/>
  <c r="N184" i="10" s="1"/>
  <c r="A179" i="9"/>
  <c r="A184" i="10" s="1"/>
  <c r="Q179" i="9"/>
  <c r="P184" i="10" s="1"/>
  <c r="N179" i="9"/>
  <c r="J184" i="10" s="1"/>
  <c r="B178" i="9"/>
  <c r="C178" i="9" s="1"/>
  <c r="Q164" i="2"/>
  <c r="P169" i="3" s="1"/>
  <c r="J169" i="3"/>
  <c r="L164" i="2"/>
  <c r="N169" i="3" s="1"/>
  <c r="I164" i="2"/>
  <c r="K169" i="3" s="1"/>
  <c r="P164" i="2"/>
  <c r="M164" i="2"/>
  <c r="I169" i="3" s="1"/>
  <c r="J164" i="2"/>
  <c r="L169" i="3" s="1"/>
  <c r="S161" i="2"/>
  <c r="T161" i="2" s="1"/>
  <c r="B166" i="3"/>
  <c r="S162" i="2"/>
  <c r="T162" i="2" s="1"/>
  <c r="A164" i="2"/>
  <c r="N165" i="2" s="1"/>
  <c r="A168" i="3"/>
  <c r="B163" i="2"/>
  <c r="C163" i="2" s="1"/>
  <c r="G72" i="7"/>
  <c r="S178" i="9" l="1"/>
  <c r="T178" i="9" s="1"/>
  <c r="B183" i="10"/>
  <c r="O169" i="3"/>
  <c r="P180" i="9"/>
  <c r="O185" i="10" s="1"/>
  <c r="M180" i="9"/>
  <c r="I185" i="10" s="1"/>
  <c r="L180" i="9"/>
  <c r="N185" i="10" s="1"/>
  <c r="A180" i="9"/>
  <c r="A185" i="10" s="1"/>
  <c r="I180" i="9"/>
  <c r="K185" i="10" s="1"/>
  <c r="N180" i="9"/>
  <c r="J185" i="10" s="1"/>
  <c r="J180" i="9"/>
  <c r="L185" i="10" s="1"/>
  <c r="Q180" i="9"/>
  <c r="P185" i="10" s="1"/>
  <c r="B179" i="9"/>
  <c r="C179" i="9" s="1"/>
  <c r="D178" i="9"/>
  <c r="C183" i="10" s="1"/>
  <c r="P165" i="2"/>
  <c r="M165" i="2"/>
  <c r="I170" i="3" s="1"/>
  <c r="J165" i="2"/>
  <c r="L170" i="3" s="1"/>
  <c r="Q165" i="2"/>
  <c r="P170" i="3" s="1"/>
  <c r="J170" i="3"/>
  <c r="L165" i="2"/>
  <c r="N170" i="3" s="1"/>
  <c r="I165" i="2"/>
  <c r="K170" i="3" s="1"/>
  <c r="B167" i="3"/>
  <c r="D162" i="2"/>
  <c r="D163" i="2"/>
  <c r="A165" i="2"/>
  <c r="N166" i="2" s="1"/>
  <c r="A169" i="3"/>
  <c r="B164" i="2"/>
  <c r="C164" i="2" s="1"/>
  <c r="F72" i="7"/>
  <c r="S179" i="9" l="1"/>
  <c r="T179" i="9" s="1"/>
  <c r="B184" i="10"/>
  <c r="O170" i="3"/>
  <c r="C167" i="3"/>
  <c r="C168" i="3"/>
  <c r="D179" i="9"/>
  <c r="C184" i="10" s="1"/>
  <c r="Q181" i="9"/>
  <c r="P186" i="10" s="1"/>
  <c r="M181" i="9"/>
  <c r="I186" i="10" s="1"/>
  <c r="A181" i="9"/>
  <c r="A186" i="10" s="1"/>
  <c r="L181" i="9"/>
  <c r="N186" i="10" s="1"/>
  <c r="J181" i="9"/>
  <c r="L186" i="10" s="1"/>
  <c r="I181" i="9"/>
  <c r="K186" i="10" s="1"/>
  <c r="P181" i="9"/>
  <c r="O186" i="10" s="1"/>
  <c r="B180" i="9"/>
  <c r="C180" i="9" s="1"/>
  <c r="Q166" i="2"/>
  <c r="P171" i="3" s="1"/>
  <c r="J171" i="3"/>
  <c r="L166" i="2"/>
  <c r="N171" i="3" s="1"/>
  <c r="I166" i="2"/>
  <c r="K171" i="3" s="1"/>
  <c r="P166" i="2"/>
  <c r="M166" i="2"/>
  <c r="I171" i="3" s="1"/>
  <c r="J166" i="2"/>
  <c r="L171" i="3" s="1"/>
  <c r="S163" i="2"/>
  <c r="T163" i="2" s="1"/>
  <c r="B168" i="3"/>
  <c r="S164" i="2"/>
  <c r="T164" i="2" s="1"/>
  <c r="A166" i="2"/>
  <c r="N167" i="2" s="1"/>
  <c r="A170" i="3"/>
  <c r="B165" i="2"/>
  <c r="C165" i="2" s="1"/>
  <c r="H72" i="7"/>
  <c r="E72" i="7"/>
  <c r="S180" i="9" l="1"/>
  <c r="T180" i="9" s="1"/>
  <c r="B185" i="10"/>
  <c r="O171" i="3"/>
  <c r="Q182" i="9"/>
  <c r="P187" i="10" s="1"/>
  <c r="P182" i="9"/>
  <c r="O187" i="10" s="1"/>
  <c r="M182" i="9"/>
  <c r="I187" i="10" s="1"/>
  <c r="I182" i="9"/>
  <c r="K187" i="10" s="1"/>
  <c r="N182" i="9"/>
  <c r="J187" i="10" s="1"/>
  <c r="L182" i="9"/>
  <c r="N187" i="10" s="1"/>
  <c r="J182" i="9"/>
  <c r="L187" i="10" s="1"/>
  <c r="A182" i="9"/>
  <c r="A187" i="10" s="1"/>
  <c r="B181" i="9"/>
  <c r="C181" i="9" s="1"/>
  <c r="D180" i="9"/>
  <c r="C185" i="10" s="1"/>
  <c r="P167" i="2"/>
  <c r="M167" i="2"/>
  <c r="I172" i="3" s="1"/>
  <c r="J167" i="2"/>
  <c r="L172" i="3" s="1"/>
  <c r="Q167" i="2"/>
  <c r="P172" i="3" s="1"/>
  <c r="J172" i="3"/>
  <c r="L167" i="2"/>
  <c r="N172" i="3" s="1"/>
  <c r="I167" i="2"/>
  <c r="K172" i="3" s="1"/>
  <c r="B169" i="3"/>
  <c r="D165" i="2"/>
  <c r="D164" i="2"/>
  <c r="A167" i="2"/>
  <c r="N168" i="2" s="1"/>
  <c r="A171" i="3"/>
  <c r="B166" i="2"/>
  <c r="C166" i="2" s="1"/>
  <c r="G73" i="7"/>
  <c r="S181" i="9" l="1"/>
  <c r="T181" i="9" s="1"/>
  <c r="B186" i="10"/>
  <c r="O172" i="3"/>
  <c r="C170" i="3"/>
  <c r="C169" i="3"/>
  <c r="D181" i="9"/>
  <c r="C186" i="10" s="1"/>
  <c r="I183" i="9"/>
  <c r="K188" i="10" s="1"/>
  <c r="P183" i="9"/>
  <c r="O188" i="10" s="1"/>
  <c r="L183" i="9"/>
  <c r="N188" i="10" s="1"/>
  <c r="A183" i="9"/>
  <c r="A188" i="10" s="1"/>
  <c r="Q183" i="9"/>
  <c r="P188" i="10" s="1"/>
  <c r="N183" i="9"/>
  <c r="J188" i="10" s="1"/>
  <c r="M183" i="9"/>
  <c r="I188" i="10" s="1"/>
  <c r="J183" i="9"/>
  <c r="L188" i="10" s="1"/>
  <c r="B182" i="9"/>
  <c r="C182" i="9" s="1"/>
  <c r="Q168" i="2"/>
  <c r="P173" i="3" s="1"/>
  <c r="J173" i="3"/>
  <c r="L168" i="2"/>
  <c r="N173" i="3" s="1"/>
  <c r="I168" i="2"/>
  <c r="K173" i="3" s="1"/>
  <c r="P168" i="2"/>
  <c r="M168" i="2"/>
  <c r="I173" i="3" s="1"/>
  <c r="J168" i="2"/>
  <c r="L173" i="3" s="1"/>
  <c r="B170" i="3"/>
  <c r="S165" i="2"/>
  <c r="T165" i="2" s="1"/>
  <c r="B171" i="3"/>
  <c r="A168" i="2"/>
  <c r="A172" i="3"/>
  <c r="B167" i="2"/>
  <c r="C167" i="2" s="1"/>
  <c r="F73" i="7"/>
  <c r="S182" i="9" l="1"/>
  <c r="T182" i="9" s="1"/>
  <c r="B187" i="10"/>
  <c r="O173" i="3"/>
  <c r="D182" i="9"/>
  <c r="C187" i="10" s="1"/>
  <c r="L184" i="9"/>
  <c r="N189" i="10" s="1"/>
  <c r="A184" i="9"/>
  <c r="A189" i="10" s="1"/>
  <c r="J184" i="9"/>
  <c r="L189" i="10" s="1"/>
  <c r="I184" i="9"/>
  <c r="K189" i="10" s="1"/>
  <c r="N184" i="9"/>
  <c r="J189" i="10" s="1"/>
  <c r="Q184" i="9"/>
  <c r="P189" i="10" s="1"/>
  <c r="P184" i="9"/>
  <c r="O189" i="10" s="1"/>
  <c r="M184" i="9"/>
  <c r="I189" i="10" s="1"/>
  <c r="B183" i="9"/>
  <c r="C183" i="9" s="1"/>
  <c r="K169" i="2"/>
  <c r="M174" i="3" s="1"/>
  <c r="N169" i="2"/>
  <c r="AE14" i="2" s="1"/>
  <c r="Q169" i="2"/>
  <c r="P174" i="3" s="1"/>
  <c r="L169" i="2"/>
  <c r="N174" i="3" s="1"/>
  <c r="J169" i="2"/>
  <c r="L174" i="3" s="1"/>
  <c r="P169" i="2"/>
  <c r="M169" i="2"/>
  <c r="I174" i="3" s="1"/>
  <c r="I169" i="2"/>
  <c r="K174" i="3" s="1"/>
  <c r="S166" i="2"/>
  <c r="T166" i="2" s="1"/>
  <c r="D166" i="2"/>
  <c r="D167" i="2"/>
  <c r="A169" i="2"/>
  <c r="N170" i="2" s="1"/>
  <c r="A173" i="3"/>
  <c r="B168" i="2"/>
  <c r="C168" i="2" s="1"/>
  <c r="H73" i="7"/>
  <c r="E73" i="7"/>
  <c r="S183" i="9" l="1"/>
  <c r="T183" i="9" s="1"/>
  <c r="B188" i="10"/>
  <c r="O174" i="3"/>
  <c r="D183" i="9"/>
  <c r="C188" i="10" s="1"/>
  <c r="C172" i="3"/>
  <c r="C171" i="3"/>
  <c r="N185" i="9"/>
  <c r="J190" i="10" s="1"/>
  <c r="M185" i="9"/>
  <c r="I190" i="10" s="1"/>
  <c r="L185" i="9"/>
  <c r="N190" i="10" s="1"/>
  <c r="A185" i="9"/>
  <c r="A190" i="10" s="1"/>
  <c r="J185" i="9"/>
  <c r="L190" i="10" s="1"/>
  <c r="Q185" i="9"/>
  <c r="P190" i="10" s="1"/>
  <c r="I185" i="9"/>
  <c r="K190" i="10" s="1"/>
  <c r="P185" i="9"/>
  <c r="O190" i="10" s="1"/>
  <c r="B184" i="9"/>
  <c r="C184" i="9" s="1"/>
  <c r="Y14" i="2"/>
  <c r="Z14" i="2" s="1"/>
  <c r="J174" i="3"/>
  <c r="P170" i="2"/>
  <c r="M170" i="2"/>
  <c r="I175" i="3" s="1"/>
  <c r="J170" i="2"/>
  <c r="L175" i="3" s="1"/>
  <c r="Q170" i="2"/>
  <c r="P175" i="3" s="1"/>
  <c r="J175" i="3"/>
  <c r="L170" i="2"/>
  <c r="N175" i="3" s="1"/>
  <c r="I170" i="2"/>
  <c r="K175" i="3" s="1"/>
  <c r="S167" i="2"/>
  <c r="T167" i="2" s="1"/>
  <c r="B172" i="3"/>
  <c r="D168" i="2"/>
  <c r="A170" i="2"/>
  <c r="N171" i="2" s="1"/>
  <c r="A174" i="3"/>
  <c r="B169" i="2"/>
  <c r="C169" i="2" s="1"/>
  <c r="G74" i="7"/>
  <c r="S184" i="9" l="1"/>
  <c r="T184" i="9" s="1"/>
  <c r="B189" i="10"/>
  <c r="O175" i="3"/>
  <c r="C173" i="3"/>
  <c r="Q186" i="9"/>
  <c r="P191" i="10" s="1"/>
  <c r="P186" i="9"/>
  <c r="O191" i="10" s="1"/>
  <c r="N186" i="9"/>
  <c r="J191" i="10" s="1"/>
  <c r="M186" i="9"/>
  <c r="I191" i="10" s="1"/>
  <c r="J186" i="9"/>
  <c r="L191" i="10" s="1"/>
  <c r="L186" i="9"/>
  <c r="N191" i="10" s="1"/>
  <c r="I186" i="9"/>
  <c r="K191" i="10" s="1"/>
  <c r="A186" i="9"/>
  <c r="A191" i="10" s="1"/>
  <c r="B185" i="9"/>
  <c r="C185" i="9" s="1"/>
  <c r="D184" i="9"/>
  <c r="C189" i="10" s="1"/>
  <c r="Q171" i="2"/>
  <c r="P176" i="3" s="1"/>
  <c r="J176" i="3"/>
  <c r="L171" i="2"/>
  <c r="N176" i="3" s="1"/>
  <c r="P171" i="2"/>
  <c r="M171" i="2"/>
  <c r="I176" i="3" s="1"/>
  <c r="J171" i="2"/>
  <c r="L176" i="3" s="1"/>
  <c r="I171" i="2"/>
  <c r="K176" i="3" s="1"/>
  <c r="B173" i="3"/>
  <c r="S168" i="2"/>
  <c r="T168" i="2" s="1"/>
  <c r="D169" i="2"/>
  <c r="A171" i="2"/>
  <c r="N172" i="2" s="1"/>
  <c r="A175" i="3"/>
  <c r="B170" i="2"/>
  <c r="C170" i="2" s="1"/>
  <c r="F74" i="7"/>
  <c r="S185" i="9" l="1"/>
  <c r="T185" i="9" s="1"/>
  <c r="B190" i="10"/>
  <c r="O176" i="3"/>
  <c r="C174" i="3"/>
  <c r="D185" i="9"/>
  <c r="C190" i="10" s="1"/>
  <c r="P187" i="9"/>
  <c r="O192" i="10" s="1"/>
  <c r="M187" i="9"/>
  <c r="I192" i="10" s="1"/>
  <c r="I187" i="9"/>
  <c r="K192" i="10" s="1"/>
  <c r="L187" i="9"/>
  <c r="N192" i="10" s="1"/>
  <c r="Q187" i="9"/>
  <c r="P192" i="10" s="1"/>
  <c r="A187" i="9"/>
  <c r="A192" i="10" s="1"/>
  <c r="N187" i="9"/>
  <c r="J192" i="10" s="1"/>
  <c r="J187" i="9"/>
  <c r="L192" i="10" s="1"/>
  <c r="B186" i="9"/>
  <c r="C186" i="9" s="1"/>
  <c r="P172" i="2"/>
  <c r="M172" i="2"/>
  <c r="I177" i="3" s="1"/>
  <c r="J172" i="2"/>
  <c r="L177" i="3" s="1"/>
  <c r="Q172" i="2"/>
  <c r="P177" i="3" s="1"/>
  <c r="J177" i="3"/>
  <c r="L172" i="2"/>
  <c r="N177" i="3" s="1"/>
  <c r="I172" i="2"/>
  <c r="K177" i="3" s="1"/>
  <c r="B174" i="3"/>
  <c r="S169" i="2"/>
  <c r="T169" i="2" s="1"/>
  <c r="B175" i="3"/>
  <c r="A172" i="2"/>
  <c r="N173" i="2" s="1"/>
  <c r="A176" i="3"/>
  <c r="B171" i="2"/>
  <c r="C171" i="2" s="1"/>
  <c r="H74" i="7"/>
  <c r="E74" i="7"/>
  <c r="S186" i="9" l="1"/>
  <c r="T186" i="9" s="1"/>
  <c r="B191" i="10"/>
  <c r="O177" i="3"/>
  <c r="D186" i="9"/>
  <c r="C191" i="10" s="1"/>
  <c r="P188" i="9"/>
  <c r="O193" i="10" s="1"/>
  <c r="Q188" i="9"/>
  <c r="P193" i="10" s="1"/>
  <c r="A188" i="9"/>
  <c r="A193" i="10" s="1"/>
  <c r="M188" i="9"/>
  <c r="I193" i="10" s="1"/>
  <c r="I188" i="9"/>
  <c r="K193" i="10" s="1"/>
  <c r="N188" i="9"/>
  <c r="J193" i="10" s="1"/>
  <c r="L188" i="9"/>
  <c r="N193" i="10" s="1"/>
  <c r="J188" i="9"/>
  <c r="L193" i="10" s="1"/>
  <c r="B187" i="9"/>
  <c r="C187" i="9" s="1"/>
  <c r="Q173" i="2"/>
  <c r="P178" i="3" s="1"/>
  <c r="J178" i="3"/>
  <c r="L173" i="2"/>
  <c r="N178" i="3" s="1"/>
  <c r="I173" i="2"/>
  <c r="K178" i="3" s="1"/>
  <c r="P173" i="2"/>
  <c r="M173" i="2"/>
  <c r="I178" i="3" s="1"/>
  <c r="J173" i="2"/>
  <c r="L178" i="3" s="1"/>
  <c r="S170" i="2"/>
  <c r="T170" i="2" s="1"/>
  <c r="D170" i="2"/>
  <c r="D171" i="2"/>
  <c r="A173" i="2"/>
  <c r="N174" i="2" s="1"/>
  <c r="A177" i="3"/>
  <c r="B172" i="2"/>
  <c r="C172" i="2" s="1"/>
  <c r="G75" i="7"/>
  <c r="S187" i="9" l="1"/>
  <c r="T187" i="9" s="1"/>
  <c r="B192" i="10"/>
  <c r="O178" i="3"/>
  <c r="C176" i="3"/>
  <c r="C175" i="3"/>
  <c r="J189" i="9"/>
  <c r="L194" i="10" s="1"/>
  <c r="Q189" i="9"/>
  <c r="P194" i="10" s="1"/>
  <c r="P189" i="9"/>
  <c r="O194" i="10" s="1"/>
  <c r="A189" i="9"/>
  <c r="A194" i="10" s="1"/>
  <c r="N189" i="9"/>
  <c r="J194" i="10" s="1"/>
  <c r="M189" i="9"/>
  <c r="I194" i="10" s="1"/>
  <c r="I189" i="9"/>
  <c r="K194" i="10" s="1"/>
  <c r="L189" i="9"/>
  <c r="N194" i="10" s="1"/>
  <c r="B188" i="9"/>
  <c r="C188" i="9" s="1"/>
  <c r="D187" i="9"/>
  <c r="C192" i="10" s="1"/>
  <c r="P174" i="2"/>
  <c r="M174" i="2"/>
  <c r="I179" i="3" s="1"/>
  <c r="J174" i="2"/>
  <c r="L179" i="3" s="1"/>
  <c r="Q174" i="2"/>
  <c r="P179" i="3" s="1"/>
  <c r="J179" i="3"/>
  <c r="L174" i="2"/>
  <c r="N179" i="3" s="1"/>
  <c r="I174" i="2"/>
  <c r="K179" i="3" s="1"/>
  <c r="S171" i="2"/>
  <c r="T171" i="2" s="1"/>
  <c r="B176" i="3"/>
  <c r="D172" i="2"/>
  <c r="A174" i="2"/>
  <c r="N175" i="2" s="1"/>
  <c r="A178" i="3"/>
  <c r="B173" i="2"/>
  <c r="C173" i="2" s="1"/>
  <c r="F75" i="7"/>
  <c r="S188" i="9" l="1"/>
  <c r="T188" i="9" s="1"/>
  <c r="B193" i="10"/>
  <c r="O179" i="3"/>
  <c r="C177" i="3"/>
  <c r="M190" i="9"/>
  <c r="I195" i="10" s="1"/>
  <c r="J190" i="9"/>
  <c r="L195" i="10" s="1"/>
  <c r="N190" i="9"/>
  <c r="J195" i="10" s="1"/>
  <c r="L190" i="9"/>
  <c r="N195" i="10" s="1"/>
  <c r="I190" i="9"/>
  <c r="K195" i="10" s="1"/>
  <c r="Q190" i="9"/>
  <c r="P195" i="10" s="1"/>
  <c r="A190" i="9"/>
  <c r="A195" i="10" s="1"/>
  <c r="P190" i="9"/>
  <c r="O195" i="10" s="1"/>
  <c r="B189" i="9"/>
  <c r="C189" i="9" s="1"/>
  <c r="D188" i="9"/>
  <c r="C193" i="10" s="1"/>
  <c r="Q175" i="2"/>
  <c r="P180" i="3" s="1"/>
  <c r="J180" i="3"/>
  <c r="L175" i="2"/>
  <c r="N180" i="3" s="1"/>
  <c r="I175" i="2"/>
  <c r="K180" i="3" s="1"/>
  <c r="P175" i="2"/>
  <c r="M175" i="2"/>
  <c r="I180" i="3" s="1"/>
  <c r="J175" i="2"/>
  <c r="L180" i="3" s="1"/>
  <c r="S172" i="2"/>
  <c r="T172" i="2" s="1"/>
  <c r="B177" i="3"/>
  <c r="D173" i="2"/>
  <c r="A175" i="2"/>
  <c r="N176" i="2" s="1"/>
  <c r="A179" i="3"/>
  <c r="B174" i="2"/>
  <c r="C174" i="2" s="1"/>
  <c r="H75" i="7"/>
  <c r="E75" i="7"/>
  <c r="S189" i="9" l="1"/>
  <c r="T189" i="9" s="1"/>
  <c r="B194" i="10"/>
  <c r="O180" i="3"/>
  <c r="C178" i="3"/>
  <c r="D189" i="9"/>
  <c r="C194" i="10" s="1"/>
  <c r="P191" i="9"/>
  <c r="O196" i="10" s="1"/>
  <c r="M191" i="9"/>
  <c r="I196" i="10" s="1"/>
  <c r="J191" i="9"/>
  <c r="L196" i="10" s="1"/>
  <c r="A191" i="9"/>
  <c r="A196" i="10" s="1"/>
  <c r="L191" i="9"/>
  <c r="N196" i="10" s="1"/>
  <c r="Q191" i="9"/>
  <c r="P196" i="10" s="1"/>
  <c r="N191" i="9"/>
  <c r="J196" i="10" s="1"/>
  <c r="I191" i="9"/>
  <c r="K196" i="10" s="1"/>
  <c r="B190" i="9"/>
  <c r="C190" i="9" s="1"/>
  <c r="P176" i="2"/>
  <c r="M176" i="2"/>
  <c r="I181" i="3" s="1"/>
  <c r="J176" i="2"/>
  <c r="L181" i="3" s="1"/>
  <c r="Q176" i="2"/>
  <c r="P181" i="3" s="1"/>
  <c r="J181" i="3"/>
  <c r="L176" i="2"/>
  <c r="N181" i="3" s="1"/>
  <c r="I176" i="2"/>
  <c r="K181" i="3" s="1"/>
  <c r="B178" i="3"/>
  <c r="D174" i="2"/>
  <c r="S173" i="2"/>
  <c r="T173" i="2" s="1"/>
  <c r="A176" i="2"/>
  <c r="N177" i="2" s="1"/>
  <c r="A180" i="3"/>
  <c r="B175" i="2"/>
  <c r="C175" i="2" s="1"/>
  <c r="G76" i="7"/>
  <c r="S190" i="9" l="1"/>
  <c r="T190" i="9" s="1"/>
  <c r="B195" i="10"/>
  <c r="O181" i="3"/>
  <c r="D190" i="9"/>
  <c r="C195" i="10" s="1"/>
  <c r="C179" i="3"/>
  <c r="P192" i="9"/>
  <c r="O197" i="10" s="1"/>
  <c r="M192" i="9"/>
  <c r="I197" i="10" s="1"/>
  <c r="A192" i="9"/>
  <c r="A197" i="10" s="1"/>
  <c r="Q192" i="9"/>
  <c r="P197" i="10" s="1"/>
  <c r="L192" i="9"/>
  <c r="N197" i="10" s="1"/>
  <c r="N192" i="9"/>
  <c r="J197" i="10" s="1"/>
  <c r="J192" i="9"/>
  <c r="L197" i="10" s="1"/>
  <c r="I192" i="9"/>
  <c r="K197" i="10" s="1"/>
  <c r="B191" i="9"/>
  <c r="C191" i="9" s="1"/>
  <c r="Q177" i="2"/>
  <c r="P182" i="3" s="1"/>
  <c r="J182" i="3"/>
  <c r="L177" i="2"/>
  <c r="N182" i="3" s="1"/>
  <c r="I177" i="2"/>
  <c r="K182" i="3" s="1"/>
  <c r="P177" i="2"/>
  <c r="M177" i="2"/>
  <c r="I182" i="3" s="1"/>
  <c r="J177" i="2"/>
  <c r="L182" i="3" s="1"/>
  <c r="S174" i="2"/>
  <c r="T174" i="2" s="1"/>
  <c r="B179" i="3"/>
  <c r="B180" i="3"/>
  <c r="A177" i="2"/>
  <c r="N178" i="2" s="1"/>
  <c r="A181" i="3"/>
  <c r="B176" i="2"/>
  <c r="C176" i="2" s="1"/>
  <c r="F76" i="7"/>
  <c r="S191" i="9" l="1"/>
  <c r="T191" i="9" s="1"/>
  <c r="B196" i="10"/>
  <c r="O182" i="3"/>
  <c r="Q193" i="9"/>
  <c r="P198" i="10" s="1"/>
  <c r="A193" i="9"/>
  <c r="A198" i="10" s="1"/>
  <c r="M193" i="9"/>
  <c r="I198" i="10" s="1"/>
  <c r="L193" i="9"/>
  <c r="N198" i="10" s="1"/>
  <c r="I193" i="9"/>
  <c r="K198" i="10" s="1"/>
  <c r="P193" i="9"/>
  <c r="O198" i="10" s="1"/>
  <c r="J193" i="9"/>
  <c r="L198" i="10" s="1"/>
  <c r="B192" i="9"/>
  <c r="C192" i="9" s="1"/>
  <c r="D191" i="9"/>
  <c r="C196" i="10" s="1"/>
  <c r="P178" i="2"/>
  <c r="M178" i="2"/>
  <c r="I183" i="3" s="1"/>
  <c r="J178" i="2"/>
  <c r="L183" i="3" s="1"/>
  <c r="Q178" i="2"/>
  <c r="P183" i="3" s="1"/>
  <c r="J183" i="3"/>
  <c r="L178" i="2"/>
  <c r="N183" i="3" s="1"/>
  <c r="I178" i="2"/>
  <c r="K183" i="3" s="1"/>
  <c r="S175" i="2"/>
  <c r="T175" i="2" s="1"/>
  <c r="D175" i="2"/>
  <c r="D176" i="2"/>
  <c r="A178" i="2"/>
  <c r="N179" i="2" s="1"/>
  <c r="A182" i="3"/>
  <c r="B177" i="2"/>
  <c r="C177" i="2" s="1"/>
  <c r="H76" i="7"/>
  <c r="E76" i="7"/>
  <c r="S192" i="9" l="1"/>
  <c r="T192" i="9" s="1"/>
  <c r="B197" i="10"/>
  <c r="O183" i="3"/>
  <c r="C180" i="3"/>
  <c r="C181" i="3"/>
  <c r="I194" i="9"/>
  <c r="K199" i="10" s="1"/>
  <c r="Q194" i="9"/>
  <c r="P199" i="10" s="1"/>
  <c r="J194" i="9"/>
  <c r="L199" i="10" s="1"/>
  <c r="M194" i="9"/>
  <c r="I199" i="10" s="1"/>
  <c r="L194" i="9"/>
  <c r="N199" i="10" s="1"/>
  <c r="A194" i="9"/>
  <c r="A199" i="10" s="1"/>
  <c r="P194" i="9"/>
  <c r="O199" i="10" s="1"/>
  <c r="N194" i="9"/>
  <c r="J199" i="10" s="1"/>
  <c r="B193" i="9"/>
  <c r="C193" i="9" s="1"/>
  <c r="D192" i="9"/>
  <c r="C197" i="10" s="1"/>
  <c r="Q179" i="2"/>
  <c r="P184" i="3" s="1"/>
  <c r="J184" i="3"/>
  <c r="L179" i="2"/>
  <c r="N184" i="3" s="1"/>
  <c r="I179" i="2"/>
  <c r="K184" i="3" s="1"/>
  <c r="P179" i="2"/>
  <c r="M179" i="2"/>
  <c r="I184" i="3" s="1"/>
  <c r="J179" i="2"/>
  <c r="L184" i="3" s="1"/>
  <c r="B181" i="3"/>
  <c r="S176" i="2"/>
  <c r="T176" i="2" s="1"/>
  <c r="D177" i="2"/>
  <c r="A179" i="2"/>
  <c r="N180" i="2" s="1"/>
  <c r="A183" i="3"/>
  <c r="B178" i="2"/>
  <c r="C178" i="2" s="1"/>
  <c r="G77" i="7"/>
  <c r="S193" i="9" l="1"/>
  <c r="T193" i="9" s="1"/>
  <c r="B198" i="10"/>
  <c r="O184" i="3"/>
  <c r="C182" i="3"/>
  <c r="L195" i="9"/>
  <c r="N200" i="10" s="1"/>
  <c r="A195" i="9"/>
  <c r="A200" i="10" s="1"/>
  <c r="I195" i="9"/>
  <c r="K200" i="10" s="1"/>
  <c r="Q195" i="9"/>
  <c r="P200" i="10" s="1"/>
  <c r="M195" i="9"/>
  <c r="I200" i="10" s="1"/>
  <c r="P195" i="9"/>
  <c r="O200" i="10" s="1"/>
  <c r="N195" i="9"/>
  <c r="J200" i="10" s="1"/>
  <c r="J195" i="9"/>
  <c r="L200" i="10" s="1"/>
  <c r="B194" i="9"/>
  <c r="C194" i="9" s="1"/>
  <c r="D193" i="9"/>
  <c r="C198" i="10" s="1"/>
  <c r="P180" i="2"/>
  <c r="M180" i="2"/>
  <c r="I185" i="3" s="1"/>
  <c r="J180" i="2"/>
  <c r="L185" i="3" s="1"/>
  <c r="Q180" i="2"/>
  <c r="P185" i="3" s="1"/>
  <c r="J185" i="3"/>
  <c r="L180" i="2"/>
  <c r="N185" i="3" s="1"/>
  <c r="I180" i="2"/>
  <c r="K185" i="3" s="1"/>
  <c r="S177" i="2"/>
  <c r="T177" i="2" s="1"/>
  <c r="B182" i="3"/>
  <c r="D178" i="2"/>
  <c r="A180" i="2"/>
  <c r="A184" i="3"/>
  <c r="B179" i="2"/>
  <c r="C179" i="2" s="1"/>
  <c r="F77" i="7"/>
  <c r="S194" i="9" l="1"/>
  <c r="T194" i="9" s="1"/>
  <c r="B199" i="10"/>
  <c r="O185" i="3"/>
  <c r="C183" i="3"/>
  <c r="D194" i="9"/>
  <c r="C199" i="10" s="1"/>
  <c r="N196" i="9"/>
  <c r="J201" i="10" s="1"/>
  <c r="L196" i="9"/>
  <c r="N201" i="10" s="1"/>
  <c r="A196" i="9"/>
  <c r="A201" i="10" s="1"/>
  <c r="J196" i="9"/>
  <c r="L201" i="10" s="1"/>
  <c r="I196" i="9"/>
  <c r="K201" i="10" s="1"/>
  <c r="Q196" i="9"/>
  <c r="P201" i="10" s="1"/>
  <c r="P196" i="9"/>
  <c r="O201" i="10" s="1"/>
  <c r="M196" i="9"/>
  <c r="I201" i="10" s="1"/>
  <c r="B195" i="9"/>
  <c r="C195" i="9" s="1"/>
  <c r="K181" i="2"/>
  <c r="M186" i="3" s="1"/>
  <c r="N181" i="2"/>
  <c r="AE15" i="2" s="1"/>
  <c r="P181" i="2"/>
  <c r="M181" i="2"/>
  <c r="I186" i="3" s="1"/>
  <c r="I181" i="2"/>
  <c r="K186" i="3" s="1"/>
  <c r="Q181" i="2"/>
  <c r="P186" i="3" s="1"/>
  <c r="L181" i="2"/>
  <c r="N186" i="3" s="1"/>
  <c r="J181" i="2"/>
  <c r="L186" i="3" s="1"/>
  <c r="S178" i="2"/>
  <c r="T178" i="2" s="1"/>
  <c r="B183" i="3"/>
  <c r="D179" i="2"/>
  <c r="A181" i="2"/>
  <c r="N182" i="2" s="1"/>
  <c r="A185" i="3"/>
  <c r="B180" i="2"/>
  <c r="C180" i="2" s="1"/>
  <c r="H77" i="7"/>
  <c r="E77" i="7"/>
  <c r="J186" i="3" l="1"/>
  <c r="Y15" i="2"/>
  <c r="Z15" i="2" s="1"/>
  <c r="S195" i="9"/>
  <c r="T195" i="9" s="1"/>
  <c r="B200" i="10"/>
  <c r="O186" i="3"/>
  <c r="D195" i="9"/>
  <c r="C200" i="10" s="1"/>
  <c r="C184" i="3"/>
  <c r="Q197" i="9"/>
  <c r="P202" i="10" s="1"/>
  <c r="N197" i="9"/>
  <c r="J202" i="10" s="1"/>
  <c r="M197" i="9"/>
  <c r="I202" i="10" s="1"/>
  <c r="L197" i="9"/>
  <c r="N202" i="10" s="1"/>
  <c r="A197" i="9"/>
  <c r="A202" i="10" s="1"/>
  <c r="P197" i="9"/>
  <c r="O202" i="10" s="1"/>
  <c r="J197" i="9"/>
  <c r="L202" i="10" s="1"/>
  <c r="I197" i="9"/>
  <c r="K202" i="10" s="1"/>
  <c r="B196" i="9"/>
  <c r="C196" i="9" s="1"/>
  <c r="Q182" i="2"/>
  <c r="P187" i="3" s="1"/>
  <c r="J187" i="3"/>
  <c r="L182" i="2"/>
  <c r="N187" i="3" s="1"/>
  <c r="I182" i="2"/>
  <c r="K187" i="3" s="1"/>
  <c r="P182" i="2"/>
  <c r="M182" i="2"/>
  <c r="I187" i="3" s="1"/>
  <c r="J182" i="2"/>
  <c r="L187" i="3" s="1"/>
  <c r="S179" i="2"/>
  <c r="T179" i="2" s="1"/>
  <c r="B184" i="3"/>
  <c r="D180" i="2"/>
  <c r="A182" i="2"/>
  <c r="N183" i="2" s="1"/>
  <c r="A186" i="3"/>
  <c r="B181" i="2"/>
  <c r="C181" i="2" s="1"/>
  <c r="G78" i="7"/>
  <c r="S196" i="9" l="1"/>
  <c r="T196" i="9" s="1"/>
  <c r="B201" i="10"/>
  <c r="O187" i="3"/>
  <c r="C185" i="3"/>
  <c r="D196" i="9"/>
  <c r="C201" i="10" s="1"/>
  <c r="Q198" i="9"/>
  <c r="P203" i="10" s="1"/>
  <c r="P198" i="9"/>
  <c r="O203" i="10" s="1"/>
  <c r="N198" i="9"/>
  <c r="J203" i="10" s="1"/>
  <c r="A198" i="9"/>
  <c r="A203" i="10" s="1"/>
  <c r="L198" i="9"/>
  <c r="N203" i="10" s="1"/>
  <c r="M198" i="9"/>
  <c r="I203" i="10" s="1"/>
  <c r="J198" i="9"/>
  <c r="L203" i="10" s="1"/>
  <c r="I198" i="9"/>
  <c r="K203" i="10" s="1"/>
  <c r="B197" i="9"/>
  <c r="C197" i="9" s="1"/>
  <c r="P183" i="2"/>
  <c r="M183" i="2"/>
  <c r="I188" i="3" s="1"/>
  <c r="J183" i="2"/>
  <c r="L188" i="3" s="1"/>
  <c r="Q183" i="2"/>
  <c r="P188" i="3" s="1"/>
  <c r="J188" i="3"/>
  <c r="L183" i="2"/>
  <c r="N188" i="3" s="1"/>
  <c r="I183" i="2"/>
  <c r="K188" i="3" s="1"/>
  <c r="S180" i="2"/>
  <c r="T180" i="2" s="1"/>
  <c r="B185" i="3"/>
  <c r="D181" i="2"/>
  <c r="A183" i="2"/>
  <c r="N184" i="2" s="1"/>
  <c r="A187" i="3"/>
  <c r="B182" i="2"/>
  <c r="C182" i="2" s="1"/>
  <c r="F78" i="7"/>
  <c r="S197" i="9" l="1"/>
  <c r="T197" i="9" s="1"/>
  <c r="B202" i="10"/>
  <c r="O188" i="3"/>
  <c r="C186" i="3"/>
  <c r="I199" i="9"/>
  <c r="K204" i="10" s="1"/>
  <c r="Q199" i="9"/>
  <c r="P204" i="10" s="1"/>
  <c r="A199" i="9"/>
  <c r="A204" i="10" s="1"/>
  <c r="P199" i="9"/>
  <c r="O204" i="10" s="1"/>
  <c r="N199" i="9"/>
  <c r="J204" i="10" s="1"/>
  <c r="L199" i="9"/>
  <c r="N204" i="10" s="1"/>
  <c r="J199" i="9"/>
  <c r="L204" i="10" s="1"/>
  <c r="M199" i="9"/>
  <c r="I204" i="10" s="1"/>
  <c r="B198" i="9"/>
  <c r="C198" i="9" s="1"/>
  <c r="D197" i="9"/>
  <c r="C202" i="10" s="1"/>
  <c r="Q184" i="2"/>
  <c r="P189" i="3" s="1"/>
  <c r="J189" i="3"/>
  <c r="L184" i="2"/>
  <c r="N189" i="3" s="1"/>
  <c r="I184" i="2"/>
  <c r="K189" i="3" s="1"/>
  <c r="P184" i="2"/>
  <c r="M184" i="2"/>
  <c r="I189" i="3" s="1"/>
  <c r="J184" i="2"/>
  <c r="L189" i="3" s="1"/>
  <c r="S181" i="2"/>
  <c r="T181" i="2" s="1"/>
  <c r="B186" i="3"/>
  <c r="D182" i="2"/>
  <c r="A184" i="2"/>
  <c r="N185" i="2" s="1"/>
  <c r="A188" i="3"/>
  <c r="B183" i="2"/>
  <c r="C183" i="2" s="1"/>
  <c r="H78" i="7"/>
  <c r="E78" i="7"/>
  <c r="S198" i="9" l="1"/>
  <c r="T198" i="9" s="1"/>
  <c r="B203" i="10"/>
  <c r="O189" i="3"/>
  <c r="C187" i="3"/>
  <c r="L200" i="9"/>
  <c r="N205" i="10" s="1"/>
  <c r="A200" i="9"/>
  <c r="A205" i="10" s="1"/>
  <c r="I200" i="9"/>
  <c r="K205" i="10" s="1"/>
  <c r="Q200" i="9"/>
  <c r="P205" i="10" s="1"/>
  <c r="P200" i="9"/>
  <c r="O205" i="10" s="1"/>
  <c r="N200" i="9"/>
  <c r="J205" i="10" s="1"/>
  <c r="J200" i="9"/>
  <c r="L205" i="10" s="1"/>
  <c r="M200" i="9"/>
  <c r="I205" i="10" s="1"/>
  <c r="B199" i="9"/>
  <c r="C199" i="9" s="1"/>
  <c r="D198" i="9"/>
  <c r="C203" i="10" s="1"/>
  <c r="P185" i="2"/>
  <c r="M185" i="2"/>
  <c r="I190" i="3" s="1"/>
  <c r="J185" i="2"/>
  <c r="L190" i="3" s="1"/>
  <c r="Q185" i="2"/>
  <c r="P190" i="3" s="1"/>
  <c r="J190" i="3"/>
  <c r="L185" i="2"/>
  <c r="N190" i="3" s="1"/>
  <c r="I185" i="2"/>
  <c r="K190" i="3" s="1"/>
  <c r="S182" i="2"/>
  <c r="T182" i="2" s="1"/>
  <c r="D183" i="2"/>
  <c r="B187" i="3"/>
  <c r="A185" i="2"/>
  <c r="N186" i="2" s="1"/>
  <c r="A189" i="3"/>
  <c r="B184" i="2"/>
  <c r="C184" i="2" s="1"/>
  <c r="G79" i="7"/>
  <c r="S199" i="9" l="1"/>
  <c r="T199" i="9" s="1"/>
  <c r="B204" i="10"/>
  <c r="O190" i="3"/>
  <c r="C188" i="3"/>
  <c r="N201" i="9"/>
  <c r="J206" i="10" s="1"/>
  <c r="L201" i="9"/>
  <c r="N206" i="10" s="1"/>
  <c r="A201" i="9"/>
  <c r="A206" i="10" s="1"/>
  <c r="J201" i="9"/>
  <c r="L206" i="10" s="1"/>
  <c r="I201" i="9"/>
  <c r="K206" i="10" s="1"/>
  <c r="Q201" i="9"/>
  <c r="P206" i="10" s="1"/>
  <c r="P201" i="9"/>
  <c r="O206" i="10" s="1"/>
  <c r="M201" i="9"/>
  <c r="I206" i="10" s="1"/>
  <c r="B200" i="9"/>
  <c r="C200" i="9" s="1"/>
  <c r="D199" i="9"/>
  <c r="C204" i="10" s="1"/>
  <c r="Q186" i="2"/>
  <c r="P191" i="3" s="1"/>
  <c r="J191" i="3"/>
  <c r="L186" i="2"/>
  <c r="N191" i="3" s="1"/>
  <c r="I186" i="2"/>
  <c r="K191" i="3" s="1"/>
  <c r="P186" i="2"/>
  <c r="M186" i="2"/>
  <c r="I191" i="3" s="1"/>
  <c r="J186" i="2"/>
  <c r="L191" i="3" s="1"/>
  <c r="D184" i="2"/>
  <c r="B188" i="3"/>
  <c r="S183" i="2"/>
  <c r="T183" i="2" s="1"/>
  <c r="A186" i="2"/>
  <c r="N187" i="2" s="1"/>
  <c r="A190" i="3"/>
  <c r="B185" i="2"/>
  <c r="C185" i="2" s="1"/>
  <c r="F79" i="7"/>
  <c r="S200" i="9" l="1"/>
  <c r="T200" i="9" s="1"/>
  <c r="B205" i="10"/>
  <c r="O191" i="3"/>
  <c r="C189" i="3"/>
  <c r="Q202" i="9"/>
  <c r="P207" i="10" s="1"/>
  <c r="N202" i="9"/>
  <c r="J207" i="10" s="1"/>
  <c r="M202" i="9"/>
  <c r="I207" i="10" s="1"/>
  <c r="L202" i="9"/>
  <c r="N207" i="10" s="1"/>
  <c r="A202" i="9"/>
  <c r="A207" i="10" s="1"/>
  <c r="P202" i="9"/>
  <c r="O207" i="10" s="1"/>
  <c r="J202" i="9"/>
  <c r="L207" i="10" s="1"/>
  <c r="I202" i="9"/>
  <c r="K207" i="10" s="1"/>
  <c r="B201" i="9"/>
  <c r="C201" i="9" s="1"/>
  <c r="D200" i="9"/>
  <c r="C205" i="10" s="1"/>
  <c r="P187" i="2"/>
  <c r="M187" i="2"/>
  <c r="I192" i="3" s="1"/>
  <c r="J187" i="2"/>
  <c r="L192" i="3" s="1"/>
  <c r="Q187" i="2"/>
  <c r="P192" i="3" s="1"/>
  <c r="J192" i="3"/>
  <c r="L187" i="2"/>
  <c r="N192" i="3" s="1"/>
  <c r="I187" i="2"/>
  <c r="K192" i="3" s="1"/>
  <c r="S184" i="2"/>
  <c r="T184" i="2" s="1"/>
  <c r="D185" i="2"/>
  <c r="B189" i="3"/>
  <c r="A187" i="2"/>
  <c r="N188" i="2" s="1"/>
  <c r="A191" i="3"/>
  <c r="B186" i="2"/>
  <c r="C186" i="2" s="1"/>
  <c r="H79" i="7"/>
  <c r="E79" i="7"/>
  <c r="S201" i="9" l="1"/>
  <c r="T201" i="9" s="1"/>
  <c r="B206" i="10"/>
  <c r="O192" i="3"/>
  <c r="C190" i="3"/>
  <c r="D201" i="9"/>
  <c r="C206" i="10" s="1"/>
  <c r="Q203" i="9"/>
  <c r="P208" i="10" s="1"/>
  <c r="P203" i="9"/>
  <c r="O208" i="10" s="1"/>
  <c r="N203" i="9"/>
  <c r="J208" i="10" s="1"/>
  <c r="M203" i="9"/>
  <c r="I208" i="10" s="1"/>
  <c r="L203" i="9"/>
  <c r="N208" i="10" s="1"/>
  <c r="J203" i="9"/>
  <c r="L208" i="10" s="1"/>
  <c r="I203" i="9"/>
  <c r="K208" i="10" s="1"/>
  <c r="A203" i="9"/>
  <c r="A208" i="10" s="1"/>
  <c r="B202" i="9"/>
  <c r="C202" i="9" s="1"/>
  <c r="Q188" i="2"/>
  <c r="P193" i="3" s="1"/>
  <c r="J193" i="3"/>
  <c r="L188" i="2"/>
  <c r="N193" i="3" s="1"/>
  <c r="I188" i="2"/>
  <c r="K193" i="3" s="1"/>
  <c r="P188" i="2"/>
  <c r="M188" i="2"/>
  <c r="I193" i="3" s="1"/>
  <c r="J188" i="2"/>
  <c r="L193" i="3" s="1"/>
  <c r="S185" i="2"/>
  <c r="T185" i="2" s="1"/>
  <c r="B190" i="3"/>
  <c r="D186" i="2"/>
  <c r="A188" i="2"/>
  <c r="N189" i="2" s="1"/>
  <c r="A192" i="3"/>
  <c r="B187" i="2"/>
  <c r="C187" i="2" s="1"/>
  <c r="G80" i="7"/>
  <c r="S202" i="9" l="1"/>
  <c r="T202" i="9" s="1"/>
  <c r="B207" i="10"/>
  <c r="O193" i="3"/>
  <c r="C191" i="3"/>
  <c r="D202" i="9"/>
  <c r="C207" i="10" s="1"/>
  <c r="P204" i="9"/>
  <c r="O209" i="10" s="1"/>
  <c r="M204" i="9"/>
  <c r="I209" i="10" s="1"/>
  <c r="L204" i="9"/>
  <c r="N209" i="10" s="1"/>
  <c r="J204" i="9"/>
  <c r="L209" i="10" s="1"/>
  <c r="Q204" i="9"/>
  <c r="P209" i="10" s="1"/>
  <c r="N204" i="9"/>
  <c r="J209" i="10" s="1"/>
  <c r="A204" i="9"/>
  <c r="A209" i="10" s="1"/>
  <c r="I204" i="9"/>
  <c r="K209" i="10" s="1"/>
  <c r="B203" i="9"/>
  <c r="C203" i="9" s="1"/>
  <c r="P189" i="2"/>
  <c r="M189" i="2"/>
  <c r="I194" i="3" s="1"/>
  <c r="J189" i="2"/>
  <c r="L194" i="3" s="1"/>
  <c r="Q189" i="2"/>
  <c r="P194" i="3" s="1"/>
  <c r="J194" i="3"/>
  <c r="L189" i="2"/>
  <c r="N194" i="3" s="1"/>
  <c r="I189" i="2"/>
  <c r="K194" i="3" s="1"/>
  <c r="B191" i="3"/>
  <c r="D187" i="2"/>
  <c r="S186" i="2"/>
  <c r="T186" i="2" s="1"/>
  <c r="A189" i="2"/>
  <c r="N190" i="2" s="1"/>
  <c r="A193" i="3"/>
  <c r="B188" i="2"/>
  <c r="C188" i="2" s="1"/>
  <c r="F80" i="7"/>
  <c r="S203" i="9" l="1"/>
  <c r="T203" i="9" s="1"/>
  <c r="B208" i="10"/>
  <c r="O194" i="3"/>
  <c r="D203" i="9"/>
  <c r="C208" i="10" s="1"/>
  <c r="C192" i="3"/>
  <c r="I205" i="9"/>
  <c r="K210" i="10" s="1"/>
  <c r="J205" i="9"/>
  <c r="L210" i="10" s="1"/>
  <c r="Q205" i="9"/>
  <c r="P210" i="10" s="1"/>
  <c r="A205" i="9"/>
  <c r="A210" i="10" s="1"/>
  <c r="P205" i="9"/>
  <c r="O210" i="10" s="1"/>
  <c r="L205" i="9"/>
  <c r="N210" i="10" s="1"/>
  <c r="M205" i="9"/>
  <c r="I210" i="10" s="1"/>
  <c r="B204" i="9"/>
  <c r="C204" i="9" s="1"/>
  <c r="Q190" i="2"/>
  <c r="P195" i="3" s="1"/>
  <c r="J195" i="3"/>
  <c r="L190" i="2"/>
  <c r="N195" i="3" s="1"/>
  <c r="I190" i="2"/>
  <c r="K195" i="3" s="1"/>
  <c r="P190" i="2"/>
  <c r="M190" i="2"/>
  <c r="I195" i="3" s="1"/>
  <c r="J190" i="2"/>
  <c r="L195" i="3" s="1"/>
  <c r="B192" i="3"/>
  <c r="S187" i="2"/>
  <c r="T187" i="2" s="1"/>
  <c r="S188" i="2"/>
  <c r="T188" i="2" s="1"/>
  <c r="A190" i="2"/>
  <c r="N191" i="2" s="1"/>
  <c r="A194" i="3"/>
  <c r="B189" i="2"/>
  <c r="C189" i="2" s="1"/>
  <c r="H80" i="7"/>
  <c r="E80" i="7"/>
  <c r="S204" i="9" l="1"/>
  <c r="T204" i="9" s="1"/>
  <c r="B209" i="10"/>
  <c r="O195" i="3"/>
  <c r="J206" i="9"/>
  <c r="L211" i="10" s="1"/>
  <c r="I206" i="9"/>
  <c r="K211" i="10" s="1"/>
  <c r="Q206" i="9"/>
  <c r="P211" i="10" s="1"/>
  <c r="N206" i="9"/>
  <c r="J211" i="10" s="1"/>
  <c r="A206" i="9"/>
  <c r="A211" i="10" s="1"/>
  <c r="M206" i="9"/>
  <c r="I211" i="10" s="1"/>
  <c r="L206" i="9"/>
  <c r="N211" i="10" s="1"/>
  <c r="P206" i="9"/>
  <c r="O211" i="10" s="1"/>
  <c r="B205" i="9"/>
  <c r="C205" i="9" s="1"/>
  <c r="D204" i="9"/>
  <c r="C209" i="10" s="1"/>
  <c r="P191" i="2"/>
  <c r="M191" i="2"/>
  <c r="I196" i="3" s="1"/>
  <c r="J191" i="2"/>
  <c r="L196" i="3" s="1"/>
  <c r="Q191" i="2"/>
  <c r="P196" i="3" s="1"/>
  <c r="J196" i="3"/>
  <c r="L191" i="2"/>
  <c r="N196" i="3" s="1"/>
  <c r="I191" i="2"/>
  <c r="K196" i="3" s="1"/>
  <c r="B193" i="3"/>
  <c r="D188" i="2"/>
  <c r="D189" i="2"/>
  <c r="A191" i="2"/>
  <c r="N192" i="2" s="1"/>
  <c r="A195" i="3"/>
  <c r="B190" i="2"/>
  <c r="C190" i="2" s="1"/>
  <c r="G81" i="7"/>
  <c r="S205" i="9" l="1"/>
  <c r="T205" i="9" s="1"/>
  <c r="B210" i="10"/>
  <c r="O196" i="3"/>
  <c r="C193" i="3"/>
  <c r="C194" i="3"/>
  <c r="D205" i="9"/>
  <c r="C210" i="10" s="1"/>
  <c r="M207" i="9"/>
  <c r="I212" i="10" s="1"/>
  <c r="L207" i="9"/>
  <c r="N212" i="10" s="1"/>
  <c r="A207" i="9"/>
  <c r="A212" i="10" s="1"/>
  <c r="I207" i="9"/>
  <c r="K212" i="10" s="1"/>
  <c r="Q207" i="9"/>
  <c r="P212" i="10" s="1"/>
  <c r="P207" i="9"/>
  <c r="O212" i="10" s="1"/>
  <c r="J207" i="9"/>
  <c r="L212" i="10" s="1"/>
  <c r="N207" i="9"/>
  <c r="J212" i="10" s="1"/>
  <c r="B206" i="9"/>
  <c r="C206" i="9" s="1"/>
  <c r="Q192" i="2"/>
  <c r="P197" i="3" s="1"/>
  <c r="J197" i="3"/>
  <c r="L192" i="2"/>
  <c r="N197" i="3" s="1"/>
  <c r="I192" i="2"/>
  <c r="K197" i="3" s="1"/>
  <c r="P192" i="2"/>
  <c r="M192" i="2"/>
  <c r="I197" i="3" s="1"/>
  <c r="J192" i="2"/>
  <c r="L197" i="3" s="1"/>
  <c r="B194" i="3"/>
  <c r="S189" i="2"/>
  <c r="T189" i="2" s="1"/>
  <c r="S190" i="2"/>
  <c r="T190" i="2" s="1"/>
  <c r="A192" i="2"/>
  <c r="A196" i="3"/>
  <c r="B191" i="2"/>
  <c r="C191" i="2" s="1"/>
  <c r="F81" i="7"/>
  <c r="S206" i="9" l="1"/>
  <c r="T206" i="9" s="1"/>
  <c r="B211" i="10"/>
  <c r="O197" i="3"/>
  <c r="D206" i="9"/>
  <c r="C211" i="10" s="1"/>
  <c r="P208" i="9"/>
  <c r="O213" i="10" s="1"/>
  <c r="N208" i="9"/>
  <c r="J213" i="10" s="1"/>
  <c r="Q208" i="9"/>
  <c r="P213" i="10" s="1"/>
  <c r="A208" i="9"/>
  <c r="A213" i="10" s="1"/>
  <c r="M208" i="9"/>
  <c r="I213" i="10" s="1"/>
  <c r="L208" i="9"/>
  <c r="N213" i="10" s="1"/>
  <c r="J208" i="9"/>
  <c r="L213" i="10" s="1"/>
  <c r="I208" i="9"/>
  <c r="K213" i="10" s="1"/>
  <c r="B207" i="9"/>
  <c r="C207" i="9" s="1"/>
  <c r="K193" i="2"/>
  <c r="M198" i="3" s="1"/>
  <c r="N193" i="2"/>
  <c r="Q193" i="2"/>
  <c r="P198" i="3" s="1"/>
  <c r="L193" i="2"/>
  <c r="N198" i="3" s="1"/>
  <c r="J193" i="2"/>
  <c r="L198" i="3" s="1"/>
  <c r="P193" i="2"/>
  <c r="M193" i="2"/>
  <c r="I198" i="3" s="1"/>
  <c r="I193" i="2"/>
  <c r="K198" i="3" s="1"/>
  <c r="B195" i="3"/>
  <c r="D190" i="2"/>
  <c r="B196" i="3"/>
  <c r="A193" i="2"/>
  <c r="N194" i="2" s="1"/>
  <c r="A197" i="3"/>
  <c r="B192" i="2"/>
  <c r="C192" i="2" s="1"/>
  <c r="H81" i="7"/>
  <c r="E81" i="7"/>
  <c r="Y16" i="2" l="1"/>
  <c r="Z16" i="2" s="1"/>
  <c r="S207" i="9"/>
  <c r="T207" i="9" s="1"/>
  <c r="B212" i="10"/>
  <c r="O198" i="3"/>
  <c r="C195" i="3"/>
  <c r="Q209" i="9"/>
  <c r="P214" i="10" s="1"/>
  <c r="L209" i="9"/>
  <c r="N214" i="10" s="1"/>
  <c r="I209" i="9"/>
  <c r="K214" i="10" s="1"/>
  <c r="M209" i="9"/>
  <c r="I214" i="10" s="1"/>
  <c r="J209" i="9"/>
  <c r="L214" i="10" s="1"/>
  <c r="A209" i="9"/>
  <c r="A214" i="10" s="1"/>
  <c r="P209" i="9"/>
  <c r="O214" i="10" s="1"/>
  <c r="N209" i="9"/>
  <c r="J214" i="10" s="1"/>
  <c r="B208" i="9"/>
  <c r="C208" i="9" s="1"/>
  <c r="D207" i="9"/>
  <c r="C212" i="10" s="1"/>
  <c r="J198" i="3"/>
  <c r="AE16" i="2"/>
  <c r="P194" i="2"/>
  <c r="M194" i="2"/>
  <c r="I199" i="3" s="1"/>
  <c r="J194" i="2"/>
  <c r="L199" i="3" s="1"/>
  <c r="Q194" i="2"/>
  <c r="P199" i="3" s="1"/>
  <c r="J199" i="3"/>
  <c r="L194" i="2"/>
  <c r="N199" i="3" s="1"/>
  <c r="I194" i="2"/>
  <c r="K199" i="3" s="1"/>
  <c r="S191" i="2"/>
  <c r="T191" i="2" s="1"/>
  <c r="D191" i="2"/>
  <c r="D192" i="2"/>
  <c r="A194" i="2"/>
  <c r="N195" i="2" s="1"/>
  <c r="A198" i="3"/>
  <c r="B193" i="2"/>
  <c r="C193" i="2" s="1"/>
  <c r="G82" i="7"/>
  <c r="S208" i="9" l="1"/>
  <c r="T208" i="9" s="1"/>
  <c r="B213" i="10"/>
  <c r="O199" i="3"/>
  <c r="C197" i="3"/>
  <c r="C196" i="3"/>
  <c r="D208" i="9"/>
  <c r="C213" i="10" s="1"/>
  <c r="Q210" i="9"/>
  <c r="P215" i="10" s="1"/>
  <c r="P210" i="9"/>
  <c r="O215" i="10" s="1"/>
  <c r="N210" i="9"/>
  <c r="J215" i="10" s="1"/>
  <c r="A210" i="9"/>
  <c r="A215" i="10" s="1"/>
  <c r="M210" i="9"/>
  <c r="I215" i="10" s="1"/>
  <c r="L210" i="9"/>
  <c r="N215" i="10" s="1"/>
  <c r="J210" i="9"/>
  <c r="L215" i="10" s="1"/>
  <c r="I210" i="9"/>
  <c r="K215" i="10" s="1"/>
  <c r="B209" i="9"/>
  <c r="C209" i="9" s="1"/>
  <c r="Q195" i="2"/>
  <c r="P200" i="3" s="1"/>
  <c r="J200" i="3"/>
  <c r="L195" i="2"/>
  <c r="N200" i="3" s="1"/>
  <c r="I195" i="2"/>
  <c r="K200" i="3" s="1"/>
  <c r="P195" i="2"/>
  <c r="M195" i="2"/>
  <c r="I200" i="3" s="1"/>
  <c r="J195" i="2"/>
  <c r="L200" i="3" s="1"/>
  <c r="B197" i="3"/>
  <c r="D193" i="2"/>
  <c r="S192" i="2"/>
  <c r="T192" i="2" s="1"/>
  <c r="A195" i="2"/>
  <c r="N196" i="2" s="1"/>
  <c r="A199" i="3"/>
  <c r="B194" i="2"/>
  <c r="C194" i="2" s="1"/>
  <c r="F82" i="7"/>
  <c r="S209" i="9" l="1"/>
  <c r="T209" i="9" s="1"/>
  <c r="B214" i="10"/>
  <c r="O200" i="3"/>
  <c r="C198" i="3"/>
  <c r="J211" i="9"/>
  <c r="L216" i="10" s="1"/>
  <c r="I211" i="9"/>
  <c r="K216" i="10" s="1"/>
  <c r="N211" i="9"/>
  <c r="J216" i="10" s="1"/>
  <c r="A211" i="9"/>
  <c r="A216" i="10" s="1"/>
  <c r="L211" i="9"/>
  <c r="N216" i="10" s="1"/>
  <c r="Q211" i="9"/>
  <c r="P216" i="10" s="1"/>
  <c r="P211" i="9"/>
  <c r="O216" i="10" s="1"/>
  <c r="M211" i="9"/>
  <c r="I216" i="10" s="1"/>
  <c r="B210" i="9"/>
  <c r="C210" i="9" s="1"/>
  <c r="D209" i="9"/>
  <c r="C214" i="10" s="1"/>
  <c r="P196" i="2"/>
  <c r="M196" i="2"/>
  <c r="I201" i="3" s="1"/>
  <c r="J196" i="2"/>
  <c r="L201" i="3" s="1"/>
  <c r="Q196" i="2"/>
  <c r="P201" i="3" s="1"/>
  <c r="J201" i="3"/>
  <c r="L196" i="2"/>
  <c r="N201" i="3" s="1"/>
  <c r="I196" i="2"/>
  <c r="K201" i="3" s="1"/>
  <c r="B198" i="3"/>
  <c r="S193" i="2"/>
  <c r="T193" i="2" s="1"/>
  <c r="D194" i="2"/>
  <c r="A196" i="2"/>
  <c r="N197" i="2" s="1"/>
  <c r="A200" i="3"/>
  <c r="B195" i="2"/>
  <c r="C195" i="2" s="1"/>
  <c r="H82" i="7"/>
  <c r="E82" i="7"/>
  <c r="S210" i="9" l="1"/>
  <c r="T210" i="9" s="1"/>
  <c r="B215" i="10"/>
  <c r="O201" i="3"/>
  <c r="C199" i="3"/>
  <c r="M212" i="9"/>
  <c r="I217" i="10" s="1"/>
  <c r="L212" i="9"/>
  <c r="N217" i="10" s="1"/>
  <c r="A212" i="9"/>
  <c r="A217" i="10" s="1"/>
  <c r="Q212" i="9"/>
  <c r="P217" i="10" s="1"/>
  <c r="P212" i="9"/>
  <c r="O217" i="10" s="1"/>
  <c r="N212" i="9"/>
  <c r="J217" i="10" s="1"/>
  <c r="I212" i="9"/>
  <c r="K217" i="10" s="1"/>
  <c r="J212" i="9"/>
  <c r="L217" i="10" s="1"/>
  <c r="B211" i="9"/>
  <c r="C211" i="9" s="1"/>
  <c r="D210" i="9"/>
  <c r="C215" i="10" s="1"/>
  <c r="Q197" i="2"/>
  <c r="P202" i="3" s="1"/>
  <c r="J202" i="3"/>
  <c r="L197" i="2"/>
  <c r="N202" i="3" s="1"/>
  <c r="I197" i="2"/>
  <c r="K202" i="3" s="1"/>
  <c r="P197" i="2"/>
  <c r="M197" i="2"/>
  <c r="I202" i="3" s="1"/>
  <c r="J197" i="2"/>
  <c r="L202" i="3" s="1"/>
  <c r="B199" i="3"/>
  <c r="D195" i="2"/>
  <c r="S194" i="2"/>
  <c r="T194" i="2" s="1"/>
  <c r="A197" i="2"/>
  <c r="N198" i="2" s="1"/>
  <c r="A201" i="3"/>
  <c r="B196" i="2"/>
  <c r="C196" i="2" s="1"/>
  <c r="G83" i="7"/>
  <c r="S211" i="9" l="1"/>
  <c r="T211" i="9" s="1"/>
  <c r="B216" i="10"/>
  <c r="O202" i="3"/>
  <c r="C200" i="3"/>
  <c r="P213" i="9"/>
  <c r="O218" i="10" s="1"/>
  <c r="N213" i="9"/>
  <c r="J218" i="10" s="1"/>
  <c r="Q213" i="9"/>
  <c r="P218" i="10" s="1"/>
  <c r="A213" i="9"/>
  <c r="A218" i="10" s="1"/>
  <c r="L213" i="9"/>
  <c r="N218" i="10" s="1"/>
  <c r="J213" i="9"/>
  <c r="L218" i="10" s="1"/>
  <c r="I213" i="9"/>
  <c r="K218" i="10" s="1"/>
  <c r="M213" i="9"/>
  <c r="I218" i="10" s="1"/>
  <c r="B212" i="9"/>
  <c r="C212" i="9" s="1"/>
  <c r="D211" i="9"/>
  <c r="C216" i="10" s="1"/>
  <c r="P198" i="2"/>
  <c r="M198" i="2"/>
  <c r="I203" i="3" s="1"/>
  <c r="J198" i="2"/>
  <c r="L203" i="3" s="1"/>
  <c r="Q198" i="2"/>
  <c r="P203" i="3" s="1"/>
  <c r="J203" i="3"/>
  <c r="L198" i="2"/>
  <c r="N203" i="3" s="1"/>
  <c r="I198" i="2"/>
  <c r="K203" i="3" s="1"/>
  <c r="S195" i="2"/>
  <c r="T195" i="2" s="1"/>
  <c r="B200" i="3"/>
  <c r="S196" i="2"/>
  <c r="T196" i="2" s="1"/>
  <c r="A198" i="2"/>
  <c r="N199" i="2" s="1"/>
  <c r="A202" i="3"/>
  <c r="B197" i="2"/>
  <c r="C197" i="2" s="1"/>
  <c r="F83" i="7"/>
  <c r="S212" i="9" l="1"/>
  <c r="T212" i="9" s="1"/>
  <c r="B217" i="10"/>
  <c r="O203" i="3"/>
  <c r="D212" i="9"/>
  <c r="C217" i="10" s="1"/>
  <c r="Q214" i="9"/>
  <c r="P219" i="10" s="1"/>
  <c r="I214" i="9"/>
  <c r="K219" i="10" s="1"/>
  <c r="J214" i="9"/>
  <c r="L219" i="10" s="1"/>
  <c r="A214" i="9"/>
  <c r="A219" i="10" s="1"/>
  <c r="P214" i="9"/>
  <c r="O219" i="10" s="1"/>
  <c r="N214" i="9"/>
  <c r="J219" i="10" s="1"/>
  <c r="L214" i="9"/>
  <c r="N219" i="10" s="1"/>
  <c r="M214" i="9"/>
  <c r="I219" i="10" s="1"/>
  <c r="B213" i="9"/>
  <c r="C213" i="9" s="1"/>
  <c r="Q199" i="2"/>
  <c r="P204" i="3" s="1"/>
  <c r="J204" i="3"/>
  <c r="L199" i="2"/>
  <c r="N204" i="3" s="1"/>
  <c r="I199" i="2"/>
  <c r="K204" i="3" s="1"/>
  <c r="P199" i="2"/>
  <c r="M199" i="2"/>
  <c r="I204" i="3" s="1"/>
  <c r="J199" i="2"/>
  <c r="L204" i="3" s="1"/>
  <c r="B201" i="3"/>
  <c r="D196" i="2"/>
  <c r="D197" i="2"/>
  <c r="A199" i="2"/>
  <c r="N200" i="2" s="1"/>
  <c r="A203" i="3"/>
  <c r="B198" i="2"/>
  <c r="C198" i="2" s="1"/>
  <c r="H83" i="7"/>
  <c r="E83" i="7"/>
  <c r="S213" i="9" l="1"/>
  <c r="T213" i="9" s="1"/>
  <c r="B218" i="10"/>
  <c r="O204" i="3"/>
  <c r="C201" i="3"/>
  <c r="C202" i="3"/>
  <c r="D213" i="9"/>
  <c r="C218" i="10" s="1"/>
  <c r="Q215" i="9"/>
  <c r="P220" i="10" s="1"/>
  <c r="P215" i="9"/>
  <c r="O220" i="10" s="1"/>
  <c r="N215" i="9"/>
  <c r="J220" i="10" s="1"/>
  <c r="A215" i="9"/>
  <c r="A220" i="10" s="1"/>
  <c r="M215" i="9"/>
  <c r="I220" i="10" s="1"/>
  <c r="L215" i="9"/>
  <c r="N220" i="10" s="1"/>
  <c r="J215" i="9"/>
  <c r="L220" i="10" s="1"/>
  <c r="I215" i="9"/>
  <c r="K220" i="10" s="1"/>
  <c r="B214" i="9"/>
  <c r="C214" i="9" s="1"/>
  <c r="P200" i="2"/>
  <c r="M200" i="2"/>
  <c r="I205" i="3" s="1"/>
  <c r="J200" i="2"/>
  <c r="L205" i="3" s="1"/>
  <c r="Q200" i="2"/>
  <c r="P205" i="3" s="1"/>
  <c r="J205" i="3"/>
  <c r="L200" i="2"/>
  <c r="N205" i="3" s="1"/>
  <c r="I200" i="2"/>
  <c r="K205" i="3" s="1"/>
  <c r="B202" i="3"/>
  <c r="S197" i="2"/>
  <c r="T197" i="2" s="1"/>
  <c r="D198" i="2"/>
  <c r="A200" i="2"/>
  <c r="N201" i="2" s="1"/>
  <c r="A204" i="3"/>
  <c r="B199" i="2"/>
  <c r="C199" i="2" s="1"/>
  <c r="G84" i="7"/>
  <c r="F84" i="7" s="1"/>
  <c r="E84" i="7" s="1"/>
  <c r="S214" i="9" l="1"/>
  <c r="T214" i="9" s="1"/>
  <c r="B219" i="10"/>
  <c r="O205" i="3"/>
  <c r="C203" i="3"/>
  <c r="J216" i="9"/>
  <c r="L221" i="10" s="1"/>
  <c r="I216" i="9"/>
  <c r="K221" i="10" s="1"/>
  <c r="L216" i="9"/>
  <c r="N221" i="10" s="1"/>
  <c r="M216" i="9"/>
  <c r="I221" i="10" s="1"/>
  <c r="A216" i="9"/>
  <c r="A221" i="10" s="1"/>
  <c r="P216" i="9"/>
  <c r="O221" i="10" s="1"/>
  <c r="N216" i="9"/>
  <c r="J221" i="10" s="1"/>
  <c r="Q216" i="9"/>
  <c r="P221" i="10" s="1"/>
  <c r="B215" i="9"/>
  <c r="C215" i="9" s="1"/>
  <c r="D214" i="9"/>
  <c r="C219" i="10" s="1"/>
  <c r="Q201" i="2"/>
  <c r="P206" i="3" s="1"/>
  <c r="J206" i="3"/>
  <c r="L201" i="2"/>
  <c r="N206" i="3" s="1"/>
  <c r="I201" i="2"/>
  <c r="K206" i="3" s="1"/>
  <c r="P201" i="2"/>
  <c r="M201" i="2"/>
  <c r="I206" i="3" s="1"/>
  <c r="J201" i="2"/>
  <c r="L206" i="3" s="1"/>
  <c r="B203" i="3"/>
  <c r="S198" i="2"/>
  <c r="T198" i="2" s="1"/>
  <c r="D199" i="2"/>
  <c r="S199" i="2"/>
  <c r="T199" i="2" s="1"/>
  <c r="B204" i="3"/>
  <c r="A201" i="2"/>
  <c r="N202" i="2" s="1"/>
  <c r="A205" i="3"/>
  <c r="B200" i="2"/>
  <c r="C200" i="2" s="1"/>
  <c r="H84" i="7"/>
  <c r="G85" i="7"/>
  <c r="F85" i="7" s="1"/>
  <c r="E85" i="7" s="1"/>
  <c r="S215" i="9" l="1"/>
  <c r="T215" i="9" s="1"/>
  <c r="B220" i="10"/>
  <c r="O206" i="3"/>
  <c r="C204" i="3"/>
  <c r="D215" i="9"/>
  <c r="C220" i="10" s="1"/>
  <c r="L217" i="9"/>
  <c r="N222" i="10" s="1"/>
  <c r="A217" i="9"/>
  <c r="A222" i="10" s="1"/>
  <c r="Q217" i="9"/>
  <c r="P222" i="10" s="1"/>
  <c r="P217" i="9"/>
  <c r="O222" i="10" s="1"/>
  <c r="M217" i="9"/>
  <c r="I222" i="10" s="1"/>
  <c r="I217" i="9"/>
  <c r="K222" i="10" s="1"/>
  <c r="J217" i="9"/>
  <c r="L222" i="10" s="1"/>
  <c r="B216" i="9"/>
  <c r="C216" i="9" s="1"/>
  <c r="P202" i="2"/>
  <c r="M202" i="2"/>
  <c r="I207" i="3" s="1"/>
  <c r="J202" i="2"/>
  <c r="L207" i="3" s="1"/>
  <c r="Q202" i="2"/>
  <c r="P207" i="3" s="1"/>
  <c r="J207" i="3"/>
  <c r="L202" i="2"/>
  <c r="N207" i="3" s="1"/>
  <c r="I202" i="2"/>
  <c r="K207" i="3" s="1"/>
  <c r="D200" i="2"/>
  <c r="A202" i="2"/>
  <c r="N203" i="2" s="1"/>
  <c r="A206" i="3"/>
  <c r="B201" i="2"/>
  <c r="C201" i="2" s="1"/>
  <c r="G86" i="7"/>
  <c r="H85" i="7"/>
  <c r="S216" i="9" l="1"/>
  <c r="T216" i="9" s="1"/>
  <c r="B221" i="10"/>
  <c r="O207" i="3"/>
  <c r="C205" i="3"/>
  <c r="D216" i="9"/>
  <c r="C221" i="10" s="1"/>
  <c r="N218" i="9"/>
  <c r="J223" i="10" s="1"/>
  <c r="M218" i="9"/>
  <c r="I223" i="10" s="1"/>
  <c r="I218" i="9"/>
  <c r="K223" i="10" s="1"/>
  <c r="P218" i="9"/>
  <c r="O223" i="10" s="1"/>
  <c r="L218" i="9"/>
  <c r="N223" i="10" s="1"/>
  <c r="J218" i="9"/>
  <c r="L223" i="10" s="1"/>
  <c r="Q218" i="9"/>
  <c r="P223" i="10" s="1"/>
  <c r="A218" i="9"/>
  <c r="A223" i="10" s="1"/>
  <c r="B217" i="9"/>
  <c r="C217" i="9" s="1"/>
  <c r="Q203" i="2"/>
  <c r="P208" i="3" s="1"/>
  <c r="J208" i="3"/>
  <c r="L203" i="2"/>
  <c r="N208" i="3" s="1"/>
  <c r="I203" i="2"/>
  <c r="K208" i="3" s="1"/>
  <c r="P203" i="2"/>
  <c r="M203" i="2"/>
  <c r="I208" i="3" s="1"/>
  <c r="J203" i="2"/>
  <c r="L208" i="3" s="1"/>
  <c r="B205" i="3"/>
  <c r="S200" i="2"/>
  <c r="T200" i="2" s="1"/>
  <c r="D201" i="2"/>
  <c r="S201" i="2"/>
  <c r="T201" i="2" s="1"/>
  <c r="B206" i="3"/>
  <c r="A203" i="2"/>
  <c r="N204" i="2" s="1"/>
  <c r="A207" i="3"/>
  <c r="B202" i="2"/>
  <c r="C202" i="2" s="1"/>
  <c r="F86" i="7"/>
  <c r="E86" i="7" s="1"/>
  <c r="S217" i="9" l="1"/>
  <c r="T217" i="9" s="1"/>
  <c r="B222" i="10"/>
  <c r="O208" i="3"/>
  <c r="D217" i="9"/>
  <c r="C222" i="10" s="1"/>
  <c r="C206" i="3"/>
  <c r="Q219" i="9"/>
  <c r="P224" i="10" s="1"/>
  <c r="P219" i="9"/>
  <c r="O224" i="10" s="1"/>
  <c r="L219" i="9"/>
  <c r="N224" i="10" s="1"/>
  <c r="A219" i="9"/>
  <c r="A224" i="10" s="1"/>
  <c r="I219" i="9"/>
  <c r="K224" i="10" s="1"/>
  <c r="J219" i="9"/>
  <c r="L224" i="10" s="1"/>
  <c r="N219" i="9"/>
  <c r="J224" i="10" s="1"/>
  <c r="M219" i="9"/>
  <c r="I224" i="10" s="1"/>
  <c r="B218" i="9"/>
  <c r="C218" i="9" s="1"/>
  <c r="P204" i="2"/>
  <c r="M204" i="2"/>
  <c r="I209" i="3" s="1"/>
  <c r="J204" i="2"/>
  <c r="L209" i="3" s="1"/>
  <c r="Q204" i="2"/>
  <c r="P209" i="3" s="1"/>
  <c r="J209" i="3"/>
  <c r="L204" i="2"/>
  <c r="N209" i="3" s="1"/>
  <c r="I204" i="2"/>
  <c r="K209" i="3" s="1"/>
  <c r="D202" i="2"/>
  <c r="A204" i="2"/>
  <c r="A208" i="3"/>
  <c r="B203" i="2"/>
  <c r="C203" i="2" s="1"/>
  <c r="H86" i="7"/>
  <c r="G87" i="7"/>
  <c r="S218" i="9" l="1"/>
  <c r="T218" i="9" s="1"/>
  <c r="B223" i="10"/>
  <c r="O209" i="3"/>
  <c r="C207" i="3"/>
  <c r="P220" i="9"/>
  <c r="O225" i="10" s="1"/>
  <c r="A220" i="9"/>
  <c r="A225" i="10" s="1"/>
  <c r="Q220" i="9"/>
  <c r="P225" i="10" s="1"/>
  <c r="I220" i="9"/>
  <c r="K225" i="10" s="1"/>
  <c r="N220" i="9"/>
  <c r="J225" i="10" s="1"/>
  <c r="M220" i="9"/>
  <c r="I225" i="10" s="1"/>
  <c r="J220" i="9"/>
  <c r="L225" i="10" s="1"/>
  <c r="L220" i="9"/>
  <c r="N225" i="10" s="1"/>
  <c r="B219" i="9"/>
  <c r="C219" i="9" s="1"/>
  <c r="D218" i="9"/>
  <c r="C223" i="10" s="1"/>
  <c r="K205" i="2"/>
  <c r="M210" i="3" s="1"/>
  <c r="N205" i="2"/>
  <c r="AE17" i="2" s="1"/>
  <c r="P205" i="2"/>
  <c r="M205" i="2"/>
  <c r="I210" i="3" s="1"/>
  <c r="I205" i="2"/>
  <c r="K210" i="3" s="1"/>
  <c r="Q205" i="2"/>
  <c r="P210" i="3" s="1"/>
  <c r="J210" i="3"/>
  <c r="L205" i="2"/>
  <c r="N210" i="3" s="1"/>
  <c r="J205" i="2"/>
  <c r="L210" i="3" s="1"/>
  <c r="B207" i="3"/>
  <c r="D203" i="2"/>
  <c r="S202" i="2"/>
  <c r="T202" i="2" s="1"/>
  <c r="A205" i="2"/>
  <c r="N206" i="2" s="1"/>
  <c r="A209" i="3"/>
  <c r="B204" i="2"/>
  <c r="C204" i="2" s="1"/>
  <c r="F87" i="7"/>
  <c r="E87" i="7" s="1"/>
  <c r="S219" i="9" l="1"/>
  <c r="T219" i="9" s="1"/>
  <c r="B224" i="10"/>
  <c r="O210" i="3"/>
  <c r="C208" i="3"/>
  <c r="I221" i="9"/>
  <c r="K226" i="10" s="1"/>
  <c r="M221" i="9"/>
  <c r="I226" i="10" s="1"/>
  <c r="A221" i="9"/>
  <c r="A226" i="10" s="1"/>
  <c r="L221" i="9"/>
  <c r="N226" i="10" s="1"/>
  <c r="Q221" i="9"/>
  <c r="P226" i="10" s="1"/>
  <c r="P221" i="9"/>
  <c r="O226" i="10" s="1"/>
  <c r="J221" i="9"/>
  <c r="L226" i="10" s="1"/>
  <c r="N221" i="9"/>
  <c r="J226" i="10" s="1"/>
  <c r="B220" i="9"/>
  <c r="C220" i="9" s="1"/>
  <c r="D219" i="9"/>
  <c r="C224" i="10" s="1"/>
  <c r="Y17" i="2"/>
  <c r="Z17" i="2" s="1"/>
  <c r="Q206" i="2"/>
  <c r="P211" i="3" s="1"/>
  <c r="J211" i="3"/>
  <c r="L206" i="2"/>
  <c r="N211" i="3" s="1"/>
  <c r="I206" i="2"/>
  <c r="K211" i="3" s="1"/>
  <c r="P206" i="2"/>
  <c r="M206" i="2"/>
  <c r="I211" i="3" s="1"/>
  <c r="J206" i="2"/>
  <c r="L211" i="3" s="1"/>
  <c r="B208" i="3"/>
  <c r="S203" i="2"/>
  <c r="T203" i="2" s="1"/>
  <c r="S204" i="2"/>
  <c r="T204" i="2" s="1"/>
  <c r="A206" i="2"/>
  <c r="N207" i="2" s="1"/>
  <c r="A210" i="3"/>
  <c r="B205" i="2"/>
  <c r="C205" i="2" s="1"/>
  <c r="H87" i="7"/>
  <c r="G88" i="7"/>
  <c r="S220" i="9" l="1"/>
  <c r="T220" i="9" s="1"/>
  <c r="B225" i="10"/>
  <c r="O211" i="3"/>
  <c r="D220" i="9"/>
  <c r="C225" i="10" s="1"/>
  <c r="L222" i="9"/>
  <c r="N227" i="10" s="1"/>
  <c r="A222" i="9"/>
  <c r="A227" i="10" s="1"/>
  <c r="Q222" i="9"/>
  <c r="P227" i="10" s="1"/>
  <c r="M222" i="9"/>
  <c r="I227" i="10" s="1"/>
  <c r="P222" i="9"/>
  <c r="O227" i="10" s="1"/>
  <c r="N222" i="9"/>
  <c r="J227" i="10" s="1"/>
  <c r="J222" i="9"/>
  <c r="L227" i="10" s="1"/>
  <c r="I222" i="9"/>
  <c r="K227" i="10" s="1"/>
  <c r="B221" i="9"/>
  <c r="C221" i="9" s="1"/>
  <c r="P207" i="2"/>
  <c r="M207" i="2"/>
  <c r="I212" i="3" s="1"/>
  <c r="J207" i="2"/>
  <c r="L212" i="3" s="1"/>
  <c r="Q207" i="2"/>
  <c r="P212" i="3" s="1"/>
  <c r="J212" i="3"/>
  <c r="L207" i="2"/>
  <c r="N212" i="3" s="1"/>
  <c r="I207" i="2"/>
  <c r="K212" i="3" s="1"/>
  <c r="D205" i="2"/>
  <c r="B209" i="3"/>
  <c r="D204" i="2"/>
  <c r="S205" i="2"/>
  <c r="T205" i="2" s="1"/>
  <c r="B210" i="3"/>
  <c r="A207" i="2"/>
  <c r="N208" i="2" s="1"/>
  <c r="A211" i="3"/>
  <c r="B206" i="2"/>
  <c r="C206" i="2" s="1"/>
  <c r="F88" i="7"/>
  <c r="E88" i="7" s="1"/>
  <c r="S221" i="9" l="1"/>
  <c r="T221" i="9" s="1"/>
  <c r="B226" i="10"/>
  <c r="O212" i="3"/>
  <c r="C210" i="3"/>
  <c r="C209" i="3"/>
  <c r="D221" i="9"/>
  <c r="C226" i="10" s="1"/>
  <c r="N223" i="9"/>
  <c r="J228" i="10" s="1"/>
  <c r="M223" i="9"/>
  <c r="I228" i="10" s="1"/>
  <c r="J223" i="9"/>
  <c r="L228" i="10" s="1"/>
  <c r="I223" i="9"/>
  <c r="K228" i="10" s="1"/>
  <c r="Q223" i="9"/>
  <c r="P228" i="10" s="1"/>
  <c r="P223" i="9"/>
  <c r="O228" i="10" s="1"/>
  <c r="L223" i="9"/>
  <c r="N228" i="10" s="1"/>
  <c r="A223" i="9"/>
  <c r="A228" i="10" s="1"/>
  <c r="B222" i="9"/>
  <c r="C222" i="9" s="1"/>
  <c r="Q208" i="2"/>
  <c r="P213" i="3" s="1"/>
  <c r="J213" i="3"/>
  <c r="L208" i="2"/>
  <c r="N213" i="3" s="1"/>
  <c r="I208" i="2"/>
  <c r="K213" i="3" s="1"/>
  <c r="P208" i="2"/>
  <c r="M208" i="2"/>
  <c r="I213" i="3" s="1"/>
  <c r="J208" i="2"/>
  <c r="L213" i="3" s="1"/>
  <c r="D206" i="2"/>
  <c r="A208" i="2"/>
  <c r="N209" i="2" s="1"/>
  <c r="A212" i="3"/>
  <c r="B207" i="2"/>
  <c r="C207" i="2" s="1"/>
  <c r="H88" i="7"/>
  <c r="G89" i="7"/>
  <c r="S222" i="9" l="1"/>
  <c r="T222" i="9" s="1"/>
  <c r="B227" i="10"/>
  <c r="O213" i="3"/>
  <c r="C211" i="3"/>
  <c r="D222" i="9"/>
  <c r="C227" i="10" s="1"/>
  <c r="Q224" i="9"/>
  <c r="P229" i="10" s="1"/>
  <c r="P224" i="9"/>
  <c r="O229" i="10" s="1"/>
  <c r="M224" i="9"/>
  <c r="I229" i="10" s="1"/>
  <c r="N224" i="9"/>
  <c r="J229" i="10" s="1"/>
  <c r="L224" i="9"/>
  <c r="N229" i="10" s="1"/>
  <c r="J224" i="9"/>
  <c r="L229" i="10" s="1"/>
  <c r="A224" i="9"/>
  <c r="A229" i="10" s="1"/>
  <c r="I224" i="9"/>
  <c r="K229" i="10" s="1"/>
  <c r="B223" i="9"/>
  <c r="C223" i="9" s="1"/>
  <c r="P209" i="2"/>
  <c r="M209" i="2"/>
  <c r="I214" i="3" s="1"/>
  <c r="J209" i="2"/>
  <c r="L214" i="3" s="1"/>
  <c r="Q209" i="2"/>
  <c r="P214" i="3" s="1"/>
  <c r="J214" i="3"/>
  <c r="L209" i="2"/>
  <c r="N214" i="3" s="1"/>
  <c r="I209" i="2"/>
  <c r="K214" i="3" s="1"/>
  <c r="S206" i="2"/>
  <c r="T206" i="2" s="1"/>
  <c r="D207" i="2"/>
  <c r="B211" i="3"/>
  <c r="A209" i="2"/>
  <c r="N210" i="2" s="1"/>
  <c r="A213" i="3"/>
  <c r="B208" i="2"/>
  <c r="C208" i="2" s="1"/>
  <c r="F89" i="7"/>
  <c r="E89" i="7" s="1"/>
  <c r="S223" i="9" l="1"/>
  <c r="T223" i="9" s="1"/>
  <c r="B228" i="10"/>
  <c r="O214" i="3"/>
  <c r="C212" i="3"/>
  <c r="D223" i="9"/>
  <c r="C228" i="10" s="1"/>
  <c r="M225" i="9"/>
  <c r="I230" i="10" s="1"/>
  <c r="L225" i="9"/>
  <c r="N230" i="10" s="1"/>
  <c r="J225" i="9"/>
  <c r="L230" i="10" s="1"/>
  <c r="A225" i="9"/>
  <c r="A230" i="10" s="1"/>
  <c r="Q225" i="9"/>
  <c r="P230" i="10" s="1"/>
  <c r="P225" i="9"/>
  <c r="O230" i="10" s="1"/>
  <c r="I225" i="9"/>
  <c r="K230" i="10" s="1"/>
  <c r="N225" i="9"/>
  <c r="J230" i="10" s="1"/>
  <c r="B224" i="9"/>
  <c r="C224" i="9" s="1"/>
  <c r="Q210" i="2"/>
  <c r="P215" i="3" s="1"/>
  <c r="J215" i="3"/>
  <c r="L210" i="2"/>
  <c r="N215" i="3" s="1"/>
  <c r="I210" i="2"/>
  <c r="K215" i="3" s="1"/>
  <c r="P210" i="2"/>
  <c r="M210" i="2"/>
  <c r="I215" i="3" s="1"/>
  <c r="J210" i="2"/>
  <c r="L215" i="3" s="1"/>
  <c r="B212" i="3"/>
  <c r="S207" i="2"/>
  <c r="T207" i="2" s="1"/>
  <c r="S208" i="2"/>
  <c r="T208" i="2" s="1"/>
  <c r="A210" i="2"/>
  <c r="N211" i="2" s="1"/>
  <c r="A214" i="3"/>
  <c r="B209" i="2"/>
  <c r="C209" i="2" s="1"/>
  <c r="H89" i="7"/>
  <c r="G90" i="7"/>
  <c r="S224" i="9" l="1"/>
  <c r="T224" i="9" s="1"/>
  <c r="B229" i="10"/>
  <c r="O215" i="3"/>
  <c r="I226" i="9"/>
  <c r="K231" i="10" s="1"/>
  <c r="P226" i="9"/>
  <c r="O231" i="10" s="1"/>
  <c r="A226" i="9"/>
  <c r="A231" i="10" s="1"/>
  <c r="Q226" i="9"/>
  <c r="P231" i="10" s="1"/>
  <c r="L226" i="9"/>
  <c r="N231" i="10" s="1"/>
  <c r="M226" i="9"/>
  <c r="I231" i="10" s="1"/>
  <c r="J226" i="9"/>
  <c r="L231" i="10" s="1"/>
  <c r="N226" i="9"/>
  <c r="J231" i="10" s="1"/>
  <c r="B225" i="9"/>
  <c r="C225" i="9" s="1"/>
  <c r="D224" i="9"/>
  <c r="C229" i="10" s="1"/>
  <c r="P211" i="2"/>
  <c r="M211" i="2"/>
  <c r="I216" i="3" s="1"/>
  <c r="J211" i="2"/>
  <c r="L216" i="3" s="1"/>
  <c r="Q211" i="2"/>
  <c r="P216" i="3" s="1"/>
  <c r="J216" i="3"/>
  <c r="L211" i="2"/>
  <c r="N216" i="3" s="1"/>
  <c r="I211" i="2"/>
  <c r="K216" i="3" s="1"/>
  <c r="B213" i="3"/>
  <c r="D208" i="2"/>
  <c r="B214" i="3"/>
  <c r="A211" i="2"/>
  <c r="N212" i="2" s="1"/>
  <c r="A215" i="3"/>
  <c r="B210" i="2"/>
  <c r="C210" i="2" s="1"/>
  <c r="F90" i="7"/>
  <c r="E90" i="7" s="1"/>
  <c r="S225" i="9" l="1"/>
  <c r="T225" i="9" s="1"/>
  <c r="B230" i="10"/>
  <c r="O216" i="3"/>
  <c r="C213" i="3"/>
  <c r="L227" i="9"/>
  <c r="N232" i="10" s="1"/>
  <c r="A227" i="9"/>
  <c r="A232" i="10" s="1"/>
  <c r="J227" i="9"/>
  <c r="L232" i="10" s="1"/>
  <c r="P227" i="9"/>
  <c r="O232" i="10" s="1"/>
  <c r="N227" i="9"/>
  <c r="J232" i="10" s="1"/>
  <c r="M227" i="9"/>
  <c r="I232" i="10" s="1"/>
  <c r="Q227" i="9"/>
  <c r="P232" i="10" s="1"/>
  <c r="I227" i="9"/>
  <c r="K232" i="10" s="1"/>
  <c r="B226" i="9"/>
  <c r="C226" i="9" s="1"/>
  <c r="D225" i="9"/>
  <c r="C230" i="10" s="1"/>
  <c r="Q212" i="2"/>
  <c r="P217" i="3" s="1"/>
  <c r="J217" i="3"/>
  <c r="L212" i="2"/>
  <c r="N217" i="3" s="1"/>
  <c r="I212" i="2"/>
  <c r="K217" i="3" s="1"/>
  <c r="P212" i="2"/>
  <c r="M212" i="2"/>
  <c r="I217" i="3" s="1"/>
  <c r="J212" i="2"/>
  <c r="L217" i="3" s="1"/>
  <c r="S209" i="2"/>
  <c r="T209" i="2" s="1"/>
  <c r="D209" i="2"/>
  <c r="D210" i="2"/>
  <c r="A212" i="2"/>
  <c r="N213" i="2" s="1"/>
  <c r="A216" i="3"/>
  <c r="B211" i="2"/>
  <c r="C211" i="2" s="1"/>
  <c r="H90" i="7"/>
  <c r="G91" i="7"/>
  <c r="S226" i="9" l="1"/>
  <c r="T226" i="9" s="1"/>
  <c r="B231" i="10"/>
  <c r="O217" i="3"/>
  <c r="C215" i="3"/>
  <c r="C214" i="3"/>
  <c r="N228" i="9"/>
  <c r="J233" i="10" s="1"/>
  <c r="M228" i="9"/>
  <c r="I233" i="10" s="1"/>
  <c r="J228" i="9"/>
  <c r="L233" i="10" s="1"/>
  <c r="I228" i="9"/>
  <c r="K233" i="10" s="1"/>
  <c r="A228" i="9"/>
  <c r="A233" i="10" s="1"/>
  <c r="Q228" i="9"/>
  <c r="P233" i="10" s="1"/>
  <c r="L228" i="9"/>
  <c r="N233" i="10" s="1"/>
  <c r="P228" i="9"/>
  <c r="O233" i="10" s="1"/>
  <c r="B227" i="9"/>
  <c r="C227" i="9" s="1"/>
  <c r="D226" i="9"/>
  <c r="C231" i="10" s="1"/>
  <c r="P213" i="2"/>
  <c r="M213" i="2"/>
  <c r="I218" i="3" s="1"/>
  <c r="J213" i="2"/>
  <c r="L218" i="3" s="1"/>
  <c r="Q213" i="2"/>
  <c r="P218" i="3" s="1"/>
  <c r="J218" i="3"/>
  <c r="L213" i="2"/>
  <c r="N218" i="3" s="1"/>
  <c r="I213" i="2"/>
  <c r="K218" i="3" s="1"/>
  <c r="B215" i="3"/>
  <c r="D211" i="2"/>
  <c r="S210" i="2"/>
  <c r="T210" i="2" s="1"/>
  <c r="A213" i="2"/>
  <c r="N214" i="2" s="1"/>
  <c r="A217" i="3"/>
  <c r="B212" i="2"/>
  <c r="C212" i="2" s="1"/>
  <c r="F91" i="7"/>
  <c r="E91" i="7" s="1"/>
  <c r="S227" i="9" l="1"/>
  <c r="T227" i="9" s="1"/>
  <c r="B232" i="10"/>
  <c r="O218" i="3"/>
  <c r="C216" i="3"/>
  <c r="D227" i="9"/>
  <c r="C232" i="10" s="1"/>
  <c r="P229" i="9"/>
  <c r="O234" i="10" s="1"/>
  <c r="M229" i="9"/>
  <c r="I234" i="10" s="1"/>
  <c r="A229" i="9"/>
  <c r="A234" i="10" s="1"/>
  <c r="L229" i="9"/>
  <c r="N234" i="10" s="1"/>
  <c r="J229" i="9"/>
  <c r="L234" i="10" s="1"/>
  <c r="I229" i="9"/>
  <c r="K234" i="10" s="1"/>
  <c r="Q229" i="9"/>
  <c r="P234" i="10" s="1"/>
  <c r="B228" i="9"/>
  <c r="C228" i="9" s="1"/>
  <c r="Q214" i="2"/>
  <c r="P219" i="3" s="1"/>
  <c r="J219" i="3"/>
  <c r="L214" i="2"/>
  <c r="N219" i="3" s="1"/>
  <c r="I214" i="2"/>
  <c r="K219" i="3" s="1"/>
  <c r="P214" i="2"/>
  <c r="M214" i="2"/>
  <c r="I219" i="3" s="1"/>
  <c r="J214" i="2"/>
  <c r="L219" i="3" s="1"/>
  <c r="B216" i="3"/>
  <c r="S211" i="2"/>
  <c r="T211" i="2" s="1"/>
  <c r="S212" i="2"/>
  <c r="T212" i="2" s="1"/>
  <c r="A214" i="2"/>
  <c r="N215" i="2" s="1"/>
  <c r="A218" i="3"/>
  <c r="B213" i="2"/>
  <c r="C213" i="2" s="1"/>
  <c r="H91" i="7"/>
  <c r="G92" i="7"/>
  <c r="S228" i="9" l="1"/>
  <c r="T228" i="9" s="1"/>
  <c r="B233" i="10"/>
  <c r="O219" i="3"/>
  <c r="D228" i="9"/>
  <c r="C233" i="10" s="1"/>
  <c r="Q230" i="9"/>
  <c r="P235" i="10" s="1"/>
  <c r="P230" i="9"/>
  <c r="O235" i="10" s="1"/>
  <c r="L230" i="9"/>
  <c r="N235" i="10" s="1"/>
  <c r="J230" i="9"/>
  <c r="L235" i="10" s="1"/>
  <c r="I230" i="9"/>
  <c r="K235" i="10" s="1"/>
  <c r="A230" i="9"/>
  <c r="A235" i="10" s="1"/>
  <c r="M230" i="9"/>
  <c r="I235" i="10" s="1"/>
  <c r="N230" i="9"/>
  <c r="J235" i="10" s="1"/>
  <c r="B229" i="9"/>
  <c r="C229" i="9" s="1"/>
  <c r="P215" i="2"/>
  <c r="M215" i="2"/>
  <c r="I220" i="3" s="1"/>
  <c r="J215" i="2"/>
  <c r="L220" i="3" s="1"/>
  <c r="Q215" i="2"/>
  <c r="P220" i="3" s="1"/>
  <c r="J220" i="3"/>
  <c r="L215" i="2"/>
  <c r="N220" i="3" s="1"/>
  <c r="I215" i="2"/>
  <c r="K220" i="3" s="1"/>
  <c r="B217" i="3"/>
  <c r="D212" i="2"/>
  <c r="B218" i="3"/>
  <c r="A215" i="2"/>
  <c r="N216" i="2" s="1"/>
  <c r="A219" i="3"/>
  <c r="B214" i="2"/>
  <c r="C214" i="2" s="1"/>
  <c r="F92" i="7"/>
  <c r="E92" i="7" s="1"/>
  <c r="S229" i="9" l="1"/>
  <c r="T229" i="9" s="1"/>
  <c r="B234" i="10"/>
  <c r="O220" i="3"/>
  <c r="C217" i="3"/>
  <c r="D229" i="9"/>
  <c r="C234" i="10" s="1"/>
  <c r="P231" i="9"/>
  <c r="O236" i="10" s="1"/>
  <c r="N231" i="9"/>
  <c r="J236" i="10" s="1"/>
  <c r="A231" i="9"/>
  <c r="A236" i="10" s="1"/>
  <c r="M231" i="9"/>
  <c r="I236" i="10" s="1"/>
  <c r="J231" i="9"/>
  <c r="L236" i="10" s="1"/>
  <c r="Q231" i="9"/>
  <c r="P236" i="10" s="1"/>
  <c r="L231" i="9"/>
  <c r="N236" i="10" s="1"/>
  <c r="I231" i="9"/>
  <c r="K236" i="10" s="1"/>
  <c r="B230" i="9"/>
  <c r="C230" i="9" s="1"/>
  <c r="Q216" i="2"/>
  <c r="P221" i="3" s="1"/>
  <c r="J221" i="3"/>
  <c r="L216" i="2"/>
  <c r="N221" i="3" s="1"/>
  <c r="I216" i="2"/>
  <c r="K221" i="3" s="1"/>
  <c r="P216" i="2"/>
  <c r="M216" i="2"/>
  <c r="I221" i="3" s="1"/>
  <c r="J216" i="2"/>
  <c r="L221" i="3" s="1"/>
  <c r="S213" i="2"/>
  <c r="T213" i="2" s="1"/>
  <c r="D213" i="2"/>
  <c r="S214" i="2"/>
  <c r="T214" i="2" s="1"/>
  <c r="A216" i="2"/>
  <c r="A220" i="3"/>
  <c r="B215" i="2"/>
  <c r="C215" i="2" s="1"/>
  <c r="H92" i="7"/>
  <c r="G93" i="7"/>
  <c r="S230" i="9" l="1"/>
  <c r="T230" i="9" s="1"/>
  <c r="B235" i="10"/>
  <c r="O221" i="3"/>
  <c r="C218" i="3"/>
  <c r="J232" i="9"/>
  <c r="L237" i="10" s="1"/>
  <c r="I232" i="9"/>
  <c r="K237" i="10" s="1"/>
  <c r="Q232" i="9"/>
  <c r="P237" i="10" s="1"/>
  <c r="P232" i="9"/>
  <c r="O237" i="10" s="1"/>
  <c r="N232" i="9"/>
  <c r="J237" i="10" s="1"/>
  <c r="M232" i="9"/>
  <c r="I237" i="10" s="1"/>
  <c r="L232" i="9"/>
  <c r="N237" i="10" s="1"/>
  <c r="A232" i="9"/>
  <c r="A237" i="10" s="1"/>
  <c r="B231" i="9"/>
  <c r="C231" i="9" s="1"/>
  <c r="D230" i="9"/>
  <c r="C235" i="10" s="1"/>
  <c r="K217" i="2"/>
  <c r="M222" i="3" s="1"/>
  <c r="N217" i="2"/>
  <c r="Q217" i="2"/>
  <c r="P222" i="3" s="1"/>
  <c r="L217" i="2"/>
  <c r="N222" i="3" s="1"/>
  <c r="J217" i="2"/>
  <c r="L222" i="3" s="1"/>
  <c r="P217" i="2"/>
  <c r="M217" i="2"/>
  <c r="I222" i="3" s="1"/>
  <c r="I217" i="2"/>
  <c r="K222" i="3" s="1"/>
  <c r="B219" i="3"/>
  <c r="D214" i="2"/>
  <c r="B220" i="3"/>
  <c r="A221" i="3"/>
  <c r="A217" i="2"/>
  <c r="N218" i="2" s="1"/>
  <c r="B216" i="2"/>
  <c r="C216" i="2" s="1"/>
  <c r="F93" i="7"/>
  <c r="E93" i="7" s="1"/>
  <c r="Y18" i="2" l="1"/>
  <c r="Z18" i="2" s="1"/>
  <c r="S231" i="9"/>
  <c r="T231" i="9" s="1"/>
  <c r="B236" i="10"/>
  <c r="O222" i="3"/>
  <c r="C219" i="3"/>
  <c r="D231" i="9"/>
  <c r="C236" i="10" s="1"/>
  <c r="M233" i="9"/>
  <c r="I238" i="10" s="1"/>
  <c r="L233" i="9"/>
  <c r="N238" i="10" s="1"/>
  <c r="A233" i="9"/>
  <c r="A238" i="10" s="1"/>
  <c r="Q233" i="9"/>
  <c r="P238" i="10" s="1"/>
  <c r="P233" i="9"/>
  <c r="O238" i="10" s="1"/>
  <c r="J233" i="9"/>
  <c r="L238" i="10" s="1"/>
  <c r="N233" i="9"/>
  <c r="J238" i="10" s="1"/>
  <c r="I233" i="9"/>
  <c r="K238" i="10" s="1"/>
  <c r="B232" i="9"/>
  <c r="C232" i="9" s="1"/>
  <c r="J222" i="3"/>
  <c r="AE18" i="2"/>
  <c r="P218" i="2"/>
  <c r="M218" i="2"/>
  <c r="I223" i="3" s="1"/>
  <c r="J218" i="2"/>
  <c r="L223" i="3" s="1"/>
  <c r="Q218" i="2"/>
  <c r="P223" i="3" s="1"/>
  <c r="J223" i="3"/>
  <c r="L218" i="2"/>
  <c r="N223" i="3" s="1"/>
  <c r="I218" i="2"/>
  <c r="K223" i="3" s="1"/>
  <c r="S215" i="2"/>
  <c r="T215" i="2" s="1"/>
  <c r="D215" i="2"/>
  <c r="S216" i="2"/>
  <c r="T216" i="2" s="1"/>
  <c r="A222" i="3"/>
  <c r="A218" i="2"/>
  <c r="N219" i="2" s="1"/>
  <c r="B217" i="2"/>
  <c r="C217" i="2" s="1"/>
  <c r="H93" i="7"/>
  <c r="G94" i="7"/>
  <c r="S232" i="9" l="1"/>
  <c r="T232" i="9" s="1"/>
  <c r="B237" i="10"/>
  <c r="O223" i="3"/>
  <c r="C220" i="3"/>
  <c r="P234" i="9"/>
  <c r="O239" i="10" s="1"/>
  <c r="N234" i="9"/>
  <c r="J239" i="10" s="1"/>
  <c r="J234" i="9"/>
  <c r="L239" i="10" s="1"/>
  <c r="I234" i="9"/>
  <c r="K239" i="10" s="1"/>
  <c r="A234" i="9"/>
  <c r="A239" i="10" s="1"/>
  <c r="Q234" i="9"/>
  <c r="P239" i="10" s="1"/>
  <c r="M234" i="9"/>
  <c r="I239" i="10" s="1"/>
  <c r="L234" i="9"/>
  <c r="N239" i="10" s="1"/>
  <c r="B233" i="9"/>
  <c r="C233" i="9" s="1"/>
  <c r="D232" i="9"/>
  <c r="C237" i="10" s="1"/>
  <c r="P219" i="2"/>
  <c r="M219" i="2"/>
  <c r="I224" i="3" s="1"/>
  <c r="J219" i="2"/>
  <c r="L224" i="3" s="1"/>
  <c r="Q219" i="2"/>
  <c r="P224" i="3" s="1"/>
  <c r="J224" i="3"/>
  <c r="L219" i="2"/>
  <c r="N224" i="3" s="1"/>
  <c r="I219" i="2"/>
  <c r="K224" i="3" s="1"/>
  <c r="B221" i="3"/>
  <c r="D216" i="2"/>
  <c r="D217" i="2"/>
  <c r="A219" i="2"/>
  <c r="N220" i="2" s="1"/>
  <c r="A223" i="3"/>
  <c r="B218" i="2"/>
  <c r="C218" i="2" s="1"/>
  <c r="F94" i="7"/>
  <c r="E94" i="7" s="1"/>
  <c r="S233" i="9" l="1"/>
  <c r="T233" i="9" s="1"/>
  <c r="B238" i="10"/>
  <c r="O224" i="3"/>
  <c r="C222" i="3"/>
  <c r="C221" i="3"/>
  <c r="Q235" i="9"/>
  <c r="P240" i="10" s="1"/>
  <c r="P235" i="9"/>
  <c r="O240" i="10" s="1"/>
  <c r="M235" i="9"/>
  <c r="I240" i="10" s="1"/>
  <c r="A235" i="9"/>
  <c r="A240" i="10" s="1"/>
  <c r="J235" i="9"/>
  <c r="L240" i="10" s="1"/>
  <c r="L235" i="9"/>
  <c r="N240" i="10" s="1"/>
  <c r="I235" i="9"/>
  <c r="K240" i="10" s="1"/>
  <c r="N235" i="9"/>
  <c r="J240" i="10" s="1"/>
  <c r="B234" i="9"/>
  <c r="C234" i="9" s="1"/>
  <c r="D233" i="9"/>
  <c r="C238" i="10" s="1"/>
  <c r="Q220" i="2"/>
  <c r="P225" i="3" s="1"/>
  <c r="J225" i="3"/>
  <c r="L220" i="2"/>
  <c r="N225" i="3" s="1"/>
  <c r="I220" i="2"/>
  <c r="K225" i="3" s="1"/>
  <c r="P220" i="2"/>
  <c r="M220" i="2"/>
  <c r="I225" i="3" s="1"/>
  <c r="J220" i="2"/>
  <c r="L225" i="3" s="1"/>
  <c r="B222" i="3"/>
  <c r="S217" i="2"/>
  <c r="T217" i="2" s="1"/>
  <c r="D218" i="2"/>
  <c r="A220" i="2"/>
  <c r="N221" i="2" s="1"/>
  <c r="A224" i="3"/>
  <c r="B219" i="2"/>
  <c r="C219" i="2" s="1"/>
  <c r="H94" i="7"/>
  <c r="G95" i="7"/>
  <c r="S234" i="9" l="1"/>
  <c r="T234" i="9" s="1"/>
  <c r="B239" i="10"/>
  <c r="O225" i="3"/>
  <c r="C223" i="3"/>
  <c r="M236" i="9"/>
  <c r="I241" i="10" s="1"/>
  <c r="L236" i="9"/>
  <c r="N241" i="10" s="1"/>
  <c r="J236" i="9"/>
  <c r="L241" i="10" s="1"/>
  <c r="A236" i="9"/>
  <c r="A241" i="10" s="1"/>
  <c r="P236" i="9"/>
  <c r="O241" i="10" s="1"/>
  <c r="I236" i="9"/>
  <c r="K241" i="10" s="1"/>
  <c r="N236" i="9"/>
  <c r="J241" i="10" s="1"/>
  <c r="Q236" i="9"/>
  <c r="P241" i="10" s="1"/>
  <c r="B235" i="9"/>
  <c r="C235" i="9" s="1"/>
  <c r="D234" i="9"/>
  <c r="C239" i="10" s="1"/>
  <c r="P221" i="2"/>
  <c r="M221" i="2"/>
  <c r="I226" i="3" s="1"/>
  <c r="J221" i="2"/>
  <c r="L226" i="3" s="1"/>
  <c r="Q221" i="2"/>
  <c r="P226" i="3" s="1"/>
  <c r="J226" i="3"/>
  <c r="L221" i="2"/>
  <c r="N226" i="3" s="1"/>
  <c r="I221" i="2"/>
  <c r="K226" i="3" s="1"/>
  <c r="B223" i="3"/>
  <c r="D219" i="2"/>
  <c r="S218" i="2"/>
  <c r="T218" i="2" s="1"/>
  <c r="A221" i="2"/>
  <c r="N222" i="2" s="1"/>
  <c r="A225" i="3"/>
  <c r="B220" i="2"/>
  <c r="C220" i="2" s="1"/>
  <c r="F95" i="7"/>
  <c r="E95" i="7" s="1"/>
  <c r="S235" i="9" l="1"/>
  <c r="T235" i="9" s="1"/>
  <c r="B240" i="10"/>
  <c r="O226" i="3"/>
  <c r="C224" i="3"/>
  <c r="D235" i="9"/>
  <c r="C240" i="10" s="1"/>
  <c r="J237" i="9"/>
  <c r="L242" i="10" s="1"/>
  <c r="I237" i="9"/>
  <c r="K242" i="10" s="1"/>
  <c r="P237" i="9"/>
  <c r="O242" i="10" s="1"/>
  <c r="L237" i="9"/>
  <c r="N242" i="10" s="1"/>
  <c r="A237" i="9"/>
  <c r="A242" i="10" s="1"/>
  <c r="Q237" i="9"/>
  <c r="P242" i="10" s="1"/>
  <c r="M237" i="9"/>
  <c r="I242" i="10" s="1"/>
  <c r="N237" i="9"/>
  <c r="J242" i="10" s="1"/>
  <c r="B236" i="9"/>
  <c r="C236" i="9" s="1"/>
  <c r="Q222" i="2"/>
  <c r="P227" i="3" s="1"/>
  <c r="J227" i="3"/>
  <c r="L222" i="2"/>
  <c r="N227" i="3" s="1"/>
  <c r="I222" i="2"/>
  <c r="K227" i="3" s="1"/>
  <c r="P222" i="2"/>
  <c r="M222" i="2"/>
  <c r="I227" i="3" s="1"/>
  <c r="J222" i="2"/>
  <c r="L227" i="3" s="1"/>
  <c r="B224" i="3"/>
  <c r="S219" i="2"/>
  <c r="T219" i="2" s="1"/>
  <c r="D220" i="2"/>
  <c r="A222" i="2"/>
  <c r="N223" i="2" s="1"/>
  <c r="A226" i="3"/>
  <c r="B221" i="2"/>
  <c r="C221" i="2" s="1"/>
  <c r="H95" i="7"/>
  <c r="G96" i="7"/>
  <c r="S236" i="9" l="1"/>
  <c r="T236" i="9" s="1"/>
  <c r="B241" i="10"/>
  <c r="O227" i="3"/>
  <c r="C225" i="3"/>
  <c r="M238" i="9"/>
  <c r="I243" i="10" s="1"/>
  <c r="L238" i="9"/>
  <c r="N243" i="10" s="1"/>
  <c r="A238" i="9"/>
  <c r="A243" i="10" s="1"/>
  <c r="P238" i="9"/>
  <c r="O243" i="10" s="1"/>
  <c r="N238" i="9"/>
  <c r="J243" i="10" s="1"/>
  <c r="J238" i="9"/>
  <c r="L243" i="10" s="1"/>
  <c r="Q238" i="9"/>
  <c r="P243" i="10" s="1"/>
  <c r="I238" i="9"/>
  <c r="K243" i="10" s="1"/>
  <c r="B237" i="9"/>
  <c r="C237" i="9" s="1"/>
  <c r="D236" i="9"/>
  <c r="C241" i="10" s="1"/>
  <c r="P223" i="2"/>
  <c r="M223" i="2"/>
  <c r="I228" i="3" s="1"/>
  <c r="J223" i="2"/>
  <c r="L228" i="3" s="1"/>
  <c r="Q223" i="2"/>
  <c r="P228" i="3" s="1"/>
  <c r="J228" i="3"/>
  <c r="L223" i="2"/>
  <c r="N228" i="3" s="1"/>
  <c r="I223" i="2"/>
  <c r="K228" i="3" s="1"/>
  <c r="B225" i="3"/>
  <c r="D221" i="2"/>
  <c r="S220" i="2"/>
  <c r="T220" i="2" s="1"/>
  <c r="A227" i="3"/>
  <c r="A223" i="2"/>
  <c r="N224" i="2" s="1"/>
  <c r="B222" i="2"/>
  <c r="C222" i="2" s="1"/>
  <c r="F96" i="7"/>
  <c r="E96" i="7" s="1"/>
  <c r="S237" i="9" l="1"/>
  <c r="T237" i="9" s="1"/>
  <c r="B242" i="10"/>
  <c r="O228" i="3"/>
  <c r="C226" i="3"/>
  <c r="D237" i="9"/>
  <c r="C242" i="10" s="1"/>
  <c r="P239" i="9"/>
  <c r="O244" i="10" s="1"/>
  <c r="N239" i="9"/>
  <c r="J244" i="10" s="1"/>
  <c r="Q239" i="9"/>
  <c r="P244" i="10" s="1"/>
  <c r="M239" i="9"/>
  <c r="I244" i="10" s="1"/>
  <c r="L239" i="9"/>
  <c r="N244" i="10" s="1"/>
  <c r="J239" i="9"/>
  <c r="L244" i="10" s="1"/>
  <c r="I239" i="9"/>
  <c r="K244" i="10" s="1"/>
  <c r="A239" i="9"/>
  <c r="A244" i="10" s="1"/>
  <c r="B238" i="9"/>
  <c r="C238" i="9" s="1"/>
  <c r="Q224" i="2"/>
  <c r="P229" i="3" s="1"/>
  <c r="J229" i="3"/>
  <c r="L224" i="2"/>
  <c r="N229" i="3" s="1"/>
  <c r="I224" i="2"/>
  <c r="K229" i="3" s="1"/>
  <c r="P224" i="2"/>
  <c r="M224" i="2"/>
  <c r="I229" i="3" s="1"/>
  <c r="J224" i="2"/>
  <c r="L229" i="3" s="1"/>
  <c r="S221" i="2"/>
  <c r="T221" i="2" s="1"/>
  <c r="B226" i="3"/>
  <c r="D222" i="2"/>
  <c r="A228" i="3"/>
  <c r="A224" i="2"/>
  <c r="N225" i="2" s="1"/>
  <c r="B223" i="2"/>
  <c r="C223" i="2" s="1"/>
  <c r="H96" i="7"/>
  <c r="G97" i="7"/>
  <c r="S238" i="9" l="1"/>
  <c r="T238" i="9" s="1"/>
  <c r="B243" i="10"/>
  <c r="O229" i="3"/>
  <c r="C227" i="3"/>
  <c r="D238" i="9"/>
  <c r="C243" i="10" s="1"/>
  <c r="Q240" i="9"/>
  <c r="P245" i="10" s="1"/>
  <c r="P240" i="9"/>
  <c r="O245" i="10" s="1"/>
  <c r="A240" i="9"/>
  <c r="A245" i="10" s="1"/>
  <c r="N240" i="9"/>
  <c r="J245" i="10" s="1"/>
  <c r="L240" i="9"/>
  <c r="N245" i="10" s="1"/>
  <c r="M240" i="9"/>
  <c r="I245" i="10" s="1"/>
  <c r="J240" i="9"/>
  <c r="L245" i="10" s="1"/>
  <c r="I240" i="9"/>
  <c r="K245" i="10" s="1"/>
  <c r="B239" i="9"/>
  <c r="C239" i="9" s="1"/>
  <c r="P225" i="2"/>
  <c r="M225" i="2"/>
  <c r="I230" i="3" s="1"/>
  <c r="J225" i="2"/>
  <c r="L230" i="3" s="1"/>
  <c r="Q225" i="2"/>
  <c r="P230" i="3" s="1"/>
  <c r="J230" i="3"/>
  <c r="L225" i="2"/>
  <c r="N230" i="3" s="1"/>
  <c r="I225" i="2"/>
  <c r="K230" i="3" s="1"/>
  <c r="B227" i="3"/>
  <c r="S222" i="2"/>
  <c r="T222" i="2" s="1"/>
  <c r="D223" i="2"/>
  <c r="A225" i="2"/>
  <c r="N226" i="2" s="1"/>
  <c r="A229" i="3"/>
  <c r="B224" i="2"/>
  <c r="C224" i="2" s="1"/>
  <c r="F97" i="7"/>
  <c r="E97" i="7" s="1"/>
  <c r="S239" i="9" l="1"/>
  <c r="T239" i="9" s="1"/>
  <c r="B244" i="10"/>
  <c r="O230" i="3"/>
  <c r="C228" i="3"/>
  <c r="D239" i="9"/>
  <c r="C244" i="10" s="1"/>
  <c r="Q241" i="9"/>
  <c r="P246" i="10" s="1"/>
  <c r="P241" i="9"/>
  <c r="O246" i="10" s="1"/>
  <c r="M241" i="9"/>
  <c r="I246" i="10" s="1"/>
  <c r="L241" i="9"/>
  <c r="N246" i="10" s="1"/>
  <c r="I241" i="9"/>
  <c r="K246" i="10" s="1"/>
  <c r="A241" i="9"/>
  <c r="A246" i="10" s="1"/>
  <c r="J241" i="9"/>
  <c r="L246" i="10" s="1"/>
  <c r="B240" i="9"/>
  <c r="C240" i="9" s="1"/>
  <c r="Q226" i="2"/>
  <c r="P231" i="3" s="1"/>
  <c r="J231" i="3"/>
  <c r="L226" i="2"/>
  <c r="N231" i="3" s="1"/>
  <c r="I226" i="2"/>
  <c r="K231" i="3" s="1"/>
  <c r="P226" i="2"/>
  <c r="M226" i="2"/>
  <c r="I231" i="3" s="1"/>
  <c r="J226" i="2"/>
  <c r="L231" i="3" s="1"/>
  <c r="S223" i="2"/>
  <c r="T223" i="2" s="1"/>
  <c r="B228" i="3"/>
  <c r="D224" i="2"/>
  <c r="A226" i="2"/>
  <c r="N227" i="2" s="1"/>
  <c r="A230" i="3"/>
  <c r="B225" i="2"/>
  <c r="C225" i="2" s="1"/>
  <c r="H97" i="7"/>
  <c r="G98" i="7"/>
  <c r="S240" i="9" l="1"/>
  <c r="T240" i="9" s="1"/>
  <c r="B245" i="10"/>
  <c r="O231" i="3"/>
  <c r="D240" i="9"/>
  <c r="C245" i="10" s="1"/>
  <c r="C229" i="3"/>
  <c r="I242" i="9"/>
  <c r="K247" i="10" s="1"/>
  <c r="M242" i="9"/>
  <c r="I247" i="10" s="1"/>
  <c r="L242" i="9"/>
  <c r="N247" i="10" s="1"/>
  <c r="J242" i="9"/>
  <c r="L247" i="10" s="1"/>
  <c r="N242" i="9"/>
  <c r="J247" i="10" s="1"/>
  <c r="A242" i="9"/>
  <c r="A247" i="10" s="1"/>
  <c r="P242" i="9"/>
  <c r="O247" i="10" s="1"/>
  <c r="Q242" i="9"/>
  <c r="P247" i="10" s="1"/>
  <c r="B241" i="9"/>
  <c r="C241" i="9" s="1"/>
  <c r="P227" i="2"/>
  <c r="M227" i="2"/>
  <c r="I232" i="3" s="1"/>
  <c r="J227" i="2"/>
  <c r="L232" i="3" s="1"/>
  <c r="Q227" i="2"/>
  <c r="P232" i="3" s="1"/>
  <c r="J232" i="3"/>
  <c r="L227" i="2"/>
  <c r="N232" i="3" s="1"/>
  <c r="I227" i="2"/>
  <c r="K232" i="3" s="1"/>
  <c r="B229" i="3"/>
  <c r="D225" i="2"/>
  <c r="S224" i="2"/>
  <c r="T224" i="2" s="1"/>
  <c r="A227" i="2"/>
  <c r="N228" i="2" s="1"/>
  <c r="A231" i="3"/>
  <c r="B226" i="2"/>
  <c r="C226" i="2" s="1"/>
  <c r="F98" i="7"/>
  <c r="E98" i="7" s="1"/>
  <c r="S241" i="9" l="1"/>
  <c r="T241" i="9" s="1"/>
  <c r="B246" i="10"/>
  <c r="O232" i="3"/>
  <c r="C230" i="3"/>
  <c r="L243" i="9"/>
  <c r="N248" i="10" s="1"/>
  <c r="A243" i="9"/>
  <c r="A248" i="10" s="1"/>
  <c r="J243" i="9"/>
  <c r="L248" i="10" s="1"/>
  <c r="I243" i="9"/>
  <c r="K248" i="10" s="1"/>
  <c r="M243" i="9"/>
  <c r="I248" i="10" s="1"/>
  <c r="Q243" i="9"/>
  <c r="P248" i="10" s="1"/>
  <c r="P243" i="9"/>
  <c r="O248" i="10" s="1"/>
  <c r="N243" i="9"/>
  <c r="J248" i="10" s="1"/>
  <c r="B242" i="9"/>
  <c r="C242" i="9" s="1"/>
  <c r="D241" i="9"/>
  <c r="C246" i="10" s="1"/>
  <c r="Q228" i="2"/>
  <c r="P233" i="3" s="1"/>
  <c r="J233" i="3"/>
  <c r="L228" i="2"/>
  <c r="N233" i="3" s="1"/>
  <c r="I228" i="2"/>
  <c r="K233" i="3" s="1"/>
  <c r="P228" i="2"/>
  <c r="M228" i="2"/>
  <c r="I233" i="3" s="1"/>
  <c r="J228" i="2"/>
  <c r="L233" i="3" s="1"/>
  <c r="B230" i="3"/>
  <c r="S225" i="2"/>
  <c r="T225" i="2" s="1"/>
  <c r="D226" i="2"/>
  <c r="A228" i="2"/>
  <c r="A232" i="3"/>
  <c r="B227" i="2"/>
  <c r="C227" i="2" s="1"/>
  <c r="H98" i="7"/>
  <c r="G99" i="7"/>
  <c r="S242" i="9" l="1"/>
  <c r="T242" i="9" s="1"/>
  <c r="B247" i="10"/>
  <c r="O233" i="3"/>
  <c r="C231" i="3"/>
  <c r="N244" i="9"/>
  <c r="J249" i="10" s="1"/>
  <c r="M244" i="9"/>
  <c r="I249" i="10" s="1"/>
  <c r="L244" i="9"/>
  <c r="N249" i="10" s="1"/>
  <c r="A244" i="9"/>
  <c r="A249" i="10" s="1"/>
  <c r="J244" i="9"/>
  <c r="L249" i="10" s="1"/>
  <c r="P244" i="9"/>
  <c r="O249" i="10" s="1"/>
  <c r="I244" i="9"/>
  <c r="K249" i="10" s="1"/>
  <c r="Q244" i="9"/>
  <c r="P249" i="10" s="1"/>
  <c r="B243" i="9"/>
  <c r="C243" i="9" s="1"/>
  <c r="D242" i="9"/>
  <c r="C247" i="10" s="1"/>
  <c r="K229" i="2"/>
  <c r="M234" i="3" s="1"/>
  <c r="N229" i="2"/>
  <c r="AE19" i="2" s="1"/>
  <c r="Q229" i="2"/>
  <c r="P234" i="3" s="1"/>
  <c r="L229" i="2"/>
  <c r="N234" i="3" s="1"/>
  <c r="J229" i="2"/>
  <c r="L234" i="3" s="1"/>
  <c r="P229" i="2"/>
  <c r="M229" i="2"/>
  <c r="I234" i="3" s="1"/>
  <c r="I229" i="2"/>
  <c r="K234" i="3" s="1"/>
  <c r="B231" i="3"/>
  <c r="D227" i="2"/>
  <c r="S226" i="2"/>
  <c r="T226" i="2" s="1"/>
  <c r="A229" i="2"/>
  <c r="N230" i="2" s="1"/>
  <c r="A233" i="3"/>
  <c r="B228" i="2"/>
  <c r="C228" i="2" s="1"/>
  <c r="F99" i="7"/>
  <c r="E99" i="7" s="1"/>
  <c r="Y19" i="2" l="1"/>
  <c r="Z19" i="2" s="1"/>
  <c r="J234" i="3"/>
  <c r="S243" i="9"/>
  <c r="T243" i="9" s="1"/>
  <c r="B248" i="10"/>
  <c r="O234" i="3"/>
  <c r="C232" i="3"/>
  <c r="D243" i="9"/>
  <c r="C248" i="10" s="1"/>
  <c r="Q245" i="9"/>
  <c r="P250" i="10" s="1"/>
  <c r="P245" i="9"/>
  <c r="O250" i="10" s="1"/>
  <c r="N245" i="9"/>
  <c r="J250" i="10" s="1"/>
  <c r="M245" i="9"/>
  <c r="I250" i="10" s="1"/>
  <c r="L245" i="9"/>
  <c r="N250" i="10" s="1"/>
  <c r="J245" i="9"/>
  <c r="L250" i="10" s="1"/>
  <c r="I245" i="9"/>
  <c r="K250" i="10" s="1"/>
  <c r="A245" i="9"/>
  <c r="A250" i="10" s="1"/>
  <c r="B244" i="9"/>
  <c r="C244" i="9" s="1"/>
  <c r="P230" i="2"/>
  <c r="M230" i="2"/>
  <c r="I235" i="3" s="1"/>
  <c r="J230" i="2"/>
  <c r="L235" i="3" s="1"/>
  <c r="Q230" i="2"/>
  <c r="P235" i="3" s="1"/>
  <c r="J235" i="3"/>
  <c r="L230" i="2"/>
  <c r="N235" i="3" s="1"/>
  <c r="I230" i="2"/>
  <c r="K235" i="3" s="1"/>
  <c r="S227" i="2"/>
  <c r="T227" i="2" s="1"/>
  <c r="B232" i="3"/>
  <c r="S228" i="2"/>
  <c r="T228" i="2" s="1"/>
  <c r="A230" i="2"/>
  <c r="N231" i="2" s="1"/>
  <c r="A234" i="3"/>
  <c r="B229" i="2"/>
  <c r="C229" i="2" s="1"/>
  <c r="H99" i="7"/>
  <c r="G100" i="7"/>
  <c r="S244" i="9" l="1"/>
  <c r="T244" i="9" s="1"/>
  <c r="B249" i="10"/>
  <c r="O235" i="3"/>
  <c r="D244" i="9"/>
  <c r="C249" i="10" s="1"/>
  <c r="Q246" i="9"/>
  <c r="P251" i="10" s="1"/>
  <c r="P246" i="9"/>
  <c r="O251" i="10" s="1"/>
  <c r="N246" i="9"/>
  <c r="J251" i="10" s="1"/>
  <c r="M246" i="9"/>
  <c r="I251" i="10" s="1"/>
  <c r="L246" i="9"/>
  <c r="N251" i="10" s="1"/>
  <c r="A246" i="9"/>
  <c r="A251" i="10" s="1"/>
  <c r="J246" i="9"/>
  <c r="L251" i="10" s="1"/>
  <c r="I246" i="9"/>
  <c r="K251" i="10" s="1"/>
  <c r="B245" i="9"/>
  <c r="C245" i="9" s="1"/>
  <c r="Q231" i="2"/>
  <c r="P236" i="3" s="1"/>
  <c r="J236" i="3"/>
  <c r="L231" i="2"/>
  <c r="N236" i="3" s="1"/>
  <c r="I231" i="2"/>
  <c r="K236" i="3" s="1"/>
  <c r="P231" i="2"/>
  <c r="M231" i="2"/>
  <c r="I236" i="3" s="1"/>
  <c r="J231" i="2"/>
  <c r="L236" i="3" s="1"/>
  <c r="B233" i="3"/>
  <c r="D228" i="2"/>
  <c r="D229" i="2"/>
  <c r="A231" i="2"/>
  <c r="N232" i="2" s="1"/>
  <c r="A235" i="3"/>
  <c r="B230" i="2"/>
  <c r="C230" i="2" s="1"/>
  <c r="F100" i="7"/>
  <c r="E100" i="7" s="1"/>
  <c r="S245" i="9" l="1"/>
  <c r="T245" i="9" s="1"/>
  <c r="B250" i="10"/>
  <c r="O236" i="3"/>
  <c r="C234" i="3"/>
  <c r="C233" i="3"/>
  <c r="D245" i="9"/>
  <c r="C250" i="10" s="1"/>
  <c r="I247" i="9"/>
  <c r="K252" i="10" s="1"/>
  <c r="P247" i="9"/>
  <c r="O252" i="10" s="1"/>
  <c r="A247" i="9"/>
  <c r="A252" i="10" s="1"/>
  <c r="M247" i="9"/>
  <c r="I252" i="10" s="1"/>
  <c r="J247" i="9"/>
  <c r="L252" i="10" s="1"/>
  <c r="Q247" i="9"/>
  <c r="P252" i="10" s="1"/>
  <c r="N247" i="9"/>
  <c r="J252" i="10" s="1"/>
  <c r="L247" i="9"/>
  <c r="N252" i="10" s="1"/>
  <c r="B246" i="9"/>
  <c r="C246" i="9" s="1"/>
  <c r="P232" i="2"/>
  <c r="M232" i="2"/>
  <c r="I237" i="3" s="1"/>
  <c r="J232" i="2"/>
  <c r="L237" i="3" s="1"/>
  <c r="Q232" i="2"/>
  <c r="P237" i="3" s="1"/>
  <c r="J237" i="3"/>
  <c r="L232" i="2"/>
  <c r="N237" i="3" s="1"/>
  <c r="I232" i="2"/>
  <c r="K237" i="3" s="1"/>
  <c r="B234" i="3"/>
  <c r="S229" i="2"/>
  <c r="T229" i="2" s="1"/>
  <c r="D230" i="2"/>
  <c r="A232" i="2"/>
  <c r="N233" i="2" s="1"/>
  <c r="A236" i="3"/>
  <c r="B231" i="2"/>
  <c r="C231" i="2" s="1"/>
  <c r="H100" i="7"/>
  <c r="G101" i="7"/>
  <c r="S246" i="9" l="1"/>
  <c r="T246" i="9" s="1"/>
  <c r="B251" i="10"/>
  <c r="O237" i="3"/>
  <c r="D246" i="9"/>
  <c r="C251" i="10" s="1"/>
  <c r="C235" i="3"/>
  <c r="L248" i="9"/>
  <c r="N253" i="10" s="1"/>
  <c r="A248" i="9"/>
  <c r="A253" i="10" s="1"/>
  <c r="J248" i="9"/>
  <c r="L253" i="10" s="1"/>
  <c r="I248" i="9"/>
  <c r="K253" i="10" s="1"/>
  <c r="P248" i="9"/>
  <c r="O253" i="10" s="1"/>
  <c r="N248" i="9"/>
  <c r="J253" i="10" s="1"/>
  <c r="M248" i="9"/>
  <c r="I253" i="10" s="1"/>
  <c r="Q248" i="9"/>
  <c r="P253" i="10" s="1"/>
  <c r="B247" i="9"/>
  <c r="C247" i="9" s="1"/>
  <c r="Q233" i="2"/>
  <c r="P238" i="3" s="1"/>
  <c r="J238" i="3"/>
  <c r="L233" i="2"/>
  <c r="N238" i="3" s="1"/>
  <c r="I233" i="2"/>
  <c r="K238" i="3" s="1"/>
  <c r="P233" i="2"/>
  <c r="M233" i="2"/>
  <c r="I238" i="3" s="1"/>
  <c r="J233" i="2"/>
  <c r="L238" i="3" s="1"/>
  <c r="B235" i="3"/>
  <c r="B236" i="3"/>
  <c r="S230" i="2"/>
  <c r="T230" i="2" s="1"/>
  <c r="A233" i="2"/>
  <c r="N234" i="2" s="1"/>
  <c r="A237" i="3"/>
  <c r="B232" i="2"/>
  <c r="C232" i="2" s="1"/>
  <c r="F101" i="7"/>
  <c r="E101" i="7" s="1"/>
  <c r="S247" i="9" l="1"/>
  <c r="T247" i="9" s="1"/>
  <c r="B252" i="10"/>
  <c r="O238" i="3"/>
  <c r="D247" i="9"/>
  <c r="C252" i="10" s="1"/>
  <c r="N249" i="9"/>
  <c r="J254" i="10" s="1"/>
  <c r="M249" i="9"/>
  <c r="I254" i="10" s="1"/>
  <c r="L249" i="9"/>
  <c r="N254" i="10" s="1"/>
  <c r="A249" i="9"/>
  <c r="A254" i="10" s="1"/>
  <c r="J249" i="9"/>
  <c r="L254" i="10" s="1"/>
  <c r="P249" i="9"/>
  <c r="O254" i="10" s="1"/>
  <c r="Q249" i="9"/>
  <c r="P254" i="10" s="1"/>
  <c r="I249" i="9"/>
  <c r="K254" i="10" s="1"/>
  <c r="B248" i="9"/>
  <c r="C248" i="9" s="1"/>
  <c r="P234" i="2"/>
  <c r="M234" i="2"/>
  <c r="I239" i="3" s="1"/>
  <c r="J234" i="2"/>
  <c r="L239" i="3" s="1"/>
  <c r="Q234" i="2"/>
  <c r="P239" i="3" s="1"/>
  <c r="J239" i="3"/>
  <c r="L234" i="2"/>
  <c r="N239" i="3" s="1"/>
  <c r="I234" i="2"/>
  <c r="K239" i="3" s="1"/>
  <c r="S231" i="2"/>
  <c r="T231" i="2" s="1"/>
  <c r="D231" i="2"/>
  <c r="D232" i="2"/>
  <c r="A234" i="2"/>
  <c r="N235" i="2" s="1"/>
  <c r="A238" i="3"/>
  <c r="B233" i="2"/>
  <c r="C233" i="2" s="1"/>
  <c r="H101" i="7"/>
  <c r="G102" i="7"/>
  <c r="S248" i="9" l="1"/>
  <c r="T248" i="9" s="1"/>
  <c r="B253" i="10"/>
  <c r="O239" i="3"/>
  <c r="C237" i="3"/>
  <c r="C236" i="3"/>
  <c r="D248" i="9"/>
  <c r="C253" i="10" s="1"/>
  <c r="Q250" i="9"/>
  <c r="P255" i="10" s="1"/>
  <c r="P250" i="9"/>
  <c r="O255" i="10" s="1"/>
  <c r="N250" i="9"/>
  <c r="J255" i="10" s="1"/>
  <c r="M250" i="9"/>
  <c r="I255" i="10" s="1"/>
  <c r="J250" i="9"/>
  <c r="L255" i="10" s="1"/>
  <c r="A250" i="9"/>
  <c r="A255" i="10" s="1"/>
  <c r="L250" i="9"/>
  <c r="N255" i="10" s="1"/>
  <c r="I250" i="9"/>
  <c r="K255" i="10" s="1"/>
  <c r="B249" i="9"/>
  <c r="C249" i="9" s="1"/>
  <c r="Q235" i="2"/>
  <c r="P240" i="3" s="1"/>
  <c r="J240" i="3"/>
  <c r="L235" i="2"/>
  <c r="N240" i="3" s="1"/>
  <c r="I235" i="2"/>
  <c r="K240" i="3" s="1"/>
  <c r="P235" i="2"/>
  <c r="M235" i="2"/>
  <c r="I240" i="3" s="1"/>
  <c r="J235" i="2"/>
  <c r="L240" i="3" s="1"/>
  <c r="B237" i="3"/>
  <c r="S232" i="2"/>
  <c r="T232" i="2" s="1"/>
  <c r="D233" i="2"/>
  <c r="A235" i="2"/>
  <c r="N236" i="2" s="1"/>
  <c r="A239" i="3"/>
  <c r="B234" i="2"/>
  <c r="C234" i="2" s="1"/>
  <c r="F102" i="7"/>
  <c r="E102" i="7" s="1"/>
  <c r="S249" i="9" l="1"/>
  <c r="T249" i="9" s="1"/>
  <c r="B254" i="10"/>
  <c r="O240" i="3"/>
  <c r="C238" i="3"/>
  <c r="D249" i="9"/>
  <c r="C254" i="10" s="1"/>
  <c r="Q251" i="9"/>
  <c r="P256" i="10" s="1"/>
  <c r="P251" i="9"/>
  <c r="O256" i="10" s="1"/>
  <c r="N251" i="9"/>
  <c r="J256" i="10" s="1"/>
  <c r="M251" i="9"/>
  <c r="I256" i="10" s="1"/>
  <c r="J251" i="9"/>
  <c r="L256" i="10" s="1"/>
  <c r="L251" i="9"/>
  <c r="N256" i="10" s="1"/>
  <c r="I251" i="9"/>
  <c r="K256" i="10" s="1"/>
  <c r="A251" i="9"/>
  <c r="A256" i="10" s="1"/>
  <c r="B250" i="9"/>
  <c r="C250" i="9" s="1"/>
  <c r="P236" i="2"/>
  <c r="M236" i="2"/>
  <c r="I241" i="3" s="1"/>
  <c r="J236" i="2"/>
  <c r="L241" i="3" s="1"/>
  <c r="Q236" i="2"/>
  <c r="P241" i="3" s="1"/>
  <c r="J241" i="3"/>
  <c r="L236" i="2"/>
  <c r="N241" i="3" s="1"/>
  <c r="I236" i="2"/>
  <c r="K241" i="3" s="1"/>
  <c r="S233" i="2"/>
  <c r="T233" i="2" s="1"/>
  <c r="B238" i="3"/>
  <c r="D234" i="2"/>
  <c r="A236" i="2"/>
  <c r="N237" i="2" s="1"/>
  <c r="A240" i="3"/>
  <c r="B235" i="2"/>
  <c r="C235" i="2" s="1"/>
  <c r="H102" i="7"/>
  <c r="G103" i="7"/>
  <c r="S250" i="9" l="1"/>
  <c r="T250" i="9" s="1"/>
  <c r="B255" i="10"/>
  <c r="O241" i="3"/>
  <c r="C239" i="3"/>
  <c r="D250" i="9"/>
  <c r="C255" i="10" s="1"/>
  <c r="I252" i="9"/>
  <c r="K257" i="10" s="1"/>
  <c r="P252" i="9"/>
  <c r="O257" i="10" s="1"/>
  <c r="N252" i="9"/>
  <c r="J257" i="10" s="1"/>
  <c r="M252" i="9"/>
  <c r="I257" i="10" s="1"/>
  <c r="J252" i="9"/>
  <c r="L257" i="10" s="1"/>
  <c r="A252" i="9"/>
  <c r="A257" i="10" s="1"/>
  <c r="Q252" i="9"/>
  <c r="P257" i="10" s="1"/>
  <c r="L252" i="9"/>
  <c r="N257" i="10" s="1"/>
  <c r="B251" i="9"/>
  <c r="C251" i="9" s="1"/>
  <c r="Q237" i="2"/>
  <c r="P242" i="3" s="1"/>
  <c r="J242" i="3"/>
  <c r="L237" i="2"/>
  <c r="N242" i="3" s="1"/>
  <c r="I237" i="2"/>
  <c r="K242" i="3" s="1"/>
  <c r="P237" i="2"/>
  <c r="M237" i="2"/>
  <c r="I242" i="3" s="1"/>
  <c r="J237" i="2"/>
  <c r="L242" i="3" s="1"/>
  <c r="B239" i="3"/>
  <c r="B240" i="3"/>
  <c r="S234" i="2"/>
  <c r="T234" i="2" s="1"/>
  <c r="A237" i="2"/>
  <c r="N238" i="2" s="1"/>
  <c r="A241" i="3"/>
  <c r="B236" i="2"/>
  <c r="C236" i="2" s="1"/>
  <c r="F103" i="7"/>
  <c r="E103" i="7" s="1"/>
  <c r="S251" i="9" l="1"/>
  <c r="T251" i="9" s="1"/>
  <c r="B256" i="10"/>
  <c r="O242" i="3"/>
  <c r="D251" i="9"/>
  <c r="C256" i="10" s="1"/>
  <c r="A253" i="9"/>
  <c r="A258" i="10" s="1"/>
  <c r="J253" i="9"/>
  <c r="L258" i="10" s="1"/>
  <c r="I253" i="9"/>
  <c r="K258" i="10" s="1"/>
  <c r="M253" i="9"/>
  <c r="I258" i="10" s="1"/>
  <c r="L253" i="9"/>
  <c r="N258" i="10" s="1"/>
  <c r="Q253" i="9"/>
  <c r="P258" i="10" s="1"/>
  <c r="P253" i="9"/>
  <c r="O258" i="10" s="1"/>
  <c r="B252" i="9"/>
  <c r="C252" i="9" s="1"/>
  <c r="P238" i="2"/>
  <c r="M238" i="2"/>
  <c r="I243" i="3" s="1"/>
  <c r="J238" i="2"/>
  <c r="L243" i="3" s="1"/>
  <c r="Q238" i="2"/>
  <c r="P243" i="3" s="1"/>
  <c r="J243" i="3"/>
  <c r="L238" i="2"/>
  <c r="N243" i="3" s="1"/>
  <c r="I238" i="2"/>
  <c r="K243" i="3" s="1"/>
  <c r="S235" i="2"/>
  <c r="T235" i="2" s="1"/>
  <c r="D235" i="2"/>
  <c r="D236" i="2"/>
  <c r="A238" i="2"/>
  <c r="N239" i="2" s="1"/>
  <c r="A242" i="3"/>
  <c r="B237" i="2"/>
  <c r="C237" i="2" s="1"/>
  <c r="H103" i="7"/>
  <c r="G104" i="7"/>
  <c r="S252" i="9" l="1"/>
  <c r="T252" i="9" s="1"/>
  <c r="B257" i="10"/>
  <c r="O243" i="3"/>
  <c r="C240" i="3"/>
  <c r="C241" i="3"/>
  <c r="L254" i="9"/>
  <c r="N259" i="10" s="1"/>
  <c r="K254" i="9"/>
  <c r="M259" i="10" s="1"/>
  <c r="A254" i="9"/>
  <c r="A259" i="10" s="1"/>
  <c r="J254" i="9"/>
  <c r="L259" i="10" s="1"/>
  <c r="I254" i="9"/>
  <c r="K259" i="10" s="1"/>
  <c r="N254" i="9"/>
  <c r="J259" i="10" s="1"/>
  <c r="M254" i="9"/>
  <c r="I259" i="10" s="1"/>
  <c r="Q254" i="9"/>
  <c r="P259" i="10" s="1"/>
  <c r="P254" i="9"/>
  <c r="O259" i="10" s="1"/>
  <c r="B253" i="9"/>
  <c r="C253" i="9" s="1"/>
  <c r="D252" i="9"/>
  <c r="C257" i="10" s="1"/>
  <c r="Q239" i="2"/>
  <c r="P244" i="3" s="1"/>
  <c r="J244" i="3"/>
  <c r="L239" i="2"/>
  <c r="N244" i="3" s="1"/>
  <c r="I239" i="2"/>
  <c r="K244" i="3" s="1"/>
  <c r="P239" i="2"/>
  <c r="M239" i="2"/>
  <c r="I244" i="3" s="1"/>
  <c r="J239" i="2"/>
  <c r="L244" i="3" s="1"/>
  <c r="B241" i="3"/>
  <c r="S236" i="2"/>
  <c r="T236" i="2" s="1"/>
  <c r="D237" i="2"/>
  <c r="A239" i="2"/>
  <c r="N240" i="2" s="1"/>
  <c r="A243" i="3"/>
  <c r="B238" i="2"/>
  <c r="C238" i="2" s="1"/>
  <c r="F104" i="7"/>
  <c r="E104" i="7" s="1"/>
  <c r="S253" i="9" l="1"/>
  <c r="T253" i="9" s="1"/>
  <c r="B258" i="10"/>
  <c r="O244" i="3"/>
  <c r="C242" i="3"/>
  <c r="M255" i="9"/>
  <c r="I260" i="10" s="1"/>
  <c r="L255" i="9"/>
  <c r="N260" i="10" s="1"/>
  <c r="K255" i="9"/>
  <c r="M260" i="10" s="1"/>
  <c r="A255" i="9"/>
  <c r="A260" i="10" s="1"/>
  <c r="J255" i="9"/>
  <c r="L260" i="10" s="1"/>
  <c r="P255" i="9"/>
  <c r="O260" i="10" s="1"/>
  <c r="N255" i="9"/>
  <c r="J260" i="10" s="1"/>
  <c r="I255" i="9"/>
  <c r="K260" i="10" s="1"/>
  <c r="Q255" i="9"/>
  <c r="P260" i="10" s="1"/>
  <c r="B254" i="9"/>
  <c r="C254" i="9" s="1"/>
  <c r="D253" i="9"/>
  <c r="C258" i="10" s="1"/>
  <c r="P240" i="2"/>
  <c r="M240" i="2"/>
  <c r="I245" i="3" s="1"/>
  <c r="J240" i="2"/>
  <c r="L245" i="3" s="1"/>
  <c r="Q240" i="2"/>
  <c r="P245" i="3" s="1"/>
  <c r="J245" i="3"/>
  <c r="L240" i="2"/>
  <c r="N245" i="3" s="1"/>
  <c r="I240" i="2"/>
  <c r="K245" i="3" s="1"/>
  <c r="B242" i="3"/>
  <c r="S237" i="2"/>
  <c r="T237" i="2" s="1"/>
  <c r="D238" i="2"/>
  <c r="A240" i="2"/>
  <c r="A244" i="3"/>
  <c r="B239" i="2"/>
  <c r="C239" i="2" s="1"/>
  <c r="H104" i="7"/>
  <c r="G105" i="7"/>
  <c r="S254" i="9" l="1"/>
  <c r="T254" i="9" s="1"/>
  <c r="B259" i="10"/>
  <c r="O245" i="3"/>
  <c r="C243" i="3"/>
  <c r="N256" i="9"/>
  <c r="J261" i="10" s="1"/>
  <c r="M256" i="9"/>
  <c r="I261" i="10" s="1"/>
  <c r="L256" i="9"/>
  <c r="N261" i="10" s="1"/>
  <c r="K256" i="9"/>
  <c r="M261" i="10" s="1"/>
  <c r="A256" i="9"/>
  <c r="A261" i="10" s="1"/>
  <c r="I256" i="9"/>
  <c r="K261" i="10" s="1"/>
  <c r="Q256" i="9"/>
  <c r="P261" i="10" s="1"/>
  <c r="P256" i="9"/>
  <c r="O261" i="10" s="1"/>
  <c r="J256" i="9"/>
  <c r="L261" i="10" s="1"/>
  <c r="B255" i="9"/>
  <c r="C255" i="9" s="1"/>
  <c r="D254" i="9"/>
  <c r="C259" i="10" s="1"/>
  <c r="K241" i="2"/>
  <c r="M246" i="3" s="1"/>
  <c r="N241" i="2"/>
  <c r="AE20" i="2" s="1"/>
  <c r="P241" i="2"/>
  <c r="M241" i="2"/>
  <c r="I246" i="3" s="1"/>
  <c r="I241" i="2"/>
  <c r="K246" i="3" s="1"/>
  <c r="Q241" i="2"/>
  <c r="P246" i="3" s="1"/>
  <c r="L241" i="2"/>
  <c r="N246" i="3" s="1"/>
  <c r="J241" i="2"/>
  <c r="L246" i="3" s="1"/>
  <c r="B243" i="3"/>
  <c r="S238" i="2"/>
  <c r="T238" i="2" s="1"/>
  <c r="D239" i="2"/>
  <c r="A241" i="2"/>
  <c r="N242" i="2" s="1"/>
  <c r="A245" i="3"/>
  <c r="B240" i="2"/>
  <c r="C240" i="2" s="1"/>
  <c r="F105" i="7"/>
  <c r="E105" i="7" s="1"/>
  <c r="Y20" i="2" l="1"/>
  <c r="Z20" i="2" s="1"/>
  <c r="J246" i="3"/>
  <c r="S255" i="9"/>
  <c r="T255" i="9" s="1"/>
  <c r="B260" i="10"/>
  <c r="O246" i="3"/>
  <c r="C244" i="3"/>
  <c r="D255" i="9"/>
  <c r="C260" i="10" s="1"/>
  <c r="P257" i="9"/>
  <c r="O262" i="10" s="1"/>
  <c r="N257" i="9"/>
  <c r="J262" i="10" s="1"/>
  <c r="M257" i="9"/>
  <c r="I262" i="10" s="1"/>
  <c r="L257" i="9"/>
  <c r="N262" i="10" s="1"/>
  <c r="K257" i="9"/>
  <c r="M262" i="10" s="1"/>
  <c r="J257" i="9"/>
  <c r="L262" i="10" s="1"/>
  <c r="Q257" i="9"/>
  <c r="P262" i="10" s="1"/>
  <c r="I257" i="9"/>
  <c r="K262" i="10" s="1"/>
  <c r="A257" i="9"/>
  <c r="A262" i="10" s="1"/>
  <c r="B256" i="9"/>
  <c r="C256" i="9" s="1"/>
  <c r="Q242" i="2"/>
  <c r="P247" i="3" s="1"/>
  <c r="J247" i="3"/>
  <c r="P242" i="2"/>
  <c r="L242" i="2"/>
  <c r="N247" i="3" s="1"/>
  <c r="I242" i="2"/>
  <c r="K247" i="3" s="1"/>
  <c r="M242" i="2"/>
  <c r="I247" i="3" s="1"/>
  <c r="J242" i="2"/>
  <c r="L247" i="3" s="1"/>
  <c r="S239" i="2"/>
  <c r="T239" i="2" s="1"/>
  <c r="B244" i="3"/>
  <c r="D240" i="2"/>
  <c r="A242" i="2"/>
  <c r="N243" i="2" s="1"/>
  <c r="A246" i="3"/>
  <c r="B241" i="2"/>
  <c r="C241" i="2" s="1"/>
  <c r="H105" i="7"/>
  <c r="G106" i="7"/>
  <c r="S256" i="9" l="1"/>
  <c r="T256" i="9" s="1"/>
  <c r="B261" i="10"/>
  <c r="O247" i="3"/>
  <c r="C245" i="3"/>
  <c r="Q258" i="9"/>
  <c r="P263" i="10" s="1"/>
  <c r="P258" i="9"/>
  <c r="O263" i="10" s="1"/>
  <c r="N258" i="9"/>
  <c r="J263" i="10" s="1"/>
  <c r="M258" i="9"/>
  <c r="I263" i="10" s="1"/>
  <c r="L258" i="9"/>
  <c r="N263" i="10" s="1"/>
  <c r="K258" i="9"/>
  <c r="M263" i="10" s="1"/>
  <c r="A258" i="9"/>
  <c r="A263" i="10" s="1"/>
  <c r="J258" i="9"/>
  <c r="L263" i="10" s="1"/>
  <c r="I258" i="9"/>
  <c r="K263" i="10" s="1"/>
  <c r="B257" i="9"/>
  <c r="C257" i="9" s="1"/>
  <c r="D256" i="9"/>
  <c r="C261" i="10" s="1"/>
  <c r="P243" i="2"/>
  <c r="M243" i="2"/>
  <c r="I248" i="3" s="1"/>
  <c r="J243" i="2"/>
  <c r="L248" i="3" s="1"/>
  <c r="Q243" i="2"/>
  <c r="P248" i="3" s="1"/>
  <c r="L243" i="2"/>
  <c r="N248" i="3" s="1"/>
  <c r="J248" i="3"/>
  <c r="I243" i="2"/>
  <c r="K248" i="3" s="1"/>
  <c r="B245" i="3"/>
  <c r="S240" i="2"/>
  <c r="T240" i="2" s="1"/>
  <c r="D241" i="2"/>
  <c r="A243" i="2"/>
  <c r="N244" i="2" s="1"/>
  <c r="A247" i="3"/>
  <c r="B242" i="2"/>
  <c r="C242" i="2" s="1"/>
  <c r="F106" i="7"/>
  <c r="E106" i="7" s="1"/>
  <c r="S257" i="9" l="1"/>
  <c r="T257" i="9" s="1"/>
  <c r="B262" i="10"/>
  <c r="O248" i="3"/>
  <c r="C246" i="3"/>
  <c r="D257" i="9"/>
  <c r="C262" i="10" s="1"/>
  <c r="Q259" i="9"/>
  <c r="P264" i="10" s="1"/>
  <c r="P259" i="9"/>
  <c r="O264" i="10" s="1"/>
  <c r="N259" i="9"/>
  <c r="J264" i="10" s="1"/>
  <c r="M259" i="9"/>
  <c r="I264" i="10" s="1"/>
  <c r="L259" i="9"/>
  <c r="N264" i="10" s="1"/>
  <c r="A259" i="9"/>
  <c r="A264" i="10" s="1"/>
  <c r="J259" i="9"/>
  <c r="L264" i="10" s="1"/>
  <c r="K259" i="9"/>
  <c r="M264" i="10" s="1"/>
  <c r="I259" i="9"/>
  <c r="K264" i="10" s="1"/>
  <c r="B258" i="9"/>
  <c r="C258" i="9" s="1"/>
  <c r="Q244" i="2"/>
  <c r="P249" i="3" s="1"/>
  <c r="J249" i="3"/>
  <c r="L244" i="2"/>
  <c r="N249" i="3" s="1"/>
  <c r="I244" i="2"/>
  <c r="K249" i="3" s="1"/>
  <c r="P244" i="2"/>
  <c r="M244" i="2"/>
  <c r="I249" i="3" s="1"/>
  <c r="J244" i="2"/>
  <c r="L249" i="3" s="1"/>
  <c r="B246" i="3"/>
  <c r="S241" i="2"/>
  <c r="T241" i="2" s="1"/>
  <c r="D242" i="2"/>
  <c r="A244" i="2"/>
  <c r="N245" i="2" s="1"/>
  <c r="A248" i="3"/>
  <c r="B243" i="2"/>
  <c r="C243" i="2" s="1"/>
  <c r="H106" i="7"/>
  <c r="G107" i="7"/>
  <c r="S258" i="9" l="1"/>
  <c r="T258" i="9" s="1"/>
  <c r="B263" i="10"/>
  <c r="O249" i="3"/>
  <c r="C247" i="3"/>
  <c r="D258" i="9"/>
  <c r="C263" i="10" s="1"/>
  <c r="Q260" i="9"/>
  <c r="P265" i="10" s="1"/>
  <c r="P260" i="9"/>
  <c r="O265" i="10" s="1"/>
  <c r="N260" i="9"/>
  <c r="J265" i="10" s="1"/>
  <c r="M260" i="9"/>
  <c r="I265" i="10" s="1"/>
  <c r="K260" i="9"/>
  <c r="M265" i="10" s="1"/>
  <c r="J260" i="9"/>
  <c r="L265" i="10" s="1"/>
  <c r="I260" i="9"/>
  <c r="K265" i="10" s="1"/>
  <c r="A260" i="9"/>
  <c r="A265" i="10" s="1"/>
  <c r="L260" i="9"/>
  <c r="N265" i="10" s="1"/>
  <c r="B259" i="9"/>
  <c r="C259" i="9" s="1"/>
  <c r="P245" i="2"/>
  <c r="M245" i="2"/>
  <c r="I250" i="3" s="1"/>
  <c r="J245" i="2"/>
  <c r="L250" i="3" s="1"/>
  <c r="Q245" i="2"/>
  <c r="P250" i="3" s="1"/>
  <c r="J250" i="3"/>
  <c r="L245" i="2"/>
  <c r="N250" i="3" s="1"/>
  <c r="I245" i="2"/>
  <c r="K250" i="3" s="1"/>
  <c r="B247" i="3"/>
  <c r="S242" i="2"/>
  <c r="T242" i="2" s="1"/>
  <c r="S243" i="2"/>
  <c r="T243" i="2" s="1"/>
  <c r="A245" i="2"/>
  <c r="N246" i="2" s="1"/>
  <c r="A249" i="3"/>
  <c r="B244" i="2"/>
  <c r="C244" i="2" s="1"/>
  <c r="F107" i="7"/>
  <c r="E107" i="7" s="1"/>
  <c r="S259" i="9" l="1"/>
  <c r="T259" i="9" s="1"/>
  <c r="B264" i="10"/>
  <c r="O250" i="3"/>
  <c r="I261" i="9"/>
  <c r="K266" i="10" s="1"/>
  <c r="Q261" i="9"/>
  <c r="P266" i="10" s="1"/>
  <c r="P261" i="9"/>
  <c r="O266" i="10" s="1"/>
  <c r="N261" i="9"/>
  <c r="J266" i="10" s="1"/>
  <c r="M261" i="9"/>
  <c r="I266" i="10" s="1"/>
  <c r="L261" i="9"/>
  <c r="N266" i="10" s="1"/>
  <c r="J261" i="9"/>
  <c r="L266" i="10" s="1"/>
  <c r="K261" i="9"/>
  <c r="M266" i="10" s="1"/>
  <c r="A261" i="9"/>
  <c r="A266" i="10" s="1"/>
  <c r="B260" i="9"/>
  <c r="C260" i="9" s="1"/>
  <c r="D259" i="9"/>
  <c r="C264" i="10" s="1"/>
  <c r="Q246" i="2"/>
  <c r="P251" i="3" s="1"/>
  <c r="J251" i="3"/>
  <c r="L246" i="2"/>
  <c r="N251" i="3" s="1"/>
  <c r="I246" i="2"/>
  <c r="K251" i="3" s="1"/>
  <c r="P246" i="2"/>
  <c r="M246" i="2"/>
  <c r="I251" i="3" s="1"/>
  <c r="J246" i="2"/>
  <c r="L251" i="3" s="1"/>
  <c r="B248" i="3"/>
  <c r="D243" i="2"/>
  <c r="D244" i="2"/>
  <c r="A246" i="2"/>
  <c r="N247" i="2" s="1"/>
  <c r="A250" i="3"/>
  <c r="B245" i="2"/>
  <c r="C245" i="2" s="1"/>
  <c r="H107" i="7"/>
  <c r="G108" i="7"/>
  <c r="S260" i="9" l="1"/>
  <c r="T260" i="9" s="1"/>
  <c r="B265" i="10"/>
  <c r="O251" i="3"/>
  <c r="C248" i="3"/>
  <c r="C249" i="3"/>
  <c r="D260" i="9"/>
  <c r="C265" i="10" s="1"/>
  <c r="J262" i="9"/>
  <c r="L267" i="10" s="1"/>
  <c r="I262" i="9"/>
  <c r="K267" i="10" s="1"/>
  <c r="Q262" i="9"/>
  <c r="P267" i="10" s="1"/>
  <c r="P262" i="9"/>
  <c r="O267" i="10" s="1"/>
  <c r="A262" i="9"/>
  <c r="A267" i="10" s="1"/>
  <c r="M262" i="9"/>
  <c r="I267" i="10" s="1"/>
  <c r="L262" i="9"/>
  <c r="N267" i="10" s="1"/>
  <c r="N262" i="9"/>
  <c r="J267" i="10" s="1"/>
  <c r="K262" i="9"/>
  <c r="M267" i="10" s="1"/>
  <c r="B261" i="9"/>
  <c r="C261" i="9" s="1"/>
  <c r="P247" i="2"/>
  <c r="M247" i="2"/>
  <c r="I252" i="3" s="1"/>
  <c r="J247" i="2"/>
  <c r="L252" i="3" s="1"/>
  <c r="Q247" i="2"/>
  <c r="P252" i="3" s="1"/>
  <c r="J252" i="3"/>
  <c r="L247" i="2"/>
  <c r="N252" i="3" s="1"/>
  <c r="I247" i="2"/>
  <c r="K252" i="3" s="1"/>
  <c r="B249" i="3"/>
  <c r="B250" i="3"/>
  <c r="S244" i="2"/>
  <c r="T244" i="2" s="1"/>
  <c r="A247" i="2"/>
  <c r="N248" i="2" s="1"/>
  <c r="A251" i="3"/>
  <c r="B246" i="2"/>
  <c r="C246" i="2" s="1"/>
  <c r="F108" i="7"/>
  <c r="E108" i="7" s="1"/>
  <c r="G109" i="7" s="1"/>
  <c r="S261" i="9" l="1"/>
  <c r="T261" i="9" s="1"/>
  <c r="B266" i="10"/>
  <c r="O252" i="3"/>
  <c r="D261" i="9"/>
  <c r="C266" i="10" s="1"/>
  <c r="K263" i="9"/>
  <c r="M268" i="10" s="1"/>
  <c r="A263" i="9"/>
  <c r="A268" i="10" s="1"/>
  <c r="J263" i="9"/>
  <c r="L268" i="10" s="1"/>
  <c r="I263" i="9"/>
  <c r="K268" i="10" s="1"/>
  <c r="Q263" i="9"/>
  <c r="P268" i="10" s="1"/>
  <c r="P263" i="9"/>
  <c r="O268" i="10" s="1"/>
  <c r="L263" i="9"/>
  <c r="N268" i="10" s="1"/>
  <c r="N263" i="9"/>
  <c r="J268" i="10" s="1"/>
  <c r="M263" i="9"/>
  <c r="I268" i="10" s="1"/>
  <c r="B262" i="9"/>
  <c r="C262" i="9" s="1"/>
  <c r="Q248" i="2"/>
  <c r="P253" i="3" s="1"/>
  <c r="J253" i="3"/>
  <c r="L248" i="2"/>
  <c r="N253" i="3" s="1"/>
  <c r="I248" i="2"/>
  <c r="K253" i="3" s="1"/>
  <c r="P248" i="2"/>
  <c r="M248" i="2"/>
  <c r="I253" i="3" s="1"/>
  <c r="J248" i="2"/>
  <c r="L253" i="3" s="1"/>
  <c r="S245" i="2"/>
  <c r="T245" i="2" s="1"/>
  <c r="D245" i="2"/>
  <c r="D246" i="2"/>
  <c r="A248" i="2"/>
  <c r="N249" i="2" s="1"/>
  <c r="A252" i="3"/>
  <c r="B247" i="2"/>
  <c r="C247" i="2" s="1"/>
  <c r="H108" i="7"/>
  <c r="F109" i="7"/>
  <c r="H109" i="7" s="1"/>
  <c r="S262" i="9" l="1"/>
  <c r="T262" i="9" s="1"/>
  <c r="B267" i="10"/>
  <c r="O253" i="3"/>
  <c r="C250" i="3"/>
  <c r="C251" i="3"/>
  <c r="D262" i="9"/>
  <c r="C267" i="10" s="1"/>
  <c r="L264" i="9"/>
  <c r="N269" i="10" s="1"/>
  <c r="K264" i="9"/>
  <c r="M269" i="10" s="1"/>
  <c r="A264" i="9"/>
  <c r="A269" i="10" s="1"/>
  <c r="J264" i="9"/>
  <c r="L269" i="10" s="1"/>
  <c r="I264" i="9"/>
  <c r="K269" i="10" s="1"/>
  <c r="M264" i="9"/>
  <c r="I269" i="10" s="1"/>
  <c r="Q264" i="9"/>
  <c r="P269" i="10" s="1"/>
  <c r="P264" i="9"/>
  <c r="O269" i="10" s="1"/>
  <c r="N264" i="9"/>
  <c r="J269" i="10" s="1"/>
  <c r="B263" i="9"/>
  <c r="C263" i="9" s="1"/>
  <c r="P249" i="2"/>
  <c r="M249" i="2"/>
  <c r="I254" i="3" s="1"/>
  <c r="J249" i="2"/>
  <c r="L254" i="3" s="1"/>
  <c r="Q249" i="2"/>
  <c r="P254" i="3" s="1"/>
  <c r="J254" i="3"/>
  <c r="L249" i="2"/>
  <c r="N254" i="3" s="1"/>
  <c r="I249" i="2"/>
  <c r="K254" i="3" s="1"/>
  <c r="B251" i="3"/>
  <c r="D247" i="2"/>
  <c r="S246" i="2"/>
  <c r="T246" i="2" s="1"/>
  <c r="A249" i="2"/>
  <c r="N250" i="2" s="1"/>
  <c r="A253" i="3"/>
  <c r="B248" i="2"/>
  <c r="C248" i="2" s="1"/>
  <c r="S263" i="9" l="1"/>
  <c r="T263" i="9" s="1"/>
  <c r="B268" i="10"/>
  <c r="O254" i="3"/>
  <c r="C252" i="3"/>
  <c r="N265" i="9"/>
  <c r="J270" i="10" s="1"/>
  <c r="A265" i="9"/>
  <c r="A270" i="10" s="1"/>
  <c r="M265" i="9"/>
  <c r="I270" i="10" s="1"/>
  <c r="L265" i="9"/>
  <c r="N270" i="10" s="1"/>
  <c r="K265" i="9"/>
  <c r="M270" i="10" s="1"/>
  <c r="I265" i="9"/>
  <c r="K270" i="10" s="1"/>
  <c r="J265" i="9"/>
  <c r="L270" i="10" s="1"/>
  <c r="B264" i="9"/>
  <c r="C264" i="9" s="1"/>
  <c r="D263" i="9"/>
  <c r="C268" i="10" s="1"/>
  <c r="Q250" i="2"/>
  <c r="P255" i="3" s="1"/>
  <c r="J255" i="3"/>
  <c r="L250" i="2"/>
  <c r="N255" i="3" s="1"/>
  <c r="I250" i="2"/>
  <c r="K255" i="3" s="1"/>
  <c r="P250" i="2"/>
  <c r="M250" i="2"/>
  <c r="I255" i="3" s="1"/>
  <c r="J250" i="2"/>
  <c r="L255" i="3" s="1"/>
  <c r="B252" i="3"/>
  <c r="S247" i="2"/>
  <c r="T247" i="2" s="1"/>
  <c r="D248" i="2"/>
  <c r="A250" i="2"/>
  <c r="N251" i="2" s="1"/>
  <c r="A254" i="3"/>
  <c r="B249" i="2"/>
  <c r="C249" i="2" s="1"/>
  <c r="S264" i="9" l="1"/>
  <c r="T264" i="9" s="1"/>
  <c r="B269" i="10"/>
  <c r="O255" i="3"/>
  <c r="C253" i="3"/>
  <c r="E265" i="9"/>
  <c r="D270" i="10" s="1"/>
  <c r="A266" i="9"/>
  <c r="D264" i="9"/>
  <c r="C269" i="10" s="1"/>
  <c r="P251" i="2"/>
  <c r="M251" i="2"/>
  <c r="I256" i="3" s="1"/>
  <c r="J251" i="2"/>
  <c r="L256" i="3" s="1"/>
  <c r="Q251" i="2"/>
  <c r="P256" i="3" s="1"/>
  <c r="J256" i="3"/>
  <c r="L251" i="2"/>
  <c r="N256" i="3" s="1"/>
  <c r="I251" i="2"/>
  <c r="K256" i="3" s="1"/>
  <c r="B253" i="3"/>
  <c r="S248" i="2"/>
  <c r="T248" i="2" s="1"/>
  <c r="D249" i="2"/>
  <c r="A251" i="2"/>
  <c r="N252" i="2" s="1"/>
  <c r="A255" i="3"/>
  <c r="B250" i="2"/>
  <c r="C250" i="2" s="1"/>
  <c r="O256" i="3" l="1"/>
  <c r="C254" i="3"/>
  <c r="A267" i="9"/>
  <c r="A268" i="9" s="1"/>
  <c r="A269" i="9" s="1"/>
  <c r="A270" i="9" s="1"/>
  <c r="A271" i="9" s="1"/>
  <c r="A272" i="9" s="1"/>
  <c r="A273" i="9" s="1"/>
  <c r="A274" i="9" s="1"/>
  <c r="A275" i="9" s="1"/>
  <c r="Q252" i="2"/>
  <c r="P257" i="3" s="1"/>
  <c r="J257" i="3"/>
  <c r="L252" i="2"/>
  <c r="N257" i="3" s="1"/>
  <c r="I252" i="2"/>
  <c r="K257" i="3" s="1"/>
  <c r="P252" i="2"/>
  <c r="M252" i="2"/>
  <c r="I257" i="3" s="1"/>
  <c r="J252" i="2"/>
  <c r="L257" i="3" s="1"/>
  <c r="B254" i="3"/>
  <c r="S249" i="2"/>
  <c r="T249" i="2" s="1"/>
  <c r="D250" i="2"/>
  <c r="A252" i="2"/>
  <c r="A256" i="3"/>
  <c r="B251" i="2"/>
  <c r="C251" i="2" s="1"/>
  <c r="O257" i="3" l="1"/>
  <c r="C255" i="3"/>
  <c r="K253" i="2"/>
  <c r="M258" i="3" s="1"/>
  <c r="N253" i="2"/>
  <c r="AE21" i="2" s="1"/>
  <c r="AE22" i="2" s="1"/>
  <c r="N15" i="2" s="1"/>
  <c r="Q253" i="2"/>
  <c r="P258" i="3" s="1"/>
  <c r="L253" i="2"/>
  <c r="N258" i="3" s="1"/>
  <c r="J253" i="2"/>
  <c r="L258" i="3" s="1"/>
  <c r="P253" i="2"/>
  <c r="M253" i="2"/>
  <c r="I258" i="3" s="1"/>
  <c r="I253" i="2"/>
  <c r="K258" i="3" s="1"/>
  <c r="B255" i="3"/>
  <c r="S250" i="2"/>
  <c r="T250" i="2" s="1"/>
  <c r="D251" i="2"/>
  <c r="A253" i="2"/>
  <c r="A257" i="3"/>
  <c r="B252" i="2"/>
  <c r="C252" i="2" s="1"/>
  <c r="Y21" i="2" l="1"/>
  <c r="Y22" i="2" s="1"/>
  <c r="J258" i="3"/>
  <c r="O258" i="3"/>
  <c r="C256" i="3"/>
  <c r="K254" i="2"/>
  <c r="M259" i="3" s="1"/>
  <c r="N254" i="2"/>
  <c r="J259" i="3" s="1"/>
  <c r="Q254" i="2"/>
  <c r="P259" i="3" s="1"/>
  <c r="L254" i="2"/>
  <c r="N259" i="3" s="1"/>
  <c r="J254" i="2"/>
  <c r="L259" i="3" s="1"/>
  <c r="P254" i="2"/>
  <c r="M254" i="2"/>
  <c r="I259" i="3" s="1"/>
  <c r="I254" i="2"/>
  <c r="K259" i="3" s="1"/>
  <c r="B256" i="3"/>
  <c r="S251" i="2"/>
  <c r="T251" i="2" s="1"/>
  <c r="D252" i="2"/>
  <c r="A254" i="2"/>
  <c r="A258" i="3"/>
  <c r="B253" i="2"/>
  <c r="C253" i="2" s="1"/>
  <c r="Z21" i="2" l="1"/>
  <c r="Z22" i="2" s="1"/>
  <c r="O259" i="3"/>
  <c r="C257" i="3"/>
  <c r="K255" i="2"/>
  <c r="M260" i="3" s="1"/>
  <c r="N255" i="2"/>
  <c r="J260" i="3" s="1"/>
  <c r="N11" i="2"/>
  <c r="P11" i="2" s="1"/>
  <c r="N9" i="2"/>
  <c r="P9" i="2" s="1"/>
  <c r="Q255" i="2"/>
  <c r="P260" i="3" s="1"/>
  <c r="L255" i="2"/>
  <c r="N260" i="3" s="1"/>
  <c r="J255" i="2"/>
  <c r="L260" i="3" s="1"/>
  <c r="P255" i="2"/>
  <c r="M255" i="2"/>
  <c r="I260" i="3" s="1"/>
  <c r="I255" i="2"/>
  <c r="K260" i="3" s="1"/>
  <c r="B257" i="3"/>
  <c r="S252" i="2"/>
  <c r="T252" i="2" s="1"/>
  <c r="B258" i="3"/>
  <c r="A255" i="2"/>
  <c r="A259" i="3"/>
  <c r="B254" i="2"/>
  <c r="C254" i="2" s="1"/>
  <c r="O260" i="3" l="1"/>
  <c r="K256" i="2"/>
  <c r="M261" i="3" s="1"/>
  <c r="N256" i="2"/>
  <c r="J261" i="3" s="1"/>
  <c r="D51" i="4"/>
  <c r="E51" i="4" s="1"/>
  <c r="B51" i="4" s="1"/>
  <c r="K9" i="7"/>
  <c r="J24" i="7" s="1"/>
  <c r="P7" i="3"/>
  <c r="Q256" i="2"/>
  <c r="P261" i="3" s="1"/>
  <c r="L256" i="2"/>
  <c r="N261" i="3" s="1"/>
  <c r="J256" i="2"/>
  <c r="L261" i="3" s="1"/>
  <c r="P256" i="2"/>
  <c r="M256" i="2"/>
  <c r="I261" i="3" s="1"/>
  <c r="I256" i="2"/>
  <c r="K261" i="3" s="1"/>
  <c r="S253" i="2"/>
  <c r="T253" i="2" s="1"/>
  <c r="D253" i="2"/>
  <c r="D254" i="2"/>
  <c r="A256" i="2"/>
  <c r="A260" i="3"/>
  <c r="B255" i="2"/>
  <c r="C255" i="2" s="1"/>
  <c r="O261" i="3" l="1"/>
  <c r="C258" i="3"/>
  <c r="C259" i="3"/>
  <c r="H24" i="7"/>
  <c r="K85" i="7" s="1"/>
  <c r="B32" i="5"/>
  <c r="L61" i="7"/>
  <c r="L85" i="7"/>
  <c r="K61" i="7"/>
  <c r="K257" i="2"/>
  <c r="M262" i="3" s="1"/>
  <c r="N257" i="2"/>
  <c r="J262" i="3" s="1"/>
  <c r="K37" i="7"/>
  <c r="K49" i="7"/>
  <c r="L37" i="7"/>
  <c r="L49" i="7"/>
  <c r="Q257" i="2"/>
  <c r="P262" i="3" s="1"/>
  <c r="L257" i="2"/>
  <c r="N262" i="3" s="1"/>
  <c r="J257" i="2"/>
  <c r="L262" i="3" s="1"/>
  <c r="P257" i="2"/>
  <c r="M257" i="2"/>
  <c r="I262" i="3" s="1"/>
  <c r="I257" i="2"/>
  <c r="K262" i="3" s="1"/>
  <c r="B259" i="3"/>
  <c r="S254" i="2"/>
  <c r="T254" i="2" s="1"/>
  <c r="D255" i="2"/>
  <c r="A257" i="2"/>
  <c r="A261" i="3"/>
  <c r="B256" i="2"/>
  <c r="C256" i="2" s="1"/>
  <c r="O262" i="3" l="1"/>
  <c r="C260" i="3"/>
  <c r="K258" i="2"/>
  <c r="M263" i="3" s="1"/>
  <c r="N258" i="2"/>
  <c r="J263" i="3" s="1"/>
  <c r="Q258" i="2"/>
  <c r="P263" i="3" s="1"/>
  <c r="L258" i="2"/>
  <c r="N263" i="3" s="1"/>
  <c r="J258" i="2"/>
  <c r="L263" i="3" s="1"/>
  <c r="P258" i="2"/>
  <c r="M258" i="2"/>
  <c r="I263" i="3" s="1"/>
  <c r="I258" i="2"/>
  <c r="K263" i="3" s="1"/>
  <c r="B260" i="3"/>
  <c r="S255" i="2"/>
  <c r="T255" i="2" s="1"/>
  <c r="D256" i="2"/>
  <c r="A258" i="2"/>
  <c r="A262" i="3"/>
  <c r="B257" i="2"/>
  <c r="C257" i="2" s="1"/>
  <c r="O263" i="3" l="1"/>
  <c r="C261" i="3"/>
  <c r="K259" i="2"/>
  <c r="M264" i="3" s="1"/>
  <c r="N259" i="2"/>
  <c r="J264" i="3" s="1"/>
  <c r="Q259" i="2"/>
  <c r="P264" i="3" s="1"/>
  <c r="L259" i="2"/>
  <c r="N264" i="3" s="1"/>
  <c r="J259" i="2"/>
  <c r="L264" i="3" s="1"/>
  <c r="P259" i="2"/>
  <c r="M259" i="2"/>
  <c r="I264" i="3" s="1"/>
  <c r="I259" i="2"/>
  <c r="K264" i="3" s="1"/>
  <c r="B261" i="3"/>
  <c r="D257" i="2"/>
  <c r="S256" i="2"/>
  <c r="T256" i="2" s="1"/>
  <c r="A259" i="2"/>
  <c r="A263" i="3"/>
  <c r="B258" i="2"/>
  <c r="C258" i="2" s="1"/>
  <c r="O264" i="3" l="1"/>
  <c r="C262" i="3"/>
  <c r="K260" i="2"/>
  <c r="M265" i="3" s="1"/>
  <c r="N260" i="2"/>
  <c r="J265" i="3" s="1"/>
  <c r="Q260" i="2"/>
  <c r="P265" i="3" s="1"/>
  <c r="L260" i="2"/>
  <c r="N265" i="3" s="1"/>
  <c r="J260" i="2"/>
  <c r="L265" i="3" s="1"/>
  <c r="P260" i="2"/>
  <c r="M260" i="2"/>
  <c r="I265" i="3" s="1"/>
  <c r="I260" i="2"/>
  <c r="K265" i="3" s="1"/>
  <c r="B262" i="3"/>
  <c r="S257" i="2"/>
  <c r="T257" i="2" s="1"/>
  <c r="D258" i="2"/>
  <c r="A260" i="2"/>
  <c r="A264" i="3"/>
  <c r="B259" i="2"/>
  <c r="C259" i="2" s="1"/>
  <c r="O265" i="3" l="1"/>
  <c r="C263" i="3"/>
  <c r="K261" i="2"/>
  <c r="M266" i="3" s="1"/>
  <c r="N261" i="2"/>
  <c r="J266" i="3" s="1"/>
  <c r="Q261" i="2"/>
  <c r="P266" i="3" s="1"/>
  <c r="L261" i="2"/>
  <c r="N266" i="3" s="1"/>
  <c r="J261" i="2"/>
  <c r="L266" i="3" s="1"/>
  <c r="P261" i="2"/>
  <c r="M261" i="2"/>
  <c r="I266" i="3" s="1"/>
  <c r="I261" i="2"/>
  <c r="K266" i="3" s="1"/>
  <c r="B263" i="3"/>
  <c r="D259" i="2"/>
  <c r="S258" i="2"/>
  <c r="T258" i="2" s="1"/>
  <c r="A261" i="2"/>
  <c r="A265" i="3"/>
  <c r="B260" i="2"/>
  <c r="C260" i="2" s="1"/>
  <c r="O266" i="3" l="1"/>
  <c r="C264" i="3"/>
  <c r="K262" i="2"/>
  <c r="M267" i="3" s="1"/>
  <c r="N262" i="2"/>
  <c r="J267" i="3" s="1"/>
  <c r="Q262" i="2"/>
  <c r="P267" i="3" s="1"/>
  <c r="L262" i="2"/>
  <c r="N267" i="3" s="1"/>
  <c r="J262" i="2"/>
  <c r="L267" i="3" s="1"/>
  <c r="P262" i="2"/>
  <c r="M262" i="2"/>
  <c r="I267" i="3" s="1"/>
  <c r="I262" i="2"/>
  <c r="K267" i="3" s="1"/>
  <c r="B264" i="3"/>
  <c r="S259" i="2"/>
  <c r="T259" i="2" s="1"/>
  <c r="D260" i="2"/>
  <c r="A262" i="2"/>
  <c r="A266" i="3"/>
  <c r="B261" i="2"/>
  <c r="C261" i="2" s="1"/>
  <c r="O267" i="3" l="1"/>
  <c r="C265" i="3"/>
  <c r="K263" i="2"/>
  <c r="M268" i="3" s="1"/>
  <c r="N263" i="2"/>
  <c r="J268" i="3" s="1"/>
  <c r="Q263" i="2"/>
  <c r="P268" i="3" s="1"/>
  <c r="L263" i="2"/>
  <c r="N268" i="3" s="1"/>
  <c r="J263" i="2"/>
  <c r="L268" i="3" s="1"/>
  <c r="P263" i="2"/>
  <c r="M263" i="2"/>
  <c r="I268" i="3" s="1"/>
  <c r="I263" i="2"/>
  <c r="K268" i="3" s="1"/>
  <c r="B265" i="3"/>
  <c r="D261" i="2"/>
  <c r="S260" i="2"/>
  <c r="T260" i="2" s="1"/>
  <c r="A263" i="2"/>
  <c r="A267" i="3"/>
  <c r="B262" i="2"/>
  <c r="C262" i="2" s="1"/>
  <c r="O268" i="3" l="1"/>
  <c r="C266" i="3"/>
  <c r="K264" i="2"/>
  <c r="M269" i="3" s="1"/>
  <c r="N264" i="2"/>
  <c r="J269" i="3" s="1"/>
  <c r="Q264" i="2"/>
  <c r="P269" i="3" s="1"/>
  <c r="L264" i="2"/>
  <c r="N269" i="3" s="1"/>
  <c r="J264" i="2"/>
  <c r="L269" i="3" s="1"/>
  <c r="P264" i="2"/>
  <c r="M264" i="2"/>
  <c r="I269" i="3" s="1"/>
  <c r="I264" i="2"/>
  <c r="K269" i="3" s="1"/>
  <c r="S261" i="2"/>
  <c r="T261" i="2" s="1"/>
  <c r="D262" i="2"/>
  <c r="B266" i="3"/>
  <c r="A264" i="2"/>
  <c r="A268" i="3"/>
  <c r="B263" i="2"/>
  <c r="C263" i="2" s="1"/>
  <c r="S262" i="2"/>
  <c r="T262" i="2" s="1"/>
  <c r="B267" i="3"/>
  <c r="O269" i="3" l="1"/>
  <c r="C267" i="3"/>
  <c r="K265" i="2"/>
  <c r="M270" i="3" s="1"/>
  <c r="N265" i="2"/>
  <c r="J270" i="3" s="1"/>
  <c r="J265" i="2"/>
  <c r="L270" i="3" s="1"/>
  <c r="L265" i="2"/>
  <c r="N270" i="3" s="1"/>
  <c r="I265" i="2"/>
  <c r="K270" i="3" s="1"/>
  <c r="M265" i="2"/>
  <c r="I270" i="3" s="1"/>
  <c r="D263" i="2"/>
  <c r="A265" i="2"/>
  <c r="A269" i="3"/>
  <c r="B264" i="2"/>
  <c r="C264" i="2" s="1"/>
  <c r="C268" i="3" l="1"/>
  <c r="B268" i="3"/>
  <c r="S263" i="2"/>
  <c r="T263" i="2" s="1"/>
  <c r="S264" i="2"/>
  <c r="T264" i="2" s="1"/>
  <c r="A266" i="2"/>
  <c r="A267" i="2" s="1"/>
  <c r="A268" i="2" s="1"/>
  <c r="A269" i="2" s="1"/>
  <c r="A270" i="2" s="1"/>
  <c r="A271" i="2" s="1"/>
  <c r="A272" i="2" s="1"/>
  <c r="A273" i="2" s="1"/>
  <c r="A274" i="2" s="1"/>
  <c r="A275" i="2" s="1"/>
  <c r="A270" i="3"/>
  <c r="E265" i="2"/>
  <c r="D270" i="3" s="1"/>
  <c r="B269" i="3" l="1"/>
  <c r="D264" i="2"/>
  <c r="C269" i="3" l="1"/>
  <c r="B53" i="3"/>
  <c r="B52" i="3"/>
  <c r="B33" i="3"/>
  <c r="S28" i="2"/>
  <c r="T28" i="2" s="1"/>
  <c r="G29" i="2" l="1"/>
  <c r="F29" i="2" l="1"/>
  <c r="G34" i="3"/>
  <c r="H29" i="2" l="1"/>
  <c r="R29" i="2" s="1"/>
  <c r="F29" i="9"/>
  <c r="E29" i="2"/>
  <c r="G30" i="2" s="1"/>
  <c r="F34" i="3"/>
  <c r="E34" i="3" l="1"/>
  <c r="H29" i="9"/>
  <c r="F34" i="10"/>
  <c r="E29" i="9"/>
  <c r="D34" i="3"/>
  <c r="G35" i="3"/>
  <c r="F30" i="2"/>
  <c r="F30" i="9" s="1"/>
  <c r="F35" i="10" s="1"/>
  <c r="D34" i="10" l="1"/>
  <c r="G30" i="9"/>
  <c r="E30" i="9"/>
  <c r="R29" i="9"/>
  <c r="E34" i="10"/>
  <c r="H30" i="2"/>
  <c r="F35" i="3"/>
  <c r="E30" i="2"/>
  <c r="G35" i="10" l="1"/>
  <c r="H30" i="9"/>
  <c r="G31" i="9"/>
  <c r="D35" i="10"/>
  <c r="E35" i="3"/>
  <c r="R30" i="2"/>
  <c r="G31" i="2"/>
  <c r="D35" i="3"/>
  <c r="G36" i="10" l="1"/>
  <c r="E35" i="10"/>
  <c r="R30" i="9"/>
  <c r="G36" i="3"/>
  <c r="F31" i="2"/>
  <c r="F31" i="9" s="1"/>
  <c r="F36" i="10" l="1"/>
  <c r="E31" i="9"/>
  <c r="H31" i="9"/>
  <c r="F36" i="3"/>
  <c r="E31" i="2"/>
  <c r="H31" i="2"/>
  <c r="D36" i="10" l="1"/>
  <c r="G32" i="9"/>
  <c r="R31" i="9"/>
  <c r="E36" i="10"/>
  <c r="G32" i="2"/>
  <c r="R31" i="2"/>
  <c r="E36" i="3"/>
  <c r="D36" i="3"/>
  <c r="G37" i="10" l="1"/>
  <c r="G37" i="3"/>
  <c r="F32" i="2"/>
  <c r="F32" i="9" s="1"/>
  <c r="F37" i="10" l="1"/>
  <c r="E32" i="9"/>
  <c r="H32" i="9"/>
  <c r="H32" i="2"/>
  <c r="F37" i="3"/>
  <c r="E32" i="2"/>
  <c r="G33" i="9" l="1"/>
  <c r="D37" i="10"/>
  <c r="E37" i="10"/>
  <c r="R32" i="9"/>
  <c r="E37" i="3"/>
  <c r="R32" i="2"/>
  <c r="G33" i="2"/>
  <c r="D37" i="3"/>
  <c r="G38" i="10" l="1"/>
  <c r="G38" i="3"/>
  <c r="F33" i="2"/>
  <c r="F33" i="9" s="1"/>
  <c r="F38" i="10" l="1"/>
  <c r="E33" i="9"/>
  <c r="H33" i="9"/>
  <c r="H33" i="2"/>
  <c r="F38" i="3"/>
  <c r="E33" i="2"/>
  <c r="D38" i="10" l="1"/>
  <c r="G34" i="9"/>
  <c r="E38" i="10"/>
  <c r="R33" i="9"/>
  <c r="G34" i="2"/>
  <c r="E38" i="3"/>
  <c r="R33" i="2"/>
  <c r="D38" i="3"/>
  <c r="G39" i="10" l="1"/>
  <c r="F34" i="2"/>
  <c r="F34" i="9" s="1"/>
  <c r="G39" i="3"/>
  <c r="F39" i="10" l="1"/>
  <c r="E34" i="9"/>
  <c r="H34" i="9"/>
  <c r="F39" i="3"/>
  <c r="E34" i="2"/>
  <c r="H34" i="2"/>
  <c r="R34" i="9" l="1"/>
  <c r="E39" i="10"/>
  <c r="D39" i="10"/>
  <c r="G35" i="9"/>
  <c r="G35" i="2"/>
  <c r="D39" i="3"/>
  <c r="R34" i="2"/>
  <c r="E39" i="3"/>
  <c r="G40" i="10" l="1"/>
  <c r="F35" i="2"/>
  <c r="F35" i="9" s="1"/>
  <c r="G40" i="3"/>
  <c r="F40" i="10" l="1"/>
  <c r="E35" i="9"/>
  <c r="H35" i="9"/>
  <c r="H35" i="2"/>
  <c r="F40" i="3"/>
  <c r="E35" i="2"/>
  <c r="R35" i="9" l="1"/>
  <c r="E40" i="10"/>
  <c r="G36" i="9"/>
  <c r="D40" i="10"/>
  <c r="E40" i="3"/>
  <c r="R35" i="2"/>
  <c r="G36" i="2"/>
  <c r="D40" i="3"/>
  <c r="G41" i="10" l="1"/>
  <c r="G41" i="3"/>
  <c r="F36" i="2"/>
  <c r="F36" i="9" s="1"/>
  <c r="F41" i="10" l="1"/>
  <c r="E36" i="9"/>
  <c r="H36" i="9"/>
  <c r="F41" i="3"/>
  <c r="E36" i="2"/>
  <c r="H36" i="2"/>
  <c r="R36" i="9" l="1"/>
  <c r="E41" i="10"/>
  <c r="D41" i="10"/>
  <c r="G37" i="9"/>
  <c r="G37" i="2"/>
  <c r="D41" i="3"/>
  <c r="R36" i="2"/>
  <c r="P37" i="2" s="1"/>
  <c r="E41" i="3"/>
  <c r="G42" i="10" l="1"/>
  <c r="O42" i="3"/>
  <c r="G42" i="3"/>
  <c r="F37" i="2"/>
  <c r="F37" i="9" s="1"/>
  <c r="F42" i="10" l="1"/>
  <c r="E37" i="9"/>
  <c r="H37" i="9"/>
  <c r="Q37" i="2"/>
  <c r="F42" i="3"/>
  <c r="E37" i="2"/>
  <c r="H37" i="2"/>
  <c r="R37" i="9" l="1"/>
  <c r="E42" i="10"/>
  <c r="D42" i="10"/>
  <c r="G38" i="9"/>
  <c r="G38" i="2"/>
  <c r="P42" i="3"/>
  <c r="D42" i="3"/>
  <c r="R37" i="2"/>
  <c r="E42" i="3"/>
  <c r="G43" i="10" l="1"/>
  <c r="G43" i="3"/>
  <c r="F38" i="2"/>
  <c r="F38" i="9" s="1"/>
  <c r="F43" i="10" l="1"/>
  <c r="E38" i="9"/>
  <c r="H38" i="9"/>
  <c r="F43" i="3"/>
  <c r="E38" i="2"/>
  <c r="H38" i="2"/>
  <c r="E43" i="10" l="1"/>
  <c r="R38" i="9"/>
  <c r="G39" i="9"/>
  <c r="D43" i="10"/>
  <c r="G39" i="2"/>
  <c r="D43" i="3"/>
  <c r="R38" i="2"/>
  <c r="E43" i="3"/>
  <c r="G44" i="10" l="1"/>
  <c r="G44" i="3"/>
  <c r="F39" i="2"/>
  <c r="F39" i="9" s="1"/>
  <c r="F44" i="10" l="1"/>
  <c r="E39" i="9"/>
  <c r="H39" i="9"/>
  <c r="F44" i="3"/>
  <c r="E39" i="2"/>
  <c r="H39" i="2"/>
  <c r="E44" i="10" l="1"/>
  <c r="R39" i="9"/>
  <c r="G40" i="9"/>
  <c r="D44" i="10"/>
  <c r="G40" i="2"/>
  <c r="D44" i="3"/>
  <c r="R39" i="2"/>
  <c r="E44" i="3"/>
  <c r="G45" i="10" l="1"/>
  <c r="G45" i="3"/>
  <c r="F40" i="2"/>
  <c r="F40" i="9" s="1"/>
  <c r="F45" i="10" l="1"/>
  <c r="E40" i="9"/>
  <c r="H40" i="9"/>
  <c r="F45" i="3"/>
  <c r="E40" i="2"/>
  <c r="H40" i="2"/>
  <c r="R40" i="9" l="1"/>
  <c r="E45" i="10"/>
  <c r="D45" i="10"/>
  <c r="G41" i="9"/>
  <c r="G41" i="2"/>
  <c r="D45" i="3"/>
  <c r="R40" i="2"/>
  <c r="E45" i="3"/>
  <c r="G46" i="10" l="1"/>
  <c r="G46" i="3"/>
  <c r="F41" i="2"/>
  <c r="F41" i="9" s="1"/>
  <c r="F46" i="10" l="1"/>
  <c r="E41" i="9"/>
  <c r="H41" i="9"/>
  <c r="H41" i="2"/>
  <c r="F46" i="3"/>
  <c r="E41" i="2"/>
  <c r="E46" i="10" l="1"/>
  <c r="R41" i="9"/>
  <c r="D46" i="10"/>
  <c r="G42" i="9"/>
  <c r="E46" i="3"/>
  <c r="R41" i="2"/>
  <c r="G42" i="2"/>
  <c r="D46" i="3"/>
  <c r="G47" i="10" l="1"/>
  <c r="G47" i="3"/>
  <c r="F42" i="2"/>
  <c r="F42" i="9" s="1"/>
  <c r="F47" i="10" l="1"/>
  <c r="E42" i="9"/>
  <c r="H42" i="9"/>
  <c r="F47" i="3"/>
  <c r="E42" i="2"/>
  <c r="H42" i="2"/>
  <c r="R42" i="9" l="1"/>
  <c r="E47" i="10"/>
  <c r="D47" i="10"/>
  <c r="G43" i="9"/>
  <c r="G43" i="2"/>
  <c r="D47" i="3"/>
  <c r="R42" i="2"/>
  <c r="E47" i="3"/>
  <c r="G48" i="10" l="1"/>
  <c r="F43" i="2"/>
  <c r="F43" i="9" s="1"/>
  <c r="G48" i="3"/>
  <c r="F48" i="10" l="1"/>
  <c r="E43" i="9"/>
  <c r="H43" i="9"/>
  <c r="F48" i="3"/>
  <c r="E43" i="2"/>
  <c r="H43" i="2"/>
  <c r="E48" i="10" l="1"/>
  <c r="R43" i="9"/>
  <c r="G44" i="9"/>
  <c r="D48" i="10"/>
  <c r="G44" i="2"/>
  <c r="D48" i="3"/>
  <c r="R43" i="2"/>
  <c r="E48" i="3"/>
  <c r="G49" i="10" l="1"/>
  <c r="G49" i="3"/>
  <c r="F44" i="2"/>
  <c r="F44" i="9" s="1"/>
  <c r="F49" i="10" l="1"/>
  <c r="E44" i="9"/>
  <c r="H44" i="9"/>
  <c r="F49" i="3"/>
  <c r="E44" i="2"/>
  <c r="H44" i="2"/>
  <c r="R44" i="9" l="1"/>
  <c r="E49" i="10"/>
  <c r="G45" i="9"/>
  <c r="D49" i="10"/>
  <c r="G45" i="2"/>
  <c r="D49" i="3"/>
  <c r="E49" i="3"/>
  <c r="R44" i="2"/>
  <c r="G50" i="10" l="1"/>
  <c r="G50" i="3"/>
  <c r="F45" i="2"/>
  <c r="F45" i="9" s="1"/>
  <c r="F50" i="10" l="1"/>
  <c r="E45" i="9"/>
  <c r="H45" i="9"/>
  <c r="H45" i="2"/>
  <c r="F50" i="3"/>
  <c r="E45" i="2"/>
  <c r="E50" i="10" l="1"/>
  <c r="R45" i="9"/>
  <c r="G46" i="9"/>
  <c r="D50" i="10"/>
  <c r="G46" i="2"/>
  <c r="R45" i="2"/>
  <c r="E50" i="3"/>
  <c r="D50" i="3"/>
  <c r="G51" i="10" l="1"/>
  <c r="F46" i="2"/>
  <c r="F46" i="9" s="1"/>
  <c r="G51" i="3"/>
  <c r="F51" i="10" l="1"/>
  <c r="E46" i="9"/>
  <c r="H46" i="9"/>
  <c r="F51" i="3"/>
  <c r="E46" i="2"/>
  <c r="H46" i="2"/>
  <c r="R46" i="9" l="1"/>
  <c r="E51" i="10"/>
  <c r="D51" i="10"/>
  <c r="G47" i="9"/>
  <c r="G47" i="2"/>
  <c r="D51" i="3"/>
  <c r="R46" i="2"/>
  <c r="E51" i="3"/>
  <c r="G52" i="10" l="1"/>
  <c r="G52" i="3"/>
  <c r="F47" i="2"/>
  <c r="F47" i="9" s="1"/>
  <c r="H47" i="9" s="1"/>
  <c r="R47" i="9" l="1"/>
  <c r="E52" i="10"/>
  <c r="F52" i="10"/>
  <c r="E47" i="9"/>
  <c r="F52" i="3"/>
  <c r="E47" i="2"/>
  <c r="H47" i="2"/>
  <c r="D52" i="10" l="1"/>
  <c r="G48" i="9"/>
  <c r="G48" i="2"/>
  <c r="D52" i="3"/>
  <c r="R47" i="2"/>
  <c r="E52" i="3"/>
  <c r="G53" i="10" l="1"/>
  <c r="G53" i="3"/>
  <c r="F48" i="2"/>
  <c r="F48" i="9" s="1"/>
  <c r="F53" i="10" l="1"/>
  <c r="E19" i="9"/>
  <c r="E48" i="9"/>
  <c r="H48" i="9"/>
  <c r="F53" i="3"/>
  <c r="E19" i="2"/>
  <c r="E48" i="2"/>
  <c r="G49" i="2" s="1"/>
  <c r="H48" i="2"/>
  <c r="R48" i="9" l="1"/>
  <c r="E53" i="10"/>
  <c r="G49" i="9"/>
  <c r="D53" i="10"/>
  <c r="F49" i="2"/>
  <c r="F49" i="9" s="1"/>
  <c r="F54" i="10" s="1"/>
  <c r="E53" i="3"/>
  <c r="R48" i="2"/>
  <c r="P49" i="2" s="1"/>
  <c r="D53" i="3"/>
  <c r="E49" i="9" l="1"/>
  <c r="G50" i="9" s="1"/>
  <c r="G54" i="10"/>
  <c r="H49" i="9"/>
  <c r="O54" i="3"/>
  <c r="H49" i="2"/>
  <c r="G54" i="3"/>
  <c r="D54" i="10" l="1"/>
  <c r="G55" i="10"/>
  <c r="E54" i="10"/>
  <c r="R49" i="9"/>
  <c r="Q49" i="2"/>
  <c r="E54" i="3"/>
  <c r="F54" i="3"/>
  <c r="E49" i="2"/>
  <c r="G50" i="2" s="1"/>
  <c r="P54" i="3" l="1"/>
  <c r="F50" i="2"/>
  <c r="F50" i="9" s="1"/>
  <c r="R49" i="2"/>
  <c r="D54" i="3"/>
  <c r="F55" i="10" l="1"/>
  <c r="E50" i="9"/>
  <c r="H50" i="9"/>
  <c r="H50" i="2"/>
  <c r="G55" i="3"/>
  <c r="E55" i="10" l="1"/>
  <c r="R50" i="9"/>
  <c r="D55" i="10"/>
  <c r="G51" i="9"/>
  <c r="E55" i="3"/>
  <c r="R50" i="2"/>
  <c r="F55" i="3"/>
  <c r="E50" i="2"/>
  <c r="G51" i="2" s="1"/>
  <c r="G56" i="10" l="1"/>
  <c r="F51" i="2"/>
  <c r="F51" i="9" s="1"/>
  <c r="H51" i="9" s="1"/>
  <c r="D55" i="3"/>
  <c r="E56" i="10" l="1"/>
  <c r="R51" i="9"/>
  <c r="F56" i="10"/>
  <c r="E51" i="9"/>
  <c r="H51" i="2"/>
  <c r="G56" i="3"/>
  <c r="G52" i="9" l="1"/>
  <c r="D56" i="10"/>
  <c r="R51" i="2"/>
  <c r="E56" i="3"/>
  <c r="F56" i="3"/>
  <c r="E51" i="2"/>
  <c r="G52" i="2" s="1"/>
  <c r="G57" i="10" l="1"/>
  <c r="F52" i="2"/>
  <c r="F52" i="9" s="1"/>
  <c r="D56" i="3"/>
  <c r="F57" i="10" l="1"/>
  <c r="E52" i="9"/>
  <c r="H52" i="9"/>
  <c r="H52" i="2"/>
  <c r="G57" i="3"/>
  <c r="G53" i="9" l="1"/>
  <c r="D57" i="10"/>
  <c r="R52" i="9"/>
  <c r="E57" i="10"/>
  <c r="R52" i="2"/>
  <c r="E57" i="3"/>
  <c r="F57" i="3"/>
  <c r="E52" i="2"/>
  <c r="G53" i="2" s="1"/>
  <c r="G58" i="10" l="1"/>
  <c r="D57" i="3"/>
  <c r="F53" i="2" l="1"/>
  <c r="G58" i="3"/>
  <c r="H53" i="2" l="1"/>
  <c r="R53" i="2" s="1"/>
  <c r="F53" i="9"/>
  <c r="F58" i="3"/>
  <c r="E53" i="2"/>
  <c r="G54" i="2" s="1"/>
  <c r="E58" i="3" l="1"/>
  <c r="F58" i="10"/>
  <c r="E53" i="9"/>
  <c r="H53" i="9"/>
  <c r="F54" i="2"/>
  <c r="F54" i="9" s="1"/>
  <c r="F59" i="10" s="1"/>
  <c r="D58" i="3"/>
  <c r="D58" i="10" l="1"/>
  <c r="G54" i="9"/>
  <c r="E54" i="9"/>
  <c r="E58" i="10"/>
  <c r="R53" i="9"/>
  <c r="H54" i="2"/>
  <c r="G59" i="3"/>
  <c r="G55" i="9" l="1"/>
  <c r="D59" i="10"/>
  <c r="G59" i="10"/>
  <c r="H54" i="9"/>
  <c r="R54" i="2"/>
  <c r="E59" i="3"/>
  <c r="F59" i="3"/>
  <c r="E54" i="2"/>
  <c r="G55" i="2" s="1"/>
  <c r="E59" i="10" l="1"/>
  <c r="R54" i="9"/>
  <c r="G60" i="10"/>
  <c r="F55" i="2"/>
  <c r="F55" i="9" s="1"/>
  <c r="D59" i="3"/>
  <c r="F60" i="10" l="1"/>
  <c r="E55" i="9"/>
  <c r="H55" i="9"/>
  <c r="H55" i="2"/>
  <c r="G60" i="3"/>
  <c r="G56" i="9" l="1"/>
  <c r="D60" i="10"/>
  <c r="E60" i="10"/>
  <c r="R55" i="9"/>
  <c r="R55" i="2"/>
  <c r="E60" i="3"/>
  <c r="F60" i="3"/>
  <c r="E55" i="2"/>
  <c r="G56" i="2" s="1"/>
  <c r="G61" i="10" l="1"/>
  <c r="F56" i="2"/>
  <c r="F56" i="9" s="1"/>
  <c r="D60" i="3"/>
  <c r="F61" i="10" l="1"/>
  <c r="E56" i="9"/>
  <c r="H56" i="9"/>
  <c r="H56" i="2"/>
  <c r="G61" i="3"/>
  <c r="D61" i="10" l="1"/>
  <c r="G57" i="9"/>
  <c r="R56" i="9"/>
  <c r="E61" i="10"/>
  <c r="E61" i="3"/>
  <c r="R56" i="2"/>
  <c r="F61" i="3"/>
  <c r="E56" i="2"/>
  <c r="G57" i="2" s="1"/>
  <c r="G62" i="10" l="1"/>
  <c r="F57" i="2"/>
  <c r="F57" i="9" s="1"/>
  <c r="D61" i="3"/>
  <c r="F62" i="10" l="1"/>
  <c r="E57" i="9"/>
  <c r="H57" i="9"/>
  <c r="H57" i="2"/>
  <c r="G62" i="3"/>
  <c r="G58" i="9" l="1"/>
  <c r="D62" i="10"/>
  <c r="E62" i="10"/>
  <c r="R57" i="9"/>
  <c r="R57" i="2"/>
  <c r="E62" i="3"/>
  <c r="F62" i="3"/>
  <c r="E57" i="2"/>
  <c r="G58" i="2" s="1"/>
  <c r="G63" i="10" l="1"/>
  <c r="F58" i="2"/>
  <c r="F58" i="9" s="1"/>
  <c r="D62" i="3"/>
  <c r="F63" i="10" l="1"/>
  <c r="E58" i="9"/>
  <c r="H58" i="9"/>
  <c r="H58" i="2"/>
  <c r="G63" i="3"/>
  <c r="G59" i="9" l="1"/>
  <c r="D63" i="10"/>
  <c r="E63" i="10"/>
  <c r="R58" i="9"/>
  <c r="R58" i="2"/>
  <c r="E63" i="3"/>
  <c r="F63" i="3"/>
  <c r="E58" i="2"/>
  <c r="G59" i="2" s="1"/>
  <c r="G64" i="10" l="1"/>
  <c r="F59" i="2"/>
  <c r="F59" i="9" s="1"/>
  <c r="H59" i="9" s="1"/>
  <c r="D63" i="3"/>
  <c r="R59" i="9" l="1"/>
  <c r="E64" i="10"/>
  <c r="F64" i="10"/>
  <c r="E59" i="9"/>
  <c r="H59" i="2"/>
  <c r="G64" i="3"/>
  <c r="D64" i="10" l="1"/>
  <c r="G60" i="9"/>
  <c r="E64" i="3"/>
  <c r="R59" i="2"/>
  <c r="F64" i="3"/>
  <c r="E59" i="2"/>
  <c r="G60" i="2" s="1"/>
  <c r="G65" i="10" l="1"/>
  <c r="F60" i="2"/>
  <c r="F60" i="9" s="1"/>
  <c r="D64" i="3"/>
  <c r="F65" i="10" l="1"/>
  <c r="E60" i="9"/>
  <c r="H60" i="9"/>
  <c r="H60" i="2"/>
  <c r="G65" i="3"/>
  <c r="G61" i="9" l="1"/>
  <c r="D65" i="10"/>
  <c r="E65" i="10"/>
  <c r="R60" i="9"/>
  <c r="R60" i="2"/>
  <c r="P61" i="2" s="1"/>
  <c r="E65" i="3"/>
  <c r="F65" i="3"/>
  <c r="E60" i="2"/>
  <c r="G61" i="2" s="1"/>
  <c r="G66" i="10" l="1"/>
  <c r="O66" i="3"/>
  <c r="F61" i="2"/>
  <c r="F61" i="9" s="1"/>
  <c r="D65" i="3"/>
  <c r="F66" i="10" l="1"/>
  <c r="E61" i="9"/>
  <c r="H61" i="9"/>
  <c r="H61" i="2"/>
  <c r="G66" i="3"/>
  <c r="R61" i="9" l="1"/>
  <c r="E66" i="10"/>
  <c r="G62" i="9"/>
  <c r="D66" i="10"/>
  <c r="Q61" i="2"/>
  <c r="E66" i="3"/>
  <c r="F66" i="3"/>
  <c r="E61" i="2"/>
  <c r="G62" i="2" s="1"/>
  <c r="G67" i="10" l="1"/>
  <c r="P66" i="3"/>
  <c r="F62" i="2"/>
  <c r="F62" i="9" s="1"/>
  <c r="H62" i="9" s="1"/>
  <c r="R61" i="2"/>
  <c r="D66" i="3"/>
  <c r="E67" i="10" l="1"/>
  <c r="R62" i="9"/>
  <c r="F67" i="10"/>
  <c r="E62" i="9"/>
  <c r="H62" i="2"/>
  <c r="G67" i="3"/>
  <c r="G63" i="9" l="1"/>
  <c r="D67" i="10"/>
  <c r="E67" i="3"/>
  <c r="R62" i="2"/>
  <c r="F67" i="3"/>
  <c r="E62" i="2"/>
  <c r="G63" i="2" s="1"/>
  <c r="G68" i="10" l="1"/>
  <c r="F63" i="2"/>
  <c r="F63" i="9" s="1"/>
  <c r="H63" i="9" s="1"/>
  <c r="D67" i="3"/>
  <c r="E68" i="10" l="1"/>
  <c r="R63" i="9"/>
  <c r="F68" i="10"/>
  <c r="E63" i="9"/>
  <c r="H63" i="2"/>
  <c r="G68" i="3"/>
  <c r="G64" i="9" l="1"/>
  <c r="D68" i="10"/>
  <c r="E68" i="3"/>
  <c r="R63" i="2"/>
  <c r="F68" i="3"/>
  <c r="E63" i="2"/>
  <c r="G64" i="2" s="1"/>
  <c r="G69" i="10" l="1"/>
  <c r="F64" i="2"/>
  <c r="F64" i="9" s="1"/>
  <c r="D68" i="3"/>
  <c r="F69" i="10" l="1"/>
  <c r="E64" i="9"/>
  <c r="H64" i="9"/>
  <c r="H64" i="2"/>
  <c r="G69" i="3"/>
  <c r="D69" i="10" l="1"/>
  <c r="G65" i="9"/>
  <c r="R64" i="9"/>
  <c r="E69" i="10"/>
  <c r="E69" i="3"/>
  <c r="R64" i="2"/>
  <c r="F69" i="3"/>
  <c r="E64" i="2"/>
  <c r="G65" i="2" s="1"/>
  <c r="G70" i="10" l="1"/>
  <c r="F65" i="2"/>
  <c r="F65" i="9" s="1"/>
  <c r="D69" i="3"/>
  <c r="F70" i="10" l="1"/>
  <c r="E65" i="9"/>
  <c r="H65" i="9"/>
  <c r="H65" i="2"/>
  <c r="G70" i="3"/>
  <c r="G66" i="9" l="1"/>
  <c r="D70" i="10"/>
  <c r="R65" i="9"/>
  <c r="E70" i="10"/>
  <c r="R65" i="2"/>
  <c r="E70" i="3"/>
  <c r="F70" i="3"/>
  <c r="E65" i="2"/>
  <c r="G66" i="2" s="1"/>
  <c r="G71" i="10" l="1"/>
  <c r="F66" i="2"/>
  <c r="F66" i="9" s="1"/>
  <c r="D70" i="3"/>
  <c r="F71" i="10" l="1"/>
  <c r="E66" i="9"/>
  <c r="H66" i="9"/>
  <c r="H66" i="2"/>
  <c r="G71" i="3"/>
  <c r="G67" i="9" l="1"/>
  <c r="D71" i="10"/>
  <c r="R66" i="9"/>
  <c r="E71" i="10"/>
  <c r="E71" i="3"/>
  <c r="R66" i="2"/>
  <c r="F71" i="3"/>
  <c r="E66" i="2"/>
  <c r="G67" i="2" s="1"/>
  <c r="G72" i="10" l="1"/>
  <c r="D71" i="3"/>
  <c r="F67" i="2" l="1"/>
  <c r="G72" i="3"/>
  <c r="H67" i="2" l="1"/>
  <c r="F67" i="9"/>
  <c r="F72" i="3"/>
  <c r="E67" i="2"/>
  <c r="G68" i="2" s="1"/>
  <c r="F72" i="10" l="1"/>
  <c r="E67" i="9"/>
  <c r="H67" i="9"/>
  <c r="F68" i="2"/>
  <c r="F68" i="9" s="1"/>
  <c r="F73" i="10" s="1"/>
  <c r="D72" i="3"/>
  <c r="E72" i="3"/>
  <c r="R67" i="2"/>
  <c r="E72" i="10" l="1"/>
  <c r="R67" i="9"/>
  <c r="D72" i="10"/>
  <c r="G68" i="9"/>
  <c r="E68" i="9"/>
  <c r="H68" i="2"/>
  <c r="G73" i="3"/>
  <c r="G73" i="10" l="1"/>
  <c r="H68" i="9"/>
  <c r="G69" i="9"/>
  <c r="D73" i="10"/>
  <c r="F73" i="3"/>
  <c r="E68" i="2"/>
  <c r="G69" i="2" s="1"/>
  <c r="R68" i="9" l="1"/>
  <c r="E73" i="10"/>
  <c r="G74" i="10"/>
  <c r="F69" i="2"/>
  <c r="F69" i="9" s="1"/>
  <c r="D73" i="3"/>
  <c r="R68" i="2"/>
  <c r="E73" i="3"/>
  <c r="F74" i="10" l="1"/>
  <c r="E69" i="9"/>
  <c r="H69" i="9"/>
  <c r="H69" i="2"/>
  <c r="G74" i="3"/>
  <c r="E74" i="10" l="1"/>
  <c r="R69" i="9"/>
  <c r="G70" i="9"/>
  <c r="D74" i="10"/>
  <c r="F74" i="3"/>
  <c r="E69" i="2"/>
  <c r="G70" i="2" s="1"/>
  <c r="G75" i="10" l="1"/>
  <c r="F70" i="2"/>
  <c r="F70" i="9" s="1"/>
  <c r="H70" i="9" s="1"/>
  <c r="D74" i="3"/>
  <c r="E74" i="3"/>
  <c r="R69" i="2"/>
  <c r="E75" i="10" l="1"/>
  <c r="R70" i="9"/>
  <c r="F75" i="10"/>
  <c r="E70" i="9"/>
  <c r="H70" i="2"/>
  <c r="G75" i="3"/>
  <c r="G71" i="9" l="1"/>
  <c r="D75" i="10"/>
  <c r="F75" i="3"/>
  <c r="E70" i="2"/>
  <c r="G71" i="2" s="1"/>
  <c r="G76" i="10" l="1"/>
  <c r="D75" i="3"/>
  <c r="E75" i="3"/>
  <c r="R70" i="2"/>
  <c r="F71" i="2" l="1"/>
  <c r="G76" i="3"/>
  <c r="H71" i="2" l="1"/>
  <c r="R71" i="2" s="1"/>
  <c r="F71" i="9"/>
  <c r="F76" i="3"/>
  <c r="E71" i="2"/>
  <c r="G72" i="2" s="1"/>
  <c r="E76" i="3" l="1"/>
  <c r="F76" i="10"/>
  <c r="E71" i="9"/>
  <c r="H71" i="9"/>
  <c r="F72" i="2"/>
  <c r="F72" i="9" s="1"/>
  <c r="F77" i="10" s="1"/>
  <c r="D76" i="3"/>
  <c r="R71" i="9" l="1"/>
  <c r="E76" i="10"/>
  <c r="G72" i="9"/>
  <c r="D76" i="10"/>
  <c r="E72" i="9"/>
  <c r="H72" i="2"/>
  <c r="G77" i="3"/>
  <c r="G77" i="10" l="1"/>
  <c r="H72" i="9"/>
  <c r="G73" i="9"/>
  <c r="D77" i="10"/>
  <c r="F77" i="3"/>
  <c r="E72" i="2"/>
  <c r="G73" i="2" s="1"/>
  <c r="G78" i="10" l="1"/>
  <c r="E77" i="10"/>
  <c r="R72" i="9"/>
  <c r="F73" i="2"/>
  <c r="F73" i="9" s="1"/>
  <c r="H73" i="9" s="1"/>
  <c r="D77" i="3"/>
  <c r="E77" i="3"/>
  <c r="R72" i="2"/>
  <c r="E78" i="10" l="1"/>
  <c r="R73" i="9"/>
  <c r="F78" i="10"/>
  <c r="E73" i="9"/>
  <c r="H73" i="2"/>
  <c r="G78" i="3"/>
  <c r="G74" i="9" l="1"/>
  <c r="D78" i="10"/>
  <c r="E78" i="3"/>
  <c r="R73" i="2"/>
  <c r="F78" i="3"/>
  <c r="E73" i="2"/>
  <c r="G74" i="2" s="1"/>
  <c r="G79" i="10" l="1"/>
  <c r="F74" i="2"/>
  <c r="F74" i="9" s="1"/>
  <c r="D78" i="3"/>
  <c r="F79" i="10" l="1"/>
  <c r="E74" i="9"/>
  <c r="H74" i="9"/>
  <c r="H74" i="2"/>
  <c r="G79" i="3"/>
  <c r="D79" i="10" l="1"/>
  <c r="G75" i="9"/>
  <c r="R74" i="9"/>
  <c r="E79" i="10"/>
  <c r="F79" i="3"/>
  <c r="E74" i="2"/>
  <c r="G75" i="2" s="1"/>
  <c r="G80" i="10" l="1"/>
  <c r="D79" i="3"/>
  <c r="R74" i="2"/>
  <c r="E79" i="3"/>
  <c r="F75" i="2" l="1"/>
  <c r="F75" i="9" s="1"/>
  <c r="G80" i="3"/>
  <c r="F80" i="10" l="1"/>
  <c r="E75" i="9"/>
  <c r="H75" i="9"/>
  <c r="H75" i="2"/>
  <c r="F80" i="3"/>
  <c r="E75" i="2"/>
  <c r="G76" i="2" s="1"/>
  <c r="E80" i="10" l="1"/>
  <c r="R75" i="9"/>
  <c r="D80" i="10"/>
  <c r="G76" i="9"/>
  <c r="E80" i="3"/>
  <c r="R75" i="2"/>
  <c r="F76" i="2"/>
  <c r="F76" i="9" s="1"/>
  <c r="F81" i="10" s="1"/>
  <c r="D80" i="3"/>
  <c r="E76" i="9" l="1"/>
  <c r="D81" i="10" s="1"/>
  <c r="G81" i="10"/>
  <c r="H76" i="9"/>
  <c r="H76" i="2"/>
  <c r="G81" i="3"/>
  <c r="G77" i="9" l="1"/>
  <c r="G82" i="10" s="1"/>
  <c r="E81" i="10"/>
  <c r="R76" i="9"/>
  <c r="F81" i="3"/>
  <c r="E76" i="2"/>
  <c r="G77" i="2" s="1"/>
  <c r="F77" i="2" l="1"/>
  <c r="F77" i="9" s="1"/>
  <c r="D81" i="3"/>
  <c r="E81" i="3"/>
  <c r="R76" i="2"/>
  <c r="F82" i="10" l="1"/>
  <c r="E77" i="9"/>
  <c r="H77" i="9"/>
  <c r="H77" i="2"/>
  <c r="G82" i="3"/>
  <c r="D82" i="10" l="1"/>
  <c r="G78" i="9"/>
  <c r="R77" i="9"/>
  <c r="E82" i="10"/>
  <c r="F82" i="3"/>
  <c r="E77" i="2"/>
  <c r="G78" i="2" s="1"/>
  <c r="G83" i="10" l="1"/>
  <c r="D82" i="3"/>
  <c r="E82" i="3"/>
  <c r="R77" i="2"/>
  <c r="F78" i="2" l="1"/>
  <c r="G83" i="3"/>
  <c r="H78" i="2" l="1"/>
  <c r="F78" i="9"/>
  <c r="F83" i="3"/>
  <c r="E78" i="2"/>
  <c r="G79" i="2" s="1"/>
  <c r="F83" i="10" l="1"/>
  <c r="E78" i="9"/>
  <c r="H78" i="9"/>
  <c r="F79" i="2"/>
  <c r="F79" i="9" s="1"/>
  <c r="F84" i="10" s="1"/>
  <c r="D83" i="3"/>
  <c r="R78" i="2"/>
  <c r="E83" i="3"/>
  <c r="E83" i="10" l="1"/>
  <c r="R78" i="9"/>
  <c r="G79" i="9"/>
  <c r="D83" i="10"/>
  <c r="E79" i="9"/>
  <c r="H79" i="2"/>
  <c r="G84" i="3"/>
  <c r="D84" i="10" l="1"/>
  <c r="G80" i="9"/>
  <c r="G84" i="10"/>
  <c r="H79" i="9"/>
  <c r="F84" i="3"/>
  <c r="E79" i="2"/>
  <c r="G80" i="2" s="1"/>
  <c r="R79" i="9" l="1"/>
  <c r="E84" i="10"/>
  <c r="G85" i="10"/>
  <c r="F80" i="2"/>
  <c r="F80" i="9" s="1"/>
  <c r="D84" i="3"/>
  <c r="E84" i="3"/>
  <c r="R79" i="2"/>
  <c r="F85" i="10" l="1"/>
  <c r="E80" i="9"/>
  <c r="H80" i="9"/>
  <c r="H80" i="2"/>
  <c r="G85" i="3"/>
  <c r="G81" i="9" l="1"/>
  <c r="D85" i="10"/>
  <c r="R80" i="9"/>
  <c r="E85" i="10"/>
  <c r="F85" i="3"/>
  <c r="E80" i="2"/>
  <c r="G81" i="2" s="1"/>
  <c r="G86" i="10" l="1"/>
  <c r="F81" i="2"/>
  <c r="F81" i="9" s="1"/>
  <c r="E81" i="9" s="1"/>
  <c r="D85" i="3"/>
  <c r="R80" i="2"/>
  <c r="E85" i="3"/>
  <c r="G82" i="9" l="1"/>
  <c r="H81" i="9"/>
  <c r="R81" i="9" s="1"/>
  <c r="F86" i="10"/>
  <c r="H81" i="2"/>
  <c r="G86" i="3"/>
  <c r="E86" i="10" l="1"/>
  <c r="D86" i="10"/>
  <c r="R81" i="2"/>
  <c r="E86" i="3"/>
  <c r="F86" i="3"/>
  <c r="E81" i="2"/>
  <c r="G82" i="2" l="1"/>
  <c r="G87" i="10"/>
  <c r="D86" i="3"/>
  <c r="F82" i="2" l="1"/>
  <c r="F82" i="9" s="1"/>
  <c r="G87" i="3"/>
  <c r="E82" i="9" l="1"/>
  <c r="H82" i="9"/>
  <c r="E82" i="2"/>
  <c r="H82" i="2"/>
  <c r="F87" i="3"/>
  <c r="G83" i="9" l="1"/>
  <c r="F87" i="10"/>
  <c r="G83" i="2"/>
  <c r="D87" i="3"/>
  <c r="R82" i="2"/>
  <c r="E87" i="3"/>
  <c r="F83" i="2" l="1"/>
  <c r="R82" i="9"/>
  <c r="E87" i="10"/>
  <c r="D87" i="10"/>
  <c r="G88" i="10"/>
  <c r="G88" i="3"/>
  <c r="H83" i="2" l="1"/>
  <c r="R83" i="2" s="1"/>
  <c r="F83" i="9"/>
  <c r="E83" i="2"/>
  <c r="F88" i="3"/>
  <c r="E88" i="3" l="1"/>
  <c r="E83" i="9"/>
  <c r="H83" i="9"/>
  <c r="G84" i="2"/>
  <c r="F88" i="10"/>
  <c r="D88" i="3"/>
  <c r="G84" i="9" l="1"/>
  <c r="G89" i="10" s="1"/>
  <c r="F84" i="2"/>
  <c r="F84" i="9" s="1"/>
  <c r="E84" i="9" s="1"/>
  <c r="E88" i="10"/>
  <c r="R83" i="9"/>
  <c r="D88" i="10"/>
  <c r="G89" i="3"/>
  <c r="H84" i="2" l="1"/>
  <c r="H84" i="9"/>
  <c r="G85" i="9"/>
  <c r="E84" i="2"/>
  <c r="F89" i="3"/>
  <c r="F19" i="2"/>
  <c r="F21" i="2" s="1"/>
  <c r="F89" i="10" l="1"/>
  <c r="F19" i="9"/>
  <c r="F21" i="9" s="1"/>
  <c r="G85" i="2"/>
  <c r="R84" i="2"/>
  <c r="P85" i="2" s="1"/>
  <c r="E89" i="3"/>
  <c r="D89" i="3"/>
  <c r="R84" i="9" l="1"/>
  <c r="E89" i="10"/>
  <c r="F85" i="2"/>
  <c r="D89" i="10"/>
  <c r="O90" i="3"/>
  <c r="G90" i="3"/>
  <c r="E85" i="2" l="1"/>
  <c r="G86" i="2" s="1"/>
  <c r="F85" i="9"/>
  <c r="G90" i="10"/>
  <c r="H85" i="2"/>
  <c r="F90" i="10"/>
  <c r="Q85" i="2"/>
  <c r="F90" i="3"/>
  <c r="E85" i="9" l="1"/>
  <c r="H85" i="9"/>
  <c r="E90" i="10" s="1"/>
  <c r="F86" i="2"/>
  <c r="H86" i="2" s="1"/>
  <c r="D90" i="10"/>
  <c r="P90" i="3"/>
  <c r="B35" i="5" s="1"/>
  <c r="B34" i="5" s="1"/>
  <c r="D90" i="3"/>
  <c r="R85" i="2"/>
  <c r="E90" i="3"/>
  <c r="R85" i="9" l="1"/>
  <c r="E86" i="2"/>
  <c r="G87" i="2" s="1"/>
  <c r="F86" i="9"/>
  <c r="G86" i="9"/>
  <c r="H86" i="9" s="1"/>
  <c r="E86" i="9"/>
  <c r="G91" i="3"/>
  <c r="G91" i="10" l="1"/>
  <c r="G87" i="9"/>
  <c r="F87" i="2"/>
  <c r="F91" i="10"/>
  <c r="F91" i="3"/>
  <c r="E87" i="2" l="1"/>
  <c r="G88" i="2" s="1"/>
  <c r="F87" i="9"/>
  <c r="E87" i="9" s="1"/>
  <c r="H87" i="9"/>
  <c r="H87" i="2"/>
  <c r="R86" i="9"/>
  <c r="E91" i="10"/>
  <c r="D91" i="10"/>
  <c r="D91" i="3"/>
  <c r="E91" i="3"/>
  <c r="R86" i="2"/>
  <c r="G88" i="9" l="1"/>
  <c r="F88" i="2"/>
  <c r="G92" i="10"/>
  <c r="G92" i="3"/>
  <c r="E88" i="2" l="1"/>
  <c r="G89" i="2" s="1"/>
  <c r="F88" i="9"/>
  <c r="E88" i="9" s="1"/>
  <c r="H88" i="2"/>
  <c r="F92" i="10"/>
  <c r="F92" i="3"/>
  <c r="H88" i="9" l="1"/>
  <c r="G89" i="9"/>
  <c r="F89" i="2"/>
  <c r="H89" i="2" s="1"/>
  <c r="R87" i="9"/>
  <c r="E92" i="10"/>
  <c r="D92" i="10"/>
  <c r="D92" i="3"/>
  <c r="E92" i="3"/>
  <c r="R87" i="2"/>
  <c r="E89" i="2" l="1"/>
  <c r="G90" i="2" s="1"/>
  <c r="F89" i="9"/>
  <c r="E89" i="9" s="1"/>
  <c r="G93" i="10"/>
  <c r="G93" i="3"/>
  <c r="H89" i="9" l="1"/>
  <c r="G90" i="9"/>
  <c r="F90" i="2"/>
  <c r="F93" i="10"/>
  <c r="F93" i="3"/>
  <c r="E90" i="2" l="1"/>
  <c r="F90" i="9"/>
  <c r="E90" i="9" s="1"/>
  <c r="H90" i="2"/>
  <c r="G91" i="2"/>
  <c r="E93" i="10"/>
  <c r="R88" i="9"/>
  <c r="D93" i="10"/>
  <c r="D93" i="3"/>
  <c r="R88" i="2"/>
  <c r="E93" i="3"/>
  <c r="H90" i="9" l="1"/>
  <c r="G91" i="9"/>
  <c r="F91" i="2"/>
  <c r="G94" i="10"/>
  <c r="G94" i="3"/>
  <c r="E91" i="2" l="1"/>
  <c r="G92" i="2" s="1"/>
  <c r="F91" i="9"/>
  <c r="E91" i="9" s="1"/>
  <c r="H91" i="2"/>
  <c r="F94" i="10"/>
  <c r="F94" i="3"/>
  <c r="H91" i="9" l="1"/>
  <c r="G92" i="9"/>
  <c r="F92" i="2"/>
  <c r="H92" i="2" s="1"/>
  <c r="R89" i="9"/>
  <c r="E94" i="10"/>
  <c r="D94" i="10"/>
  <c r="D94" i="3"/>
  <c r="R89" i="2"/>
  <c r="E94" i="3"/>
  <c r="E92" i="2" l="1"/>
  <c r="G93" i="2" s="1"/>
  <c r="F92" i="9"/>
  <c r="E92" i="9" s="1"/>
  <c r="G95" i="10"/>
  <c r="G95" i="3"/>
  <c r="H92" i="9" l="1"/>
  <c r="G93" i="9"/>
  <c r="F93" i="2"/>
  <c r="F95" i="10"/>
  <c r="F95" i="3"/>
  <c r="E93" i="2" l="1"/>
  <c r="F93" i="9"/>
  <c r="E93" i="9" s="1"/>
  <c r="H93" i="9"/>
  <c r="H93" i="2"/>
  <c r="G94" i="2"/>
  <c r="E95" i="10"/>
  <c r="R90" i="9"/>
  <c r="D95" i="10"/>
  <c r="R90" i="2"/>
  <c r="E95" i="3"/>
  <c r="D95" i="3"/>
  <c r="G94" i="9" l="1"/>
  <c r="F94" i="2"/>
  <c r="G96" i="10"/>
  <c r="G96" i="3"/>
  <c r="E94" i="2" l="1"/>
  <c r="F94" i="9"/>
  <c r="E94" i="9" s="1"/>
  <c r="G95" i="2"/>
  <c r="H94" i="2"/>
  <c r="F96" i="10"/>
  <c r="F96" i="3"/>
  <c r="H94" i="9" l="1"/>
  <c r="G95" i="9"/>
  <c r="F95" i="2"/>
  <c r="D96" i="10"/>
  <c r="R91" i="9"/>
  <c r="E96" i="10"/>
  <c r="R91" i="2"/>
  <c r="E96" i="3"/>
  <c r="D96" i="3"/>
  <c r="E95" i="2" l="1"/>
  <c r="G96" i="2" s="1"/>
  <c r="F95" i="9"/>
  <c r="E95" i="9" s="1"/>
  <c r="H95" i="2"/>
  <c r="G97" i="10"/>
  <c r="G97" i="3"/>
  <c r="G96" i="9" l="1"/>
  <c r="H95" i="9"/>
  <c r="F96" i="2"/>
  <c r="F97" i="10"/>
  <c r="F97" i="3"/>
  <c r="E96" i="2" l="1"/>
  <c r="G97" i="2" s="1"/>
  <c r="F96" i="9"/>
  <c r="E96" i="9" s="1"/>
  <c r="H96" i="9"/>
  <c r="H96" i="2"/>
  <c r="R92" i="9"/>
  <c r="E97" i="10"/>
  <c r="D97" i="10"/>
  <c r="D97" i="3"/>
  <c r="E97" i="3"/>
  <c r="R92" i="2"/>
  <c r="G97" i="9" l="1"/>
  <c r="F97" i="2"/>
  <c r="G98" i="10"/>
  <c r="G98" i="3"/>
  <c r="E97" i="2" l="1"/>
  <c r="F97" i="9"/>
  <c r="E97" i="9" s="1"/>
  <c r="H97" i="2"/>
  <c r="G98" i="2"/>
  <c r="F98" i="10"/>
  <c r="F98" i="3"/>
  <c r="H97" i="9" l="1"/>
  <c r="G98" i="9"/>
  <c r="F98" i="2"/>
  <c r="D98" i="10"/>
  <c r="E98" i="10"/>
  <c r="R93" i="9"/>
  <c r="R93" i="2"/>
  <c r="E98" i="3"/>
  <c r="D98" i="3"/>
  <c r="E98" i="2" l="1"/>
  <c r="F98" i="9"/>
  <c r="E98" i="9" s="1"/>
  <c r="H98" i="2"/>
  <c r="G99" i="2"/>
  <c r="G99" i="10"/>
  <c r="G99" i="3"/>
  <c r="G99" i="9" l="1"/>
  <c r="H98" i="9"/>
  <c r="F99" i="2"/>
  <c r="R94" i="9"/>
  <c r="E99" i="10"/>
  <c r="F99" i="10"/>
  <c r="F99" i="3"/>
  <c r="E99" i="2" l="1"/>
  <c r="G100" i="2" s="1"/>
  <c r="F99" i="9"/>
  <c r="E99" i="9" s="1"/>
  <c r="H99" i="2"/>
  <c r="D99" i="10"/>
  <c r="E99" i="3"/>
  <c r="R94" i="2"/>
  <c r="D99" i="3"/>
  <c r="H99" i="9" l="1"/>
  <c r="G100" i="9"/>
  <c r="F100" i="2"/>
  <c r="H100" i="2" s="1"/>
  <c r="G100" i="10"/>
  <c r="G100" i="3"/>
  <c r="E100" i="2" l="1"/>
  <c r="G101" i="2" s="1"/>
  <c r="F100" i="9"/>
  <c r="E100" i="9" s="1"/>
  <c r="R95" i="9"/>
  <c r="E100" i="10"/>
  <c r="F100" i="10"/>
  <c r="F100" i="3"/>
  <c r="G101" i="9" l="1"/>
  <c r="H100" i="9"/>
  <c r="F101" i="2"/>
  <c r="D100" i="10"/>
  <c r="D100" i="3"/>
  <c r="E100" i="3"/>
  <c r="R95" i="2"/>
  <c r="E101" i="2" l="1"/>
  <c r="G102" i="2" s="1"/>
  <c r="F101" i="9"/>
  <c r="E101" i="9" s="1"/>
  <c r="H101" i="2"/>
  <c r="G101" i="10"/>
  <c r="G101" i="3"/>
  <c r="G102" i="9" l="1"/>
  <c r="H101" i="9"/>
  <c r="F102" i="2"/>
  <c r="F101" i="10"/>
  <c r="F101" i="3"/>
  <c r="E102" i="2" l="1"/>
  <c r="F102" i="9"/>
  <c r="E102" i="9" s="1"/>
  <c r="H102" i="9"/>
  <c r="G103" i="2"/>
  <c r="H102" i="2"/>
  <c r="E101" i="10"/>
  <c r="R96" i="9"/>
  <c r="D101" i="10"/>
  <c r="E101" i="3"/>
  <c r="R96" i="2"/>
  <c r="D101" i="3"/>
  <c r="G103" i="9" l="1"/>
  <c r="F103" i="2"/>
  <c r="G102" i="10"/>
  <c r="G102" i="3"/>
  <c r="E103" i="2" l="1"/>
  <c r="G104" i="2" s="1"/>
  <c r="F103" i="9"/>
  <c r="E103" i="9" s="1"/>
  <c r="H103" i="2"/>
  <c r="F102" i="10"/>
  <c r="F102" i="3"/>
  <c r="H103" i="9" l="1"/>
  <c r="G104" i="9"/>
  <c r="F104" i="2"/>
  <c r="R97" i="9"/>
  <c r="E102" i="10"/>
  <c r="D102" i="10"/>
  <c r="E102" i="3"/>
  <c r="R97" i="2"/>
  <c r="D102" i="3"/>
  <c r="E104" i="2" l="1"/>
  <c r="G105" i="2" s="1"/>
  <c r="F104" i="9"/>
  <c r="E104" i="9" s="1"/>
  <c r="H104" i="2"/>
  <c r="G103" i="10"/>
  <c r="G103" i="3"/>
  <c r="G105" i="9" l="1"/>
  <c r="H104" i="9"/>
  <c r="F105" i="2"/>
  <c r="F103" i="10"/>
  <c r="F103" i="3"/>
  <c r="E105" i="2" l="1"/>
  <c r="G106" i="2" s="1"/>
  <c r="F105" i="9"/>
  <c r="E105" i="9" s="1"/>
  <c r="H105" i="9"/>
  <c r="H105" i="2"/>
  <c r="R98" i="9"/>
  <c r="E103" i="10"/>
  <c r="D103" i="10"/>
  <c r="E103" i="3"/>
  <c r="R98" i="2"/>
  <c r="D103" i="3"/>
  <c r="G106" i="9" l="1"/>
  <c r="F106" i="2"/>
  <c r="G104" i="10"/>
  <c r="G104" i="3"/>
  <c r="E106" i="2" l="1"/>
  <c r="G107" i="2" s="1"/>
  <c r="F106" i="9"/>
  <c r="E106" i="9" s="1"/>
  <c r="H106" i="2"/>
  <c r="F104" i="10"/>
  <c r="F104" i="3"/>
  <c r="H106" i="9" l="1"/>
  <c r="G107" i="9"/>
  <c r="F107" i="2"/>
  <c r="E104" i="10"/>
  <c r="R99" i="9"/>
  <c r="D104" i="10"/>
  <c r="D104" i="3"/>
  <c r="R99" i="2"/>
  <c r="E104" i="3"/>
  <c r="E107" i="2" l="1"/>
  <c r="G108" i="2" s="1"/>
  <c r="F107" i="9"/>
  <c r="E107" i="9" s="1"/>
  <c r="H107" i="2"/>
  <c r="G105" i="10"/>
  <c r="G105" i="3"/>
  <c r="G108" i="9" l="1"/>
  <c r="H107" i="9"/>
  <c r="F108" i="2"/>
  <c r="F105" i="10"/>
  <c r="F105" i="3"/>
  <c r="E108" i="2" l="1"/>
  <c r="G109" i="2" s="1"/>
  <c r="F108" i="9"/>
  <c r="E108" i="9" s="1"/>
  <c r="H108" i="9"/>
  <c r="H108" i="2"/>
  <c r="R100" i="9"/>
  <c r="E105" i="10"/>
  <c r="D105" i="10"/>
  <c r="R100" i="2"/>
  <c r="E105" i="3"/>
  <c r="D105" i="3"/>
  <c r="G109" i="9" l="1"/>
  <c r="F109" i="2"/>
  <c r="G106" i="10"/>
  <c r="G106" i="3"/>
  <c r="E109" i="2" l="1"/>
  <c r="G110" i="2" s="1"/>
  <c r="F109" i="9"/>
  <c r="E109" i="9" s="1"/>
  <c r="H109" i="2"/>
  <c r="F106" i="10"/>
  <c r="F106" i="3"/>
  <c r="G110" i="9" l="1"/>
  <c r="H109" i="9"/>
  <c r="F110" i="2"/>
  <c r="E106" i="10"/>
  <c r="R101" i="9"/>
  <c r="D106" i="10"/>
  <c r="D106" i="3"/>
  <c r="E106" i="3"/>
  <c r="R101" i="2"/>
  <c r="E110" i="2" l="1"/>
  <c r="G111" i="2" s="1"/>
  <c r="F110" i="9"/>
  <c r="E110" i="9" s="1"/>
  <c r="H110" i="2"/>
  <c r="G107" i="10"/>
  <c r="G107" i="3"/>
  <c r="G111" i="9" l="1"/>
  <c r="H110" i="9"/>
  <c r="F111" i="2"/>
  <c r="F107" i="10"/>
  <c r="F107" i="3"/>
  <c r="E111" i="2" l="1"/>
  <c r="G112" i="2" s="1"/>
  <c r="F111" i="9"/>
  <c r="E111" i="9" s="1"/>
  <c r="H111" i="2"/>
  <c r="R102" i="9"/>
  <c r="E107" i="10"/>
  <c r="D107" i="10"/>
  <c r="D107" i="3"/>
  <c r="E107" i="3"/>
  <c r="R102" i="2"/>
  <c r="H111" i="9" l="1"/>
  <c r="G112" i="9"/>
  <c r="F112" i="2"/>
  <c r="G108" i="10"/>
  <c r="G108" i="3"/>
  <c r="E112" i="2" l="1"/>
  <c r="G113" i="2" s="1"/>
  <c r="F112" i="9"/>
  <c r="E112" i="9" s="1"/>
  <c r="H112" i="2"/>
  <c r="F108" i="10"/>
  <c r="F108" i="3"/>
  <c r="H112" i="9" l="1"/>
  <c r="G113" i="9"/>
  <c r="F113" i="2"/>
  <c r="D108" i="10"/>
  <c r="E108" i="10"/>
  <c r="R103" i="9"/>
  <c r="R103" i="2"/>
  <c r="E108" i="3"/>
  <c r="D108" i="3"/>
  <c r="E113" i="2" l="1"/>
  <c r="F113" i="9"/>
  <c r="E113" i="9" s="1"/>
  <c r="H113" i="2"/>
  <c r="G114" i="2"/>
  <c r="G109" i="10"/>
  <c r="G109" i="3"/>
  <c r="G114" i="9" l="1"/>
  <c r="H113" i="9"/>
  <c r="F114" i="2"/>
  <c r="F109" i="10"/>
  <c r="F109" i="3"/>
  <c r="E114" i="2" l="1"/>
  <c r="F114" i="9"/>
  <c r="E114" i="9" s="1"/>
  <c r="H114" i="9"/>
  <c r="H114" i="2"/>
  <c r="G115" i="2"/>
  <c r="D109" i="10"/>
  <c r="E109" i="10"/>
  <c r="R104" i="9"/>
  <c r="E109" i="3"/>
  <c r="R104" i="2"/>
  <c r="D109" i="3"/>
  <c r="G115" i="9" l="1"/>
  <c r="F115" i="2"/>
  <c r="H115" i="2" s="1"/>
  <c r="G110" i="10"/>
  <c r="G110" i="3"/>
  <c r="E115" i="2" l="1"/>
  <c r="G116" i="2" s="1"/>
  <c r="F115" i="9"/>
  <c r="E115" i="9" s="1"/>
  <c r="F110" i="10"/>
  <c r="F110" i="3"/>
  <c r="G116" i="9" l="1"/>
  <c r="H115" i="9"/>
  <c r="F116" i="2"/>
  <c r="E110" i="10"/>
  <c r="R105" i="9"/>
  <c r="D110" i="10"/>
  <c r="E110" i="3"/>
  <c r="R105" i="2"/>
  <c r="D110" i="3"/>
  <c r="E116" i="2" l="1"/>
  <c r="G117" i="2" s="1"/>
  <c r="F116" i="9"/>
  <c r="E116" i="9" s="1"/>
  <c r="H116" i="2"/>
  <c r="G111" i="10"/>
  <c r="G111" i="3"/>
  <c r="G117" i="9" l="1"/>
  <c r="H116" i="9"/>
  <c r="F117" i="2"/>
  <c r="F111" i="10"/>
  <c r="F111" i="3"/>
  <c r="E117" i="2" l="1"/>
  <c r="F117" i="9"/>
  <c r="E117" i="9" s="1"/>
  <c r="G118" i="2"/>
  <c r="H117" i="2"/>
  <c r="E111" i="10"/>
  <c r="R106" i="9"/>
  <c r="D111" i="10"/>
  <c r="D111" i="3"/>
  <c r="E111" i="3"/>
  <c r="R106" i="2"/>
  <c r="H117" i="9" l="1"/>
  <c r="G118" i="9"/>
  <c r="F118" i="2"/>
  <c r="G112" i="10"/>
  <c r="G112" i="3"/>
  <c r="E118" i="2" l="1"/>
  <c r="G119" i="2" s="1"/>
  <c r="F118" i="9"/>
  <c r="E118" i="9" s="1"/>
  <c r="H118" i="9"/>
  <c r="H118" i="2"/>
  <c r="R107" i="9"/>
  <c r="E112" i="10"/>
  <c r="F112" i="10"/>
  <c r="F112" i="3"/>
  <c r="G119" i="9" l="1"/>
  <c r="F119" i="2"/>
  <c r="D112" i="10"/>
  <c r="D112" i="3"/>
  <c r="R107" i="2"/>
  <c r="E112" i="3"/>
  <c r="E119" i="2" l="1"/>
  <c r="F119" i="9"/>
  <c r="E119" i="9" s="1"/>
  <c r="H119" i="2"/>
  <c r="G120" i="2"/>
  <c r="G113" i="10"/>
  <c r="G113" i="3"/>
  <c r="G120" i="9" l="1"/>
  <c r="H119" i="9"/>
  <c r="F120" i="2"/>
  <c r="E113" i="10"/>
  <c r="R108" i="9"/>
  <c r="F113" i="10"/>
  <c r="F113" i="3"/>
  <c r="E120" i="2" l="1"/>
  <c r="G121" i="2" s="1"/>
  <c r="F120" i="9"/>
  <c r="E120" i="9" s="1"/>
  <c r="H120" i="2"/>
  <c r="D113" i="10"/>
  <c r="E113" i="3"/>
  <c r="R108" i="2"/>
  <c r="D113" i="3"/>
  <c r="G121" i="9" l="1"/>
  <c r="H120" i="9"/>
  <c r="F121" i="2"/>
  <c r="G114" i="10"/>
  <c r="G114" i="3"/>
  <c r="E121" i="2" l="1"/>
  <c r="F121" i="9"/>
  <c r="E121" i="9" s="1"/>
  <c r="H121" i="2"/>
  <c r="G122" i="2"/>
  <c r="F114" i="10"/>
  <c r="F114" i="3"/>
  <c r="G122" i="9" l="1"/>
  <c r="H121" i="9"/>
  <c r="F122" i="2"/>
  <c r="R109" i="9"/>
  <c r="E114" i="10"/>
  <c r="D114" i="10"/>
  <c r="R109" i="2"/>
  <c r="E114" i="3"/>
  <c r="D114" i="3"/>
  <c r="E122" i="2" l="1"/>
  <c r="G123" i="2" s="1"/>
  <c r="F122" i="9"/>
  <c r="E122" i="9" s="1"/>
  <c r="H122" i="2"/>
  <c r="G115" i="10"/>
  <c r="G115" i="3"/>
  <c r="H122" i="9" l="1"/>
  <c r="G123" i="9"/>
  <c r="F123" i="2"/>
  <c r="H123" i="2" s="1"/>
  <c r="F115" i="10"/>
  <c r="F115" i="3"/>
  <c r="E123" i="2" l="1"/>
  <c r="G124" i="2" s="1"/>
  <c r="F123" i="9"/>
  <c r="E123" i="9" s="1"/>
  <c r="H123" i="9"/>
  <c r="E115" i="10"/>
  <c r="R110" i="9"/>
  <c r="D115" i="10"/>
  <c r="D115" i="3"/>
  <c r="E115" i="3"/>
  <c r="R110" i="2"/>
  <c r="G124" i="9" l="1"/>
  <c r="F124" i="2"/>
  <c r="G116" i="10"/>
  <c r="G116" i="3"/>
  <c r="E124" i="2" l="1"/>
  <c r="G125" i="2" s="1"/>
  <c r="F124" i="9"/>
  <c r="E124" i="9" s="1"/>
  <c r="H124" i="2"/>
  <c r="F116" i="10"/>
  <c r="F116" i="3"/>
  <c r="G125" i="9" l="1"/>
  <c r="H124" i="9"/>
  <c r="F125" i="2"/>
  <c r="D116" i="10"/>
  <c r="E116" i="10"/>
  <c r="R111" i="9"/>
  <c r="D116" i="3"/>
  <c r="E116" i="3"/>
  <c r="R111" i="2"/>
  <c r="E125" i="2" l="1"/>
  <c r="F125" i="9"/>
  <c r="E125" i="9" s="1"/>
  <c r="H125" i="2"/>
  <c r="G126" i="2"/>
  <c r="G117" i="10"/>
  <c r="G117" i="3"/>
  <c r="G126" i="9" l="1"/>
  <c r="H125" i="9"/>
  <c r="F126" i="2"/>
  <c r="F117" i="10"/>
  <c r="F117" i="3"/>
  <c r="E126" i="2" l="1"/>
  <c r="F126" i="9"/>
  <c r="E126" i="9" s="1"/>
  <c r="H126" i="2"/>
  <c r="G127" i="2"/>
  <c r="D117" i="10"/>
  <c r="E117" i="10"/>
  <c r="R112" i="9"/>
  <c r="R112" i="2"/>
  <c r="E117" i="3"/>
  <c r="D117" i="3"/>
  <c r="H126" i="9" l="1"/>
  <c r="G127" i="9"/>
  <c r="F127" i="2"/>
  <c r="G118" i="10"/>
  <c r="G118" i="3"/>
  <c r="E127" i="2" l="1"/>
  <c r="G128" i="2" s="1"/>
  <c r="F127" i="9"/>
  <c r="E127" i="9" s="1"/>
  <c r="H127" i="2"/>
  <c r="F118" i="10"/>
  <c r="F118" i="3"/>
  <c r="G128" i="9" l="1"/>
  <c r="H127" i="9"/>
  <c r="F128" i="2"/>
  <c r="H128" i="2" s="1"/>
  <c r="E118" i="10"/>
  <c r="R113" i="9"/>
  <c r="D118" i="10"/>
  <c r="R113" i="2"/>
  <c r="E118" i="3"/>
  <c r="D118" i="3"/>
  <c r="E128" i="2" l="1"/>
  <c r="F128" i="9"/>
  <c r="E128" i="9" s="1"/>
  <c r="G129" i="2"/>
  <c r="G119" i="10"/>
  <c r="G119" i="3"/>
  <c r="G129" i="9" l="1"/>
  <c r="H128" i="9"/>
  <c r="F129" i="2"/>
  <c r="F119" i="10"/>
  <c r="F119" i="3"/>
  <c r="E129" i="2" l="1"/>
  <c r="F129" i="9"/>
  <c r="E129" i="9" s="1"/>
  <c r="H129" i="2"/>
  <c r="G130" i="2"/>
  <c r="E119" i="10"/>
  <c r="R114" i="9"/>
  <c r="D119" i="10"/>
  <c r="D119" i="3"/>
  <c r="E119" i="3"/>
  <c r="R114" i="2"/>
  <c r="H129" i="9" l="1"/>
  <c r="G130" i="9"/>
  <c r="F130" i="2"/>
  <c r="G120" i="10"/>
  <c r="G120" i="3"/>
  <c r="E130" i="2" l="1"/>
  <c r="F130" i="9"/>
  <c r="E130" i="9" s="1"/>
  <c r="H130" i="2"/>
  <c r="G131" i="2"/>
  <c r="F120" i="10"/>
  <c r="F120" i="3"/>
  <c r="H130" i="9" l="1"/>
  <c r="G131" i="9"/>
  <c r="F131" i="2"/>
  <c r="E120" i="10"/>
  <c r="R115" i="9"/>
  <c r="D120" i="10"/>
  <c r="R115" i="2"/>
  <c r="E120" i="3"/>
  <c r="D120" i="3"/>
  <c r="E131" i="2" l="1"/>
  <c r="F131" i="9"/>
  <c r="E131" i="9" s="1"/>
  <c r="H131" i="2"/>
  <c r="G132" i="2"/>
  <c r="G121" i="10"/>
  <c r="G121" i="3"/>
  <c r="G132" i="9" l="1"/>
  <c r="H131" i="9"/>
  <c r="F132" i="2"/>
  <c r="F121" i="10"/>
  <c r="F121" i="3"/>
  <c r="E132" i="2" l="1"/>
  <c r="F132" i="9"/>
  <c r="E132" i="9" s="1"/>
  <c r="G133" i="2"/>
  <c r="H132" i="2"/>
  <c r="D121" i="10"/>
  <c r="E121" i="10"/>
  <c r="R116" i="9"/>
  <c r="R116" i="2"/>
  <c r="E121" i="3"/>
  <c r="D121" i="3"/>
  <c r="H132" i="9" l="1"/>
  <c r="G133" i="9"/>
  <c r="F133" i="2"/>
  <c r="G122" i="10"/>
  <c r="G122" i="3"/>
  <c r="E133" i="2" l="1"/>
  <c r="G134" i="2" s="1"/>
  <c r="F133" i="9"/>
  <c r="E133" i="9" s="1"/>
  <c r="H133" i="2"/>
  <c r="F122" i="10"/>
  <c r="F122" i="3"/>
  <c r="H133" i="9" l="1"/>
  <c r="G134" i="9"/>
  <c r="F134" i="2"/>
  <c r="E122" i="10"/>
  <c r="R117" i="9"/>
  <c r="D122" i="10"/>
  <c r="D122" i="3"/>
  <c r="R117" i="2"/>
  <c r="E122" i="3"/>
  <c r="E134" i="2" l="1"/>
  <c r="G135" i="2" s="1"/>
  <c r="F134" i="9"/>
  <c r="E134" i="9" s="1"/>
  <c r="H134" i="2"/>
  <c r="G123" i="10"/>
  <c r="G123" i="3"/>
  <c r="G135" i="9" l="1"/>
  <c r="H134" i="9"/>
  <c r="F135" i="2"/>
  <c r="F123" i="10"/>
  <c r="F123" i="3"/>
  <c r="E135" i="2" l="1"/>
  <c r="G136" i="2" s="1"/>
  <c r="F135" i="9"/>
  <c r="E135" i="9" s="1"/>
  <c r="H135" i="2"/>
  <c r="R118" i="9"/>
  <c r="E123" i="10"/>
  <c r="D123" i="10"/>
  <c r="R118" i="2"/>
  <c r="E123" i="3"/>
  <c r="D123" i="3"/>
  <c r="H135" i="9" l="1"/>
  <c r="G136" i="9"/>
  <c r="F136" i="2"/>
  <c r="G124" i="10"/>
  <c r="G124" i="3"/>
  <c r="E136" i="2" l="1"/>
  <c r="F136" i="9"/>
  <c r="E136" i="9" s="1"/>
  <c r="G137" i="2"/>
  <c r="H136" i="2"/>
  <c r="F124" i="10"/>
  <c r="F124" i="3"/>
  <c r="H136" i="9" l="1"/>
  <c r="G137" i="9"/>
  <c r="F137" i="2"/>
  <c r="E124" i="10"/>
  <c r="R119" i="9"/>
  <c r="D124" i="10"/>
  <c r="D124" i="3"/>
  <c r="R119" i="2"/>
  <c r="E124" i="3"/>
  <c r="E137" i="2" l="1"/>
  <c r="G138" i="2" s="1"/>
  <c r="F137" i="9"/>
  <c r="E137" i="9" s="1"/>
  <c r="H137" i="2"/>
  <c r="G125" i="10"/>
  <c r="G125" i="3"/>
  <c r="G138" i="9" l="1"/>
  <c r="H137" i="9"/>
  <c r="F138" i="2"/>
  <c r="F125" i="10"/>
  <c r="F125" i="3"/>
  <c r="E138" i="2" l="1"/>
  <c r="F138" i="9"/>
  <c r="E138" i="9" s="1"/>
  <c r="H138" i="2"/>
  <c r="G139" i="2"/>
  <c r="R120" i="9"/>
  <c r="E125" i="10"/>
  <c r="D125" i="10"/>
  <c r="R120" i="2"/>
  <c r="E125" i="3"/>
  <c r="D125" i="3"/>
  <c r="G139" i="9" l="1"/>
  <c r="H138" i="9"/>
  <c r="F139" i="2"/>
  <c r="G126" i="10"/>
  <c r="G126" i="3"/>
  <c r="E139" i="2" l="1"/>
  <c r="F139" i="9"/>
  <c r="E139" i="9" s="1"/>
  <c r="H139" i="2"/>
  <c r="G140" i="2"/>
  <c r="F126" i="10"/>
  <c r="F126" i="3"/>
  <c r="H139" i="9" l="1"/>
  <c r="G140" i="9"/>
  <c r="F140" i="2"/>
  <c r="E126" i="10"/>
  <c r="R121" i="9"/>
  <c r="D126" i="10"/>
  <c r="D126" i="3"/>
  <c r="E126" i="3"/>
  <c r="R121" i="2"/>
  <c r="E140" i="2" l="1"/>
  <c r="F140" i="9"/>
  <c r="E140" i="9" s="1"/>
  <c r="H140" i="2"/>
  <c r="G141" i="2"/>
  <c r="G127" i="10"/>
  <c r="G127" i="3"/>
  <c r="G141" i="9" l="1"/>
  <c r="H140" i="9"/>
  <c r="F141" i="2"/>
  <c r="F127" i="10"/>
  <c r="F127" i="3"/>
  <c r="E141" i="2" l="1"/>
  <c r="G142" i="2" s="1"/>
  <c r="F141" i="9"/>
  <c r="E141" i="9" s="1"/>
  <c r="H141" i="2"/>
  <c r="R122" i="9"/>
  <c r="E127" i="10"/>
  <c r="D127" i="10"/>
  <c r="D127" i="3"/>
  <c r="R122" i="2"/>
  <c r="E127" i="3"/>
  <c r="H141" i="9" l="1"/>
  <c r="G142" i="9"/>
  <c r="F142" i="2"/>
  <c r="G128" i="10"/>
  <c r="G128" i="3"/>
  <c r="E142" i="2" l="1"/>
  <c r="G143" i="2" s="1"/>
  <c r="F142" i="9"/>
  <c r="E142" i="9" s="1"/>
  <c r="H142" i="2"/>
  <c r="F128" i="10"/>
  <c r="F128" i="3"/>
  <c r="H142" i="9" l="1"/>
  <c r="G143" i="9"/>
  <c r="F143" i="2"/>
  <c r="E128" i="10"/>
  <c r="R123" i="9"/>
  <c r="D128" i="10"/>
  <c r="E128" i="3"/>
  <c r="R123" i="2"/>
  <c r="D128" i="3"/>
  <c r="E143" i="2" l="1"/>
  <c r="G144" i="2" s="1"/>
  <c r="F143" i="9"/>
  <c r="E143" i="9" s="1"/>
  <c r="H143" i="2"/>
  <c r="G129" i="10"/>
  <c r="G129" i="3"/>
  <c r="H143" i="9" l="1"/>
  <c r="G144" i="9"/>
  <c r="F144" i="2"/>
  <c r="F129" i="10"/>
  <c r="F129" i="3"/>
  <c r="E144" i="2" l="1"/>
  <c r="F144" i="9"/>
  <c r="E144" i="9" s="1"/>
  <c r="G145" i="2"/>
  <c r="H144" i="2"/>
  <c r="E129" i="10"/>
  <c r="R124" i="9"/>
  <c r="D129" i="10"/>
  <c r="D129" i="3"/>
  <c r="R124" i="2"/>
  <c r="E129" i="3"/>
  <c r="H144" i="9" l="1"/>
  <c r="G145" i="9"/>
  <c r="F145" i="2"/>
  <c r="G130" i="10"/>
  <c r="G130" i="3"/>
  <c r="E145" i="2" l="1"/>
  <c r="F145" i="9"/>
  <c r="E145" i="9" s="1"/>
  <c r="H145" i="2"/>
  <c r="G146" i="2"/>
  <c r="F130" i="10"/>
  <c r="F130" i="3"/>
  <c r="H145" i="9" l="1"/>
  <c r="G146" i="9"/>
  <c r="F146" i="2"/>
  <c r="E130" i="10"/>
  <c r="R125" i="9"/>
  <c r="D130" i="10"/>
  <c r="D130" i="3"/>
  <c r="E130" i="3"/>
  <c r="R125" i="2"/>
  <c r="E146" i="2" l="1"/>
  <c r="F146" i="9"/>
  <c r="E146" i="9" s="1"/>
  <c r="H146" i="2"/>
  <c r="G147" i="2"/>
  <c r="G131" i="10"/>
  <c r="G131" i="3"/>
  <c r="G147" i="9" l="1"/>
  <c r="H146" i="9"/>
  <c r="F147" i="2"/>
  <c r="F131" i="10"/>
  <c r="F131" i="3"/>
  <c r="E147" i="2" l="1"/>
  <c r="G148" i="2" s="1"/>
  <c r="F147" i="9"/>
  <c r="E147" i="9" s="1"/>
  <c r="H147" i="2"/>
  <c r="R126" i="9"/>
  <c r="E131" i="10"/>
  <c r="D131" i="10"/>
  <c r="D131" i="3"/>
  <c r="R126" i="2"/>
  <c r="E131" i="3"/>
  <c r="H147" i="9" l="1"/>
  <c r="G148" i="9"/>
  <c r="F148" i="2"/>
  <c r="G132" i="10"/>
  <c r="G132" i="3"/>
  <c r="E148" i="2" l="1"/>
  <c r="G149" i="2" s="1"/>
  <c r="F148" i="9"/>
  <c r="E148" i="9" s="1"/>
  <c r="H148" i="2"/>
  <c r="F132" i="10"/>
  <c r="F132" i="3"/>
  <c r="H148" i="9" l="1"/>
  <c r="G149" i="9"/>
  <c r="F149" i="2"/>
  <c r="E132" i="10"/>
  <c r="R127" i="9"/>
  <c r="D132" i="10"/>
  <c r="D132" i="3"/>
  <c r="E132" i="3"/>
  <c r="R127" i="2"/>
  <c r="E149" i="2" l="1"/>
  <c r="G150" i="2" s="1"/>
  <c r="F149" i="9"/>
  <c r="E149" i="9" s="1"/>
  <c r="H149" i="2"/>
  <c r="G133" i="10"/>
  <c r="G133" i="3"/>
  <c r="G150" i="9" l="1"/>
  <c r="H149" i="9"/>
  <c r="F150" i="2"/>
  <c r="F133" i="10"/>
  <c r="F133" i="3"/>
  <c r="E150" i="2" l="1"/>
  <c r="F150" i="9"/>
  <c r="E150" i="9" s="1"/>
  <c r="H150" i="9"/>
  <c r="H150" i="2"/>
  <c r="G151" i="2"/>
  <c r="R128" i="9"/>
  <c r="E133" i="10"/>
  <c r="D133" i="10"/>
  <c r="E133" i="3"/>
  <c r="R128" i="2"/>
  <c r="D133" i="3"/>
  <c r="G151" i="9" l="1"/>
  <c r="F151" i="2"/>
  <c r="G134" i="10"/>
  <c r="G134" i="3"/>
  <c r="E151" i="2" l="1"/>
  <c r="F151" i="9"/>
  <c r="E151" i="9" s="1"/>
  <c r="H151" i="2"/>
  <c r="G152" i="2"/>
  <c r="R129" i="9"/>
  <c r="E134" i="10"/>
  <c r="F134" i="10"/>
  <c r="F134" i="3"/>
  <c r="G152" i="9" l="1"/>
  <c r="H151" i="9"/>
  <c r="F152" i="2"/>
  <c r="D134" i="10"/>
  <c r="D134" i="3"/>
  <c r="R129" i="2"/>
  <c r="E134" i="3"/>
  <c r="E152" i="2" l="1"/>
  <c r="G153" i="2" s="1"/>
  <c r="F152" i="9"/>
  <c r="E152" i="9" s="1"/>
  <c r="H152" i="2"/>
  <c r="G135" i="10"/>
  <c r="G135" i="3"/>
  <c r="H152" i="9" l="1"/>
  <c r="G153" i="9"/>
  <c r="F153" i="2"/>
  <c r="F135" i="10"/>
  <c r="F135" i="3"/>
  <c r="E153" i="2" l="1"/>
  <c r="F153" i="9"/>
  <c r="E153" i="9" s="1"/>
  <c r="H153" i="2"/>
  <c r="G154" i="2"/>
  <c r="E135" i="10"/>
  <c r="R130" i="9"/>
  <c r="D135" i="10"/>
  <c r="R130" i="2"/>
  <c r="E135" i="3"/>
  <c r="D135" i="3"/>
  <c r="G154" i="9" l="1"/>
  <c r="H153" i="9"/>
  <c r="F154" i="2"/>
  <c r="G136" i="10"/>
  <c r="G136" i="3"/>
  <c r="E154" i="2" l="1"/>
  <c r="F154" i="9"/>
  <c r="E154" i="9" s="1"/>
  <c r="H154" i="2"/>
  <c r="G155" i="2"/>
  <c r="F136" i="10"/>
  <c r="F136" i="3"/>
  <c r="G155" i="9" l="1"/>
  <c r="H154" i="9"/>
  <c r="F155" i="2"/>
  <c r="E136" i="10"/>
  <c r="R131" i="9"/>
  <c r="D136" i="10"/>
  <c r="R131" i="2"/>
  <c r="E136" i="3"/>
  <c r="D136" i="3"/>
  <c r="E155" i="2" l="1"/>
  <c r="G156" i="2" s="1"/>
  <c r="F155" i="9"/>
  <c r="E155" i="9" s="1"/>
  <c r="H155" i="2"/>
  <c r="G137" i="10"/>
  <c r="G137" i="3"/>
  <c r="G156" i="9" l="1"/>
  <c r="H155" i="9"/>
  <c r="F156" i="2"/>
  <c r="F137" i="10"/>
  <c r="F137" i="3"/>
  <c r="E156" i="2" l="1"/>
  <c r="G157" i="2" s="1"/>
  <c r="F156" i="9"/>
  <c r="E156" i="9" s="1"/>
  <c r="H156" i="2"/>
  <c r="E137" i="10"/>
  <c r="R132" i="9"/>
  <c r="D137" i="10"/>
  <c r="E137" i="3"/>
  <c r="R132" i="2"/>
  <c r="D137" i="3"/>
  <c r="G157" i="9" l="1"/>
  <c r="H156" i="9"/>
  <c r="F157" i="2"/>
  <c r="H157" i="2" s="1"/>
  <c r="G138" i="10"/>
  <c r="G138" i="3"/>
  <c r="E157" i="2" l="1"/>
  <c r="G158" i="2" s="1"/>
  <c r="F157" i="9"/>
  <c r="E157" i="9" s="1"/>
  <c r="F138" i="10"/>
  <c r="F138" i="3"/>
  <c r="G158" i="9" l="1"/>
  <c r="H157" i="9"/>
  <c r="F158" i="2"/>
  <c r="E138" i="10"/>
  <c r="R133" i="9"/>
  <c r="D138" i="10"/>
  <c r="D138" i="3"/>
  <c r="E138" i="3"/>
  <c r="R133" i="2"/>
  <c r="E158" i="2" l="1"/>
  <c r="G159" i="2" s="1"/>
  <c r="F158" i="9"/>
  <c r="E158" i="9" s="1"/>
  <c r="H158" i="2"/>
  <c r="G139" i="10"/>
  <c r="G139" i="3"/>
  <c r="H158" i="9" l="1"/>
  <c r="G159" i="9"/>
  <c r="F159" i="2"/>
  <c r="F139" i="10"/>
  <c r="F139" i="3"/>
  <c r="E159" i="2" l="1"/>
  <c r="F159" i="9"/>
  <c r="E159" i="9" s="1"/>
  <c r="H159" i="2"/>
  <c r="G160" i="2"/>
  <c r="R134" i="9"/>
  <c r="E139" i="10"/>
  <c r="D139" i="10"/>
  <c r="E139" i="3"/>
  <c r="R134" i="2"/>
  <c r="D139" i="3"/>
  <c r="G160" i="9" l="1"/>
  <c r="H159" i="9"/>
  <c r="F160" i="2"/>
  <c r="G140" i="10"/>
  <c r="G140" i="3"/>
  <c r="E160" i="2" l="1"/>
  <c r="G161" i="2" s="1"/>
  <c r="F160" i="9"/>
  <c r="E160" i="9" s="1"/>
  <c r="H160" i="2"/>
  <c r="F140" i="10"/>
  <c r="F140" i="3"/>
  <c r="G161" i="9" l="1"/>
  <c r="H160" i="9"/>
  <c r="F161" i="2"/>
  <c r="E140" i="10"/>
  <c r="R135" i="9"/>
  <c r="D140" i="10"/>
  <c r="R135" i="2"/>
  <c r="E140" i="3"/>
  <c r="D140" i="3"/>
  <c r="E161" i="2" l="1"/>
  <c r="G162" i="2" s="1"/>
  <c r="F161" i="9"/>
  <c r="E161" i="9" s="1"/>
  <c r="H161" i="2"/>
  <c r="G141" i="10"/>
  <c r="G141" i="3"/>
  <c r="H161" i="9" l="1"/>
  <c r="G162" i="9"/>
  <c r="F162" i="2"/>
  <c r="F141" i="10"/>
  <c r="F141" i="3"/>
  <c r="E162" i="2" l="1"/>
  <c r="G163" i="2" s="1"/>
  <c r="F162" i="9"/>
  <c r="E162" i="9" s="1"/>
  <c r="H162" i="2"/>
  <c r="E141" i="10"/>
  <c r="R136" i="9"/>
  <c r="D141" i="10"/>
  <c r="D141" i="3"/>
  <c r="E141" i="3"/>
  <c r="R136" i="2"/>
  <c r="G163" i="9" l="1"/>
  <c r="H162" i="9"/>
  <c r="F163" i="2"/>
  <c r="G142" i="10"/>
  <c r="G142" i="3"/>
  <c r="E163" i="2" l="1"/>
  <c r="G164" i="2" s="1"/>
  <c r="F163" i="9"/>
  <c r="E163" i="9" s="1"/>
  <c r="H163" i="2"/>
  <c r="F142" i="10"/>
  <c r="F142" i="3"/>
  <c r="H163" i="9" l="1"/>
  <c r="G164" i="9"/>
  <c r="F164" i="2"/>
  <c r="E142" i="10"/>
  <c r="R137" i="9"/>
  <c r="D142" i="10"/>
  <c r="R137" i="2"/>
  <c r="E142" i="3"/>
  <c r="D142" i="3"/>
  <c r="E164" i="2" l="1"/>
  <c r="F164" i="9"/>
  <c r="E164" i="9" s="1"/>
  <c r="H164" i="2"/>
  <c r="G165" i="2"/>
  <c r="G143" i="10"/>
  <c r="G143" i="3"/>
  <c r="G165" i="9" l="1"/>
  <c r="H164" i="9"/>
  <c r="F165" i="2"/>
  <c r="F143" i="10"/>
  <c r="E143" i="3"/>
  <c r="F143" i="3"/>
  <c r="E165" i="2" l="1"/>
  <c r="F165" i="9"/>
  <c r="E165" i="9" s="1"/>
  <c r="H165" i="9"/>
  <c r="H165" i="2"/>
  <c r="G166" i="2"/>
  <c r="R138" i="9"/>
  <c r="E143" i="10"/>
  <c r="D143" i="10"/>
  <c r="R138" i="2"/>
  <c r="D143" i="3"/>
  <c r="G166" i="9" l="1"/>
  <c r="F166" i="2"/>
  <c r="G144" i="10"/>
  <c r="G144" i="3"/>
  <c r="E166" i="2" l="1"/>
  <c r="G167" i="2" s="1"/>
  <c r="F166" i="9"/>
  <c r="E166" i="9" s="1"/>
  <c r="H166" i="2"/>
  <c r="F144" i="10"/>
  <c r="F144" i="3"/>
  <c r="G167" i="9" l="1"/>
  <c r="H166" i="9"/>
  <c r="F167" i="2"/>
  <c r="D144" i="10"/>
  <c r="E144" i="10"/>
  <c r="R139" i="9"/>
  <c r="D144" i="3"/>
  <c r="R139" i="2"/>
  <c r="E144" i="3"/>
  <c r="E167" i="2" l="1"/>
  <c r="F167" i="9"/>
  <c r="E167" i="9" s="1"/>
  <c r="H167" i="2"/>
  <c r="G168" i="2"/>
  <c r="G145" i="10"/>
  <c r="G145" i="3"/>
  <c r="G168" i="9" l="1"/>
  <c r="H167" i="9"/>
  <c r="F168" i="2"/>
  <c r="F145" i="10"/>
  <c r="F145" i="3"/>
  <c r="E168" i="2" l="1"/>
  <c r="G169" i="2" s="1"/>
  <c r="F168" i="9"/>
  <c r="E168" i="9" s="1"/>
  <c r="H168" i="2"/>
  <c r="R140" i="9"/>
  <c r="E145" i="10"/>
  <c r="D145" i="10"/>
  <c r="E145" i="3"/>
  <c r="R140" i="2"/>
  <c r="D145" i="3"/>
  <c r="G169" i="9" l="1"/>
  <c r="H168" i="9"/>
  <c r="F169" i="2"/>
  <c r="H169" i="2" s="1"/>
  <c r="G146" i="10"/>
  <c r="G146" i="3"/>
  <c r="E169" i="2" l="1"/>
  <c r="G170" i="2" s="1"/>
  <c r="F169" i="9"/>
  <c r="E169" i="9" s="1"/>
  <c r="F146" i="10"/>
  <c r="F146" i="3"/>
  <c r="G170" i="9" l="1"/>
  <c r="H169" i="9"/>
  <c r="F170" i="2"/>
  <c r="E146" i="10"/>
  <c r="R141" i="9"/>
  <c r="D146" i="10"/>
  <c r="R141" i="2"/>
  <c r="E146" i="3"/>
  <c r="D146" i="3"/>
  <c r="E170" i="2" l="1"/>
  <c r="G171" i="2" s="1"/>
  <c r="F170" i="9"/>
  <c r="E170" i="9" s="1"/>
  <c r="H170" i="2"/>
  <c r="G147" i="10"/>
  <c r="G147" i="3"/>
  <c r="G171" i="9" l="1"/>
  <c r="H170" i="9"/>
  <c r="F171" i="2"/>
  <c r="F147" i="10"/>
  <c r="F147" i="3"/>
  <c r="E171" i="2" l="1"/>
  <c r="G172" i="2" s="1"/>
  <c r="F171" i="9"/>
  <c r="E171" i="9" s="1"/>
  <c r="H171" i="2"/>
  <c r="E147" i="10"/>
  <c r="R142" i="9"/>
  <c r="D147" i="10"/>
  <c r="E147" i="3"/>
  <c r="R142" i="2"/>
  <c r="D147" i="3"/>
  <c r="H171" i="9" l="1"/>
  <c r="G172" i="9"/>
  <c r="F172" i="2"/>
  <c r="G148" i="10"/>
  <c r="G148" i="3"/>
  <c r="E172" i="2" l="1"/>
  <c r="F172" i="9"/>
  <c r="E172" i="9" s="1"/>
  <c r="H172" i="2"/>
  <c r="G173" i="2"/>
  <c r="F148" i="10"/>
  <c r="F148" i="3"/>
  <c r="G173" i="9" l="1"/>
  <c r="H172" i="9"/>
  <c r="F173" i="2"/>
  <c r="E148" i="10"/>
  <c r="R143" i="9"/>
  <c r="D148" i="10"/>
  <c r="E148" i="3"/>
  <c r="R143" i="2"/>
  <c r="D148" i="3"/>
  <c r="E173" i="2" l="1"/>
  <c r="F173" i="9"/>
  <c r="E173" i="9" s="1"/>
  <c r="H173" i="2"/>
  <c r="G174" i="2"/>
  <c r="G149" i="10"/>
  <c r="G149" i="3"/>
  <c r="G174" i="9" l="1"/>
  <c r="H173" i="9"/>
  <c r="F174" i="2"/>
  <c r="F149" i="10"/>
  <c r="F149" i="3"/>
  <c r="E174" i="2" l="1"/>
  <c r="F174" i="9"/>
  <c r="E174" i="9" s="1"/>
  <c r="H174" i="2"/>
  <c r="G175" i="2"/>
  <c r="E149" i="10"/>
  <c r="R144" i="9"/>
  <c r="D149" i="10"/>
  <c r="R144" i="2"/>
  <c r="P145" i="2" s="1"/>
  <c r="E149" i="3"/>
  <c r="D149" i="3"/>
  <c r="H174" i="9" l="1"/>
  <c r="G175" i="9"/>
  <c r="F175" i="2"/>
  <c r="G150" i="10"/>
  <c r="O150" i="3"/>
  <c r="G150" i="3"/>
  <c r="E175" i="2" l="1"/>
  <c r="G176" i="2" s="1"/>
  <c r="F175" i="9"/>
  <c r="E175" i="9" s="1"/>
  <c r="H175" i="2"/>
  <c r="F150" i="10"/>
  <c r="Q145" i="2"/>
  <c r="P150" i="3" s="1"/>
  <c r="F150" i="3"/>
  <c r="G176" i="9" l="1"/>
  <c r="H175" i="9"/>
  <c r="F176" i="2"/>
  <c r="R145" i="9"/>
  <c r="E150" i="10"/>
  <c r="D150" i="10"/>
  <c r="E150" i="3"/>
  <c r="R145" i="2"/>
  <c r="D150" i="3"/>
  <c r="E176" i="2" l="1"/>
  <c r="F176" i="9"/>
  <c r="E176" i="9" s="1"/>
  <c r="H176" i="2"/>
  <c r="G177" i="2"/>
  <c r="G151" i="10"/>
  <c r="G151" i="3"/>
  <c r="G177" i="9" l="1"/>
  <c r="H176" i="9"/>
  <c r="F177" i="2"/>
  <c r="F151" i="10"/>
  <c r="F151" i="3"/>
  <c r="E177" i="2" l="1"/>
  <c r="G178" i="2" s="1"/>
  <c r="F177" i="9"/>
  <c r="E177" i="9" s="1"/>
  <c r="H177" i="2"/>
  <c r="R146" i="9"/>
  <c r="E151" i="10"/>
  <c r="D151" i="10"/>
  <c r="E151" i="3"/>
  <c r="R146" i="2"/>
  <c r="D151" i="3"/>
  <c r="G178" i="9" l="1"/>
  <c r="H177" i="9"/>
  <c r="F178" i="2"/>
  <c r="G152" i="10"/>
  <c r="G152" i="3"/>
  <c r="E178" i="2" l="1"/>
  <c r="G179" i="2" s="1"/>
  <c r="F178" i="9"/>
  <c r="E178" i="9" s="1"/>
  <c r="H178" i="2"/>
  <c r="F152" i="10"/>
  <c r="F152" i="3"/>
  <c r="G179" i="9" l="1"/>
  <c r="H178" i="9"/>
  <c r="F179" i="2"/>
  <c r="R147" i="9"/>
  <c r="E152" i="10"/>
  <c r="D152" i="10"/>
  <c r="E152" i="3"/>
  <c r="R147" i="2"/>
  <c r="D152" i="3"/>
  <c r="E179" i="2" l="1"/>
  <c r="F179" i="9"/>
  <c r="E179" i="9" s="1"/>
  <c r="H179" i="2"/>
  <c r="G180" i="2"/>
  <c r="G153" i="10"/>
  <c r="G153" i="3"/>
  <c r="G180" i="9" l="1"/>
  <c r="H179" i="9"/>
  <c r="F180" i="2"/>
  <c r="F153" i="10"/>
  <c r="F153" i="3"/>
  <c r="E180" i="2" l="1"/>
  <c r="F180" i="9"/>
  <c r="E180" i="9" s="1"/>
  <c r="H180" i="2"/>
  <c r="G181" i="2"/>
  <c r="E153" i="10"/>
  <c r="R148" i="9"/>
  <c r="D153" i="10"/>
  <c r="R148" i="2"/>
  <c r="E153" i="3"/>
  <c r="D153" i="3"/>
  <c r="G181" i="9" l="1"/>
  <c r="H180" i="9"/>
  <c r="F181" i="2"/>
  <c r="H181" i="2" s="1"/>
  <c r="G154" i="10"/>
  <c r="G154" i="3"/>
  <c r="E181" i="2" l="1"/>
  <c r="F181" i="9"/>
  <c r="E181" i="9" s="1"/>
  <c r="G182" i="2"/>
  <c r="F154" i="10"/>
  <c r="F154" i="3"/>
  <c r="G182" i="9" l="1"/>
  <c r="H181" i="9"/>
  <c r="F182" i="2"/>
  <c r="E154" i="10"/>
  <c r="R149" i="9"/>
  <c r="D154" i="10"/>
  <c r="E154" i="3"/>
  <c r="R149" i="2"/>
  <c r="D154" i="3"/>
  <c r="E182" i="2" l="1"/>
  <c r="G183" i="2" s="1"/>
  <c r="F182" i="9"/>
  <c r="E182" i="9" s="1"/>
  <c r="H182" i="2"/>
  <c r="G155" i="10"/>
  <c r="G155" i="3"/>
  <c r="G183" i="9" l="1"/>
  <c r="H182" i="9"/>
  <c r="F183" i="2"/>
  <c r="H183" i="2" s="1"/>
  <c r="F155" i="10"/>
  <c r="R150" i="2"/>
  <c r="F155" i="3"/>
  <c r="E183" i="2" l="1"/>
  <c r="F183" i="9"/>
  <c r="E183" i="9" s="1"/>
  <c r="G184" i="2"/>
  <c r="E155" i="10"/>
  <c r="R150" i="9"/>
  <c r="D155" i="10"/>
  <c r="E155" i="3"/>
  <c r="D155" i="3"/>
  <c r="G184" i="9" l="1"/>
  <c r="H183" i="9"/>
  <c r="F184" i="2"/>
  <c r="G156" i="10"/>
  <c r="G156" i="3"/>
  <c r="E184" i="2" l="1"/>
  <c r="F184" i="9"/>
  <c r="E184" i="9" s="1"/>
  <c r="G185" i="2"/>
  <c r="H184" i="2"/>
  <c r="F156" i="10"/>
  <c r="F156" i="3"/>
  <c r="G185" i="9" l="1"/>
  <c r="H184" i="9"/>
  <c r="F185" i="2"/>
  <c r="H185" i="2" s="1"/>
  <c r="R151" i="9"/>
  <c r="E156" i="10"/>
  <c r="D156" i="10"/>
  <c r="R151" i="2"/>
  <c r="E156" i="3"/>
  <c r="D156" i="3"/>
  <c r="E185" i="2" l="1"/>
  <c r="G186" i="2" s="1"/>
  <c r="F185" i="9"/>
  <c r="E185" i="9" s="1"/>
  <c r="G157" i="10"/>
  <c r="G157" i="3"/>
  <c r="H185" i="9" l="1"/>
  <c r="G186" i="9"/>
  <c r="F186" i="2"/>
  <c r="H186" i="2" s="1"/>
  <c r="F157" i="10"/>
  <c r="F157" i="3"/>
  <c r="E186" i="2" l="1"/>
  <c r="G187" i="2" s="1"/>
  <c r="F186" i="9"/>
  <c r="E186" i="9" s="1"/>
  <c r="E157" i="10"/>
  <c r="R152" i="9"/>
  <c r="D157" i="10"/>
  <c r="E157" i="3"/>
  <c r="R152" i="2"/>
  <c r="D157" i="3"/>
  <c r="G187" i="9" l="1"/>
  <c r="H186" i="9"/>
  <c r="F187" i="2"/>
  <c r="H187" i="2" s="1"/>
  <c r="G158" i="10"/>
  <c r="G158" i="3"/>
  <c r="E187" i="2" l="1"/>
  <c r="F187" i="9"/>
  <c r="E187" i="9" s="1"/>
  <c r="G188" i="2"/>
  <c r="F158" i="10"/>
  <c r="F158" i="3"/>
  <c r="G188" i="9" l="1"/>
  <c r="H187" i="9"/>
  <c r="F188" i="2"/>
  <c r="H188" i="2" s="1"/>
  <c r="D158" i="10"/>
  <c r="E158" i="10"/>
  <c r="R153" i="9"/>
  <c r="E158" i="3"/>
  <c r="R153" i="2"/>
  <c r="D158" i="3"/>
  <c r="E188" i="2" l="1"/>
  <c r="G189" i="2" s="1"/>
  <c r="F188" i="9"/>
  <c r="E188" i="9" s="1"/>
  <c r="G159" i="10"/>
  <c r="G159" i="3"/>
  <c r="H188" i="9" l="1"/>
  <c r="G189" i="9"/>
  <c r="F189" i="2"/>
  <c r="H189" i="2" s="1"/>
  <c r="F159" i="10"/>
  <c r="F159" i="3"/>
  <c r="E189" i="2" l="1"/>
  <c r="G190" i="2" s="1"/>
  <c r="F189" i="9"/>
  <c r="E189" i="9" s="1"/>
  <c r="R154" i="9"/>
  <c r="E159" i="10"/>
  <c r="D159" i="10"/>
  <c r="R154" i="2"/>
  <c r="E159" i="3"/>
  <c r="D159" i="3"/>
  <c r="G190" i="9" l="1"/>
  <c r="H189" i="9"/>
  <c r="F190" i="2"/>
  <c r="H190" i="2" s="1"/>
  <c r="G160" i="10"/>
  <c r="G160" i="3"/>
  <c r="E190" i="2" l="1"/>
  <c r="G191" i="2" s="1"/>
  <c r="F190" i="9"/>
  <c r="E190" i="9" s="1"/>
  <c r="F160" i="10"/>
  <c r="F160" i="3"/>
  <c r="G191" i="9" l="1"/>
  <c r="H190" i="9"/>
  <c r="F191" i="2"/>
  <c r="E160" i="10"/>
  <c r="R155" i="9"/>
  <c r="D160" i="10"/>
  <c r="D160" i="3"/>
  <c r="R155" i="2"/>
  <c r="E160" i="3"/>
  <c r="E191" i="2" l="1"/>
  <c r="G192" i="2" s="1"/>
  <c r="F191" i="9"/>
  <c r="E191" i="9" s="1"/>
  <c r="H191" i="2"/>
  <c r="G161" i="10"/>
  <c r="G161" i="3"/>
  <c r="G192" i="9" l="1"/>
  <c r="H191" i="9"/>
  <c r="F192" i="2"/>
  <c r="F161" i="10"/>
  <c r="F161" i="3"/>
  <c r="E192" i="2" l="1"/>
  <c r="F192" i="9"/>
  <c r="E192" i="9" s="1"/>
  <c r="H192" i="2"/>
  <c r="G193" i="2"/>
  <c r="R156" i="9"/>
  <c r="E161" i="10"/>
  <c r="D161" i="10"/>
  <c r="R156" i="2"/>
  <c r="E161" i="3"/>
  <c r="D161" i="3"/>
  <c r="G193" i="9" l="1"/>
  <c r="H192" i="9"/>
  <c r="F193" i="2"/>
  <c r="G162" i="10"/>
  <c r="G162" i="3"/>
  <c r="E193" i="2" l="1"/>
  <c r="G194" i="2" s="1"/>
  <c r="F193" i="9"/>
  <c r="E193" i="9" s="1"/>
  <c r="H193" i="2"/>
  <c r="F162" i="10"/>
  <c r="F162" i="3"/>
  <c r="G194" i="9" l="1"/>
  <c r="H193" i="9"/>
  <c r="F194" i="2"/>
  <c r="R157" i="9"/>
  <c r="E162" i="10"/>
  <c r="D162" i="10"/>
  <c r="E162" i="3"/>
  <c r="R157" i="2"/>
  <c r="D162" i="3"/>
  <c r="E194" i="2" l="1"/>
  <c r="G195" i="2" s="1"/>
  <c r="F194" i="9"/>
  <c r="E194" i="9" s="1"/>
  <c r="H194" i="2"/>
  <c r="G163" i="10"/>
  <c r="G163" i="3"/>
  <c r="G195" i="9" l="1"/>
  <c r="H194" i="9"/>
  <c r="F195" i="2"/>
  <c r="F163" i="10"/>
  <c r="F163" i="3"/>
  <c r="E195" i="2" l="1"/>
  <c r="F195" i="9"/>
  <c r="E195" i="9" s="1"/>
  <c r="H195" i="9"/>
  <c r="G196" i="2"/>
  <c r="H195" i="2"/>
  <c r="R158" i="9"/>
  <c r="E163" i="10"/>
  <c r="D163" i="10"/>
  <c r="R158" i="2"/>
  <c r="E163" i="3"/>
  <c r="D163" i="3"/>
  <c r="G196" i="9" l="1"/>
  <c r="F196" i="2"/>
  <c r="G164" i="10"/>
  <c r="G164" i="3"/>
  <c r="E196" i="2" l="1"/>
  <c r="G197" i="2" s="1"/>
  <c r="F196" i="9"/>
  <c r="E196" i="9" s="1"/>
  <c r="H196" i="2"/>
  <c r="E164" i="10"/>
  <c r="R159" i="9"/>
  <c r="F164" i="10"/>
  <c r="F164" i="3"/>
  <c r="G197" i="9" l="1"/>
  <c r="H196" i="9"/>
  <c r="F197" i="2"/>
  <c r="D164" i="10"/>
  <c r="E164" i="3"/>
  <c r="R159" i="2"/>
  <c r="D164" i="3"/>
  <c r="E197" i="2" l="1"/>
  <c r="F197" i="9"/>
  <c r="E197" i="9" s="1"/>
  <c r="G198" i="2"/>
  <c r="H197" i="2"/>
  <c r="G165" i="10"/>
  <c r="G165" i="3"/>
  <c r="H197" i="9" l="1"/>
  <c r="G198" i="9"/>
  <c r="F198" i="2"/>
  <c r="F165" i="10"/>
  <c r="F165" i="3"/>
  <c r="E198" i="2" l="1"/>
  <c r="G199" i="2" s="1"/>
  <c r="F198" i="9"/>
  <c r="E198" i="9" s="1"/>
  <c r="H198" i="9"/>
  <c r="H198" i="2"/>
  <c r="R160" i="9"/>
  <c r="E165" i="10"/>
  <c r="D165" i="10"/>
  <c r="E165" i="3"/>
  <c r="R160" i="2"/>
  <c r="D165" i="3"/>
  <c r="G199" i="9" l="1"/>
  <c r="F199" i="2"/>
  <c r="G166" i="10"/>
  <c r="G166" i="3"/>
  <c r="E199" i="2" l="1"/>
  <c r="G200" i="2" s="1"/>
  <c r="F199" i="9"/>
  <c r="E199" i="9" s="1"/>
  <c r="H199" i="2"/>
  <c r="F166" i="10"/>
  <c r="F166" i="3"/>
  <c r="H199" i="9" l="1"/>
  <c r="G200" i="9"/>
  <c r="F200" i="2"/>
  <c r="E166" i="10"/>
  <c r="R161" i="9"/>
  <c r="D166" i="10"/>
  <c r="E166" i="3"/>
  <c r="R161" i="2"/>
  <c r="D166" i="3"/>
  <c r="E200" i="2" l="1"/>
  <c r="F200" i="9"/>
  <c r="E200" i="9" s="1"/>
  <c r="G201" i="2"/>
  <c r="H200" i="2"/>
  <c r="G167" i="10"/>
  <c r="G167" i="3"/>
  <c r="G201" i="9" l="1"/>
  <c r="H200" i="9"/>
  <c r="F201" i="2"/>
  <c r="F167" i="10"/>
  <c r="R162" i="2"/>
  <c r="F167" i="3"/>
  <c r="E201" i="2" l="1"/>
  <c r="G202" i="2" s="1"/>
  <c r="F201" i="9"/>
  <c r="E201" i="9" s="1"/>
  <c r="H201" i="2"/>
  <c r="E167" i="10"/>
  <c r="R162" i="9"/>
  <c r="D167" i="10"/>
  <c r="E167" i="3"/>
  <c r="D167" i="3"/>
  <c r="H201" i="9" l="1"/>
  <c r="G202" i="9"/>
  <c r="F202" i="2"/>
  <c r="G168" i="10"/>
  <c r="G168" i="3"/>
  <c r="E202" i="2" l="1"/>
  <c r="G203" i="2" s="1"/>
  <c r="F202" i="9"/>
  <c r="E202" i="9" s="1"/>
  <c r="H202" i="2"/>
  <c r="F168" i="10"/>
  <c r="F168" i="3"/>
  <c r="G203" i="9" l="1"/>
  <c r="H202" i="9"/>
  <c r="F203" i="2"/>
  <c r="R163" i="9"/>
  <c r="E168" i="10"/>
  <c r="D168" i="10"/>
  <c r="E168" i="3"/>
  <c r="R163" i="2"/>
  <c r="D168" i="3"/>
  <c r="E203" i="2" l="1"/>
  <c r="G204" i="2" s="1"/>
  <c r="F203" i="9"/>
  <c r="E203" i="9" s="1"/>
  <c r="H203" i="2"/>
  <c r="G169" i="10"/>
  <c r="G169" i="3"/>
  <c r="G204" i="9" l="1"/>
  <c r="H203" i="9"/>
  <c r="F204" i="2"/>
  <c r="F169" i="10"/>
  <c r="F169" i="3"/>
  <c r="E204" i="2" l="1"/>
  <c r="G205" i="2" s="1"/>
  <c r="F204" i="9"/>
  <c r="E204" i="9" s="1"/>
  <c r="H204" i="2"/>
  <c r="D169" i="10"/>
  <c r="R164" i="9"/>
  <c r="E169" i="10"/>
  <c r="R164" i="2"/>
  <c r="E169" i="3"/>
  <c r="D169" i="3"/>
  <c r="H204" i="9" l="1"/>
  <c r="G205" i="9"/>
  <c r="F205" i="2"/>
  <c r="G170" i="10"/>
  <c r="G170" i="3"/>
  <c r="E205" i="2" l="1"/>
  <c r="G206" i="2" s="1"/>
  <c r="F205" i="9"/>
  <c r="E205" i="9" s="1"/>
  <c r="H205" i="2"/>
  <c r="F170" i="10"/>
  <c r="F170" i="3"/>
  <c r="H205" i="9" l="1"/>
  <c r="G206" i="9"/>
  <c r="F206" i="2"/>
  <c r="D170" i="10"/>
  <c r="E170" i="10"/>
  <c r="R165" i="9"/>
  <c r="D170" i="3"/>
  <c r="E170" i="3"/>
  <c r="R165" i="2"/>
  <c r="E206" i="2" l="1"/>
  <c r="F206" i="9"/>
  <c r="E206" i="9" s="1"/>
  <c r="G207" i="2"/>
  <c r="H206" i="2"/>
  <c r="G171" i="10"/>
  <c r="G171" i="3"/>
  <c r="H206" i="9" l="1"/>
  <c r="G207" i="9"/>
  <c r="F207" i="2"/>
  <c r="F171" i="10"/>
  <c r="F171" i="3"/>
  <c r="E207" i="2" l="1"/>
  <c r="G208" i="2" s="1"/>
  <c r="F207" i="9"/>
  <c r="E207" i="9" s="1"/>
  <c r="H207" i="9"/>
  <c r="H207" i="2"/>
  <c r="E171" i="10"/>
  <c r="R166" i="9"/>
  <c r="D171" i="10"/>
  <c r="D171" i="3"/>
  <c r="R166" i="2"/>
  <c r="E171" i="3"/>
  <c r="G208" i="9" l="1"/>
  <c r="F208" i="2"/>
  <c r="G172" i="10"/>
  <c r="G172" i="3"/>
  <c r="E208" i="2" l="1"/>
  <c r="F208" i="9"/>
  <c r="E208" i="9" s="1"/>
  <c r="G209" i="2"/>
  <c r="H208" i="2"/>
  <c r="F172" i="10"/>
  <c r="F172" i="3"/>
  <c r="H208" i="9" l="1"/>
  <c r="G209" i="9"/>
  <c r="F209" i="2"/>
  <c r="E172" i="10"/>
  <c r="R167" i="9"/>
  <c r="D172" i="10"/>
  <c r="E172" i="3"/>
  <c r="R167" i="2"/>
  <c r="D172" i="3"/>
  <c r="E209" i="2" l="1"/>
  <c r="F209" i="9"/>
  <c r="E209" i="9" s="1"/>
  <c r="G210" i="2"/>
  <c r="H209" i="2"/>
  <c r="G173" i="10"/>
  <c r="G173" i="3"/>
  <c r="H209" i="9" l="1"/>
  <c r="G210" i="9"/>
  <c r="F210" i="2"/>
  <c r="F173" i="10"/>
  <c r="F173" i="3"/>
  <c r="E210" i="2" l="1"/>
  <c r="G211" i="2" s="1"/>
  <c r="F210" i="9"/>
  <c r="E210" i="9" s="1"/>
  <c r="H210" i="2"/>
  <c r="D173" i="10"/>
  <c r="E173" i="10"/>
  <c r="R168" i="9"/>
  <c r="R168" i="2"/>
  <c r="E173" i="3"/>
  <c r="D173" i="3"/>
  <c r="H210" i="9" l="1"/>
  <c r="G211" i="9"/>
  <c r="F211" i="2"/>
  <c r="G174" i="10"/>
  <c r="G174" i="3"/>
  <c r="E211" i="2" l="1"/>
  <c r="F211" i="9"/>
  <c r="E211" i="9" s="1"/>
  <c r="H211" i="2"/>
  <c r="G212" i="2"/>
  <c r="F174" i="10"/>
  <c r="F174" i="3"/>
  <c r="H211" i="9" l="1"/>
  <c r="G212" i="9"/>
  <c r="F212" i="2"/>
  <c r="E174" i="10"/>
  <c r="R169" i="9"/>
  <c r="D174" i="10"/>
  <c r="E174" i="3"/>
  <c r="R169" i="2"/>
  <c r="D174" i="3"/>
  <c r="E212" i="2" l="1"/>
  <c r="G213" i="2" s="1"/>
  <c r="F212" i="9"/>
  <c r="E212" i="9" s="1"/>
  <c r="H212" i="2"/>
  <c r="G175" i="10"/>
  <c r="G175" i="3"/>
  <c r="H212" i="9" l="1"/>
  <c r="G213" i="9"/>
  <c r="F213" i="2"/>
  <c r="F175" i="10"/>
  <c r="F175" i="3"/>
  <c r="E213" i="2" l="1"/>
  <c r="G214" i="2" s="1"/>
  <c r="F213" i="9"/>
  <c r="E213" i="9" s="1"/>
  <c r="H213" i="9"/>
  <c r="H213" i="2"/>
  <c r="E175" i="10"/>
  <c r="R170" i="9"/>
  <c r="D175" i="10"/>
  <c r="D175" i="3"/>
  <c r="R170" i="2"/>
  <c r="E175" i="3"/>
  <c r="G214" i="9" l="1"/>
  <c r="F214" i="2"/>
  <c r="G176" i="10"/>
  <c r="G176" i="3"/>
  <c r="E214" i="2" l="1"/>
  <c r="G215" i="2" s="1"/>
  <c r="F214" i="9"/>
  <c r="E214" i="9" s="1"/>
  <c r="H214" i="2"/>
  <c r="E176" i="10"/>
  <c r="R171" i="9"/>
  <c r="F176" i="10"/>
  <c r="F176" i="3"/>
  <c r="H214" i="9" l="1"/>
  <c r="G215" i="9"/>
  <c r="F215" i="2"/>
  <c r="D176" i="10"/>
  <c r="R171" i="2"/>
  <c r="E176" i="3"/>
  <c r="D176" i="3"/>
  <c r="E215" i="2" l="1"/>
  <c r="F215" i="9"/>
  <c r="E215" i="9" s="1"/>
  <c r="G216" i="2"/>
  <c r="H215" i="2"/>
  <c r="G177" i="10"/>
  <c r="G177" i="3"/>
  <c r="H215" i="9" l="1"/>
  <c r="G216" i="9"/>
  <c r="F216" i="2"/>
  <c r="F177" i="10"/>
  <c r="F177" i="3"/>
  <c r="E216" i="2" l="1"/>
  <c r="F216" i="9"/>
  <c r="E216" i="9" s="1"/>
  <c r="H216" i="9"/>
  <c r="G217" i="2"/>
  <c r="H216" i="2"/>
  <c r="R172" i="9"/>
  <c r="E177" i="10"/>
  <c r="D177" i="10"/>
  <c r="R172" i="2"/>
  <c r="E177" i="3"/>
  <c r="D177" i="3"/>
  <c r="G217" i="9" l="1"/>
  <c r="F217" i="2"/>
  <c r="G178" i="10"/>
  <c r="G178" i="3"/>
  <c r="E217" i="2" l="1"/>
  <c r="F217" i="9"/>
  <c r="E217" i="9" s="1"/>
  <c r="G218" i="2"/>
  <c r="H217" i="2"/>
  <c r="F178" i="10"/>
  <c r="F178" i="3"/>
  <c r="H217" i="9" l="1"/>
  <c r="G218" i="9"/>
  <c r="F218" i="2"/>
  <c r="D178" i="10"/>
  <c r="R173" i="9"/>
  <c r="E178" i="10"/>
  <c r="R173" i="2"/>
  <c r="E178" i="3"/>
  <c r="D178" i="3"/>
  <c r="E218" i="2" l="1"/>
  <c r="F218" i="9"/>
  <c r="E218" i="9" s="1"/>
  <c r="G219" i="2"/>
  <c r="H218" i="2"/>
  <c r="G179" i="10"/>
  <c r="G179" i="3"/>
  <c r="H218" i="9" l="1"/>
  <c r="G219" i="9"/>
  <c r="F219" i="2"/>
  <c r="F179" i="10"/>
  <c r="F179" i="3"/>
  <c r="E219" i="2" l="1"/>
  <c r="G220" i="2" s="1"/>
  <c r="F219" i="9"/>
  <c r="E219" i="9" s="1"/>
  <c r="H219" i="9"/>
  <c r="H219" i="2"/>
  <c r="R174" i="9"/>
  <c r="E179" i="10"/>
  <c r="D179" i="10"/>
  <c r="E179" i="3"/>
  <c r="R174" i="2"/>
  <c r="D179" i="3"/>
  <c r="G220" i="9" l="1"/>
  <c r="F220" i="2"/>
  <c r="G180" i="10"/>
  <c r="G180" i="3"/>
  <c r="E220" i="2" l="1"/>
  <c r="G221" i="2" s="1"/>
  <c r="F220" i="9"/>
  <c r="E220" i="9" s="1"/>
  <c r="H220" i="9"/>
  <c r="H220" i="2"/>
  <c r="R175" i="9"/>
  <c r="E180" i="10"/>
  <c r="F180" i="10"/>
  <c r="F180" i="3"/>
  <c r="G221" i="9" l="1"/>
  <c r="F221" i="2"/>
  <c r="D180" i="10"/>
  <c r="D180" i="3"/>
  <c r="R175" i="2"/>
  <c r="E180" i="3"/>
  <c r="E221" i="2" l="1"/>
  <c r="F221" i="9"/>
  <c r="E221" i="9" s="1"/>
  <c r="G222" i="2"/>
  <c r="H221" i="2"/>
  <c r="G181" i="10"/>
  <c r="G181" i="3"/>
  <c r="H221" i="9" l="1"/>
  <c r="G222" i="9"/>
  <c r="F222" i="2"/>
  <c r="F181" i="10"/>
  <c r="F181" i="3"/>
  <c r="E222" i="2" l="1"/>
  <c r="G223" i="2" s="1"/>
  <c r="F222" i="9"/>
  <c r="E222" i="9" s="1"/>
  <c r="H222" i="9"/>
  <c r="H222" i="2"/>
  <c r="D181" i="10"/>
  <c r="E181" i="10"/>
  <c r="R176" i="9"/>
  <c r="E181" i="3"/>
  <c r="R176" i="2"/>
  <c r="D181" i="3"/>
  <c r="G223" i="9" l="1"/>
  <c r="F223" i="2"/>
  <c r="G182" i="10"/>
  <c r="G182" i="3"/>
  <c r="E223" i="2" l="1"/>
  <c r="G224" i="2" s="1"/>
  <c r="F223" i="9"/>
  <c r="E223" i="9" s="1"/>
  <c r="H223" i="2"/>
  <c r="F182" i="10"/>
  <c r="F182" i="3"/>
  <c r="H223" i="9" l="1"/>
  <c r="G224" i="9"/>
  <c r="F224" i="2"/>
  <c r="D182" i="10"/>
  <c r="R177" i="9"/>
  <c r="E182" i="10"/>
  <c r="R177" i="2"/>
  <c r="E182" i="3"/>
  <c r="D182" i="3"/>
  <c r="E224" i="2" l="1"/>
  <c r="F224" i="9"/>
  <c r="E224" i="9" s="1"/>
  <c r="H224" i="2"/>
  <c r="G225" i="2"/>
  <c r="G183" i="10"/>
  <c r="G183" i="3"/>
  <c r="H224" i="9" l="1"/>
  <c r="G225" i="9"/>
  <c r="F225" i="2"/>
  <c r="F183" i="10"/>
  <c r="F183" i="3"/>
  <c r="E225" i="2" l="1"/>
  <c r="G226" i="2" s="1"/>
  <c r="F225" i="9"/>
  <c r="E225" i="9" s="1"/>
  <c r="H225" i="9"/>
  <c r="H225" i="2"/>
  <c r="E183" i="10"/>
  <c r="R178" i="9"/>
  <c r="D183" i="10"/>
  <c r="E183" i="3"/>
  <c r="R178" i="2"/>
  <c r="D183" i="3"/>
  <c r="G226" i="9" l="1"/>
  <c r="F226" i="2"/>
  <c r="G184" i="10"/>
  <c r="G184" i="3"/>
  <c r="E226" i="2" l="1"/>
  <c r="G227" i="2" s="1"/>
  <c r="F226" i="9"/>
  <c r="E226" i="9" s="1"/>
  <c r="H226" i="2"/>
  <c r="F184" i="10"/>
  <c r="F184" i="3"/>
  <c r="H226" i="9" l="1"/>
  <c r="G227" i="9"/>
  <c r="F227" i="2"/>
  <c r="R179" i="9"/>
  <c r="E184" i="10"/>
  <c r="D184" i="10"/>
  <c r="R179" i="2"/>
  <c r="E184" i="3"/>
  <c r="D184" i="3"/>
  <c r="E227" i="2" l="1"/>
  <c r="G228" i="2" s="1"/>
  <c r="F227" i="9"/>
  <c r="E227" i="9" s="1"/>
  <c r="H227" i="2"/>
  <c r="G185" i="10"/>
  <c r="G185" i="3"/>
  <c r="G228" i="9" l="1"/>
  <c r="H227" i="9"/>
  <c r="F228" i="2"/>
  <c r="F185" i="10"/>
  <c r="F185" i="3"/>
  <c r="E228" i="2" l="1"/>
  <c r="G229" i="2" s="1"/>
  <c r="F228" i="9"/>
  <c r="E228" i="9" s="1"/>
  <c r="H228" i="9"/>
  <c r="H228" i="2"/>
  <c r="E185" i="10"/>
  <c r="R180" i="9"/>
  <c r="D185" i="10"/>
  <c r="D185" i="3"/>
  <c r="R180" i="2"/>
  <c r="E185" i="3"/>
  <c r="G229" i="9" l="1"/>
  <c r="F229" i="2"/>
  <c r="G186" i="10"/>
  <c r="G186" i="3"/>
  <c r="E229" i="2" l="1"/>
  <c r="F229" i="9"/>
  <c r="E229" i="9" s="1"/>
  <c r="G230" i="2"/>
  <c r="H229" i="2"/>
  <c r="F186" i="10"/>
  <c r="F186" i="3"/>
  <c r="H229" i="9" l="1"/>
  <c r="G230" i="9"/>
  <c r="F230" i="2"/>
  <c r="E186" i="10"/>
  <c r="R181" i="9"/>
  <c r="D186" i="10"/>
  <c r="E186" i="3"/>
  <c r="R181" i="2"/>
  <c r="D186" i="3"/>
  <c r="E230" i="2" l="1"/>
  <c r="G231" i="2" s="1"/>
  <c r="F230" i="9"/>
  <c r="E230" i="9" s="1"/>
  <c r="H230" i="2"/>
  <c r="G187" i="10"/>
  <c r="G187" i="3"/>
  <c r="H230" i="9" l="1"/>
  <c r="G231" i="9"/>
  <c r="F231" i="2"/>
  <c r="F187" i="10"/>
  <c r="F187" i="3"/>
  <c r="E231" i="2" l="1"/>
  <c r="G232" i="2" s="1"/>
  <c r="F231" i="9"/>
  <c r="E231" i="9" s="1"/>
  <c r="H231" i="9"/>
  <c r="H231" i="2"/>
  <c r="R182" i="9"/>
  <c r="E187" i="10"/>
  <c r="D187" i="10"/>
  <c r="E187" i="3"/>
  <c r="R182" i="2"/>
  <c r="D187" i="3"/>
  <c r="G232" i="9" l="1"/>
  <c r="F232" i="2"/>
  <c r="G188" i="10"/>
  <c r="G188" i="3"/>
  <c r="E232" i="2" l="1"/>
  <c r="G233" i="2" s="1"/>
  <c r="F232" i="9"/>
  <c r="E232" i="9" s="1"/>
  <c r="H232" i="2"/>
  <c r="F188" i="10"/>
  <c r="F188" i="3"/>
  <c r="H232" i="9" l="1"/>
  <c r="G233" i="9"/>
  <c r="F233" i="2"/>
  <c r="R183" i="9"/>
  <c r="E188" i="10"/>
  <c r="D188" i="10"/>
  <c r="R183" i="2"/>
  <c r="E188" i="3"/>
  <c r="D188" i="3"/>
  <c r="E233" i="2" l="1"/>
  <c r="F233" i="9"/>
  <c r="E233" i="9" s="1"/>
  <c r="G234" i="2"/>
  <c r="H233" i="2"/>
  <c r="G189" i="10"/>
  <c r="G189" i="3"/>
  <c r="G234" i="9" l="1"/>
  <c r="H233" i="9"/>
  <c r="F234" i="2"/>
  <c r="F189" i="10"/>
  <c r="F189" i="3"/>
  <c r="E234" i="2" l="1"/>
  <c r="G235" i="2" s="1"/>
  <c r="F234" i="9"/>
  <c r="E234" i="9" s="1"/>
  <c r="H234" i="9"/>
  <c r="H234" i="2"/>
  <c r="R184" i="9"/>
  <c r="E189" i="10"/>
  <c r="D189" i="10"/>
  <c r="E189" i="3"/>
  <c r="R184" i="2"/>
  <c r="D189" i="3"/>
  <c r="G235" i="9" l="1"/>
  <c r="F235" i="2"/>
  <c r="G190" i="10"/>
  <c r="G190" i="3"/>
  <c r="E235" i="2" l="1"/>
  <c r="F235" i="9"/>
  <c r="E235" i="9" s="1"/>
  <c r="G236" i="2"/>
  <c r="H235" i="2"/>
  <c r="F190" i="10"/>
  <c r="F190" i="3"/>
  <c r="H235" i="9" l="1"/>
  <c r="G236" i="9"/>
  <c r="F236" i="2"/>
  <c r="R185" i="9"/>
  <c r="E190" i="10"/>
  <c r="D190" i="10"/>
  <c r="E190" i="3"/>
  <c r="R185" i="2"/>
  <c r="D190" i="3"/>
  <c r="E236" i="2" l="1"/>
  <c r="F236" i="9"/>
  <c r="E236" i="9" s="1"/>
  <c r="G237" i="2"/>
  <c r="H236" i="2"/>
  <c r="G191" i="10"/>
  <c r="G191" i="3"/>
  <c r="H236" i="9" l="1"/>
  <c r="G237" i="9"/>
  <c r="F237" i="2"/>
  <c r="F191" i="10"/>
  <c r="F191" i="3"/>
  <c r="E237" i="2" l="1"/>
  <c r="F237" i="9"/>
  <c r="E237" i="9" s="1"/>
  <c r="H237" i="9"/>
  <c r="G238" i="2"/>
  <c r="H237" i="2"/>
  <c r="R186" i="9"/>
  <c r="E191" i="10"/>
  <c r="D191" i="10"/>
  <c r="R186" i="2"/>
  <c r="E191" i="3"/>
  <c r="D191" i="3"/>
  <c r="G238" i="9" l="1"/>
  <c r="F238" i="2"/>
  <c r="G192" i="10"/>
  <c r="G192" i="3"/>
  <c r="E238" i="2" l="1"/>
  <c r="F238" i="9"/>
  <c r="E238" i="9" s="1"/>
  <c r="G239" i="2"/>
  <c r="H238" i="2"/>
  <c r="F192" i="10"/>
  <c r="F192" i="3"/>
  <c r="H238" i="9" l="1"/>
  <c r="G239" i="9"/>
  <c r="F239" i="2"/>
  <c r="E192" i="10"/>
  <c r="R187" i="9"/>
  <c r="D192" i="10"/>
  <c r="E192" i="3"/>
  <c r="R187" i="2"/>
  <c r="D192" i="3"/>
  <c r="E239" i="2" l="1"/>
  <c r="F239" i="9"/>
  <c r="E239" i="9" s="1"/>
  <c r="G240" i="2"/>
  <c r="H239" i="2"/>
  <c r="G193" i="10"/>
  <c r="G193" i="3"/>
  <c r="H239" i="9" l="1"/>
  <c r="G240" i="9"/>
  <c r="F240" i="2"/>
  <c r="R188" i="9"/>
  <c r="E193" i="10"/>
  <c r="F193" i="10"/>
  <c r="E193" i="3"/>
  <c r="F193" i="3"/>
  <c r="E240" i="2" l="1"/>
  <c r="F240" i="9"/>
  <c r="E240" i="9" s="1"/>
  <c r="G241" i="2"/>
  <c r="H240" i="2"/>
  <c r="D193" i="10"/>
  <c r="R188" i="2"/>
  <c r="D193" i="3"/>
  <c r="G241" i="9" l="1"/>
  <c r="H240" i="9"/>
  <c r="F241" i="2"/>
  <c r="G194" i="10"/>
  <c r="G194" i="3"/>
  <c r="E241" i="2" l="1"/>
  <c r="F241" i="9"/>
  <c r="E241" i="9" s="1"/>
  <c r="G242" i="2"/>
  <c r="H241" i="2"/>
  <c r="F194" i="10"/>
  <c r="F194" i="3"/>
  <c r="H241" i="9" l="1"/>
  <c r="G242" i="9"/>
  <c r="F242" i="2"/>
  <c r="E194" i="10"/>
  <c r="R189" i="9"/>
  <c r="D194" i="10"/>
  <c r="R189" i="2"/>
  <c r="E194" i="3"/>
  <c r="D194" i="3"/>
  <c r="E242" i="2" l="1"/>
  <c r="G243" i="2" s="1"/>
  <c r="F242" i="9"/>
  <c r="E242" i="9" s="1"/>
  <c r="H242" i="2"/>
  <c r="G195" i="10"/>
  <c r="G195" i="3"/>
  <c r="G243" i="9" l="1"/>
  <c r="H242" i="9"/>
  <c r="F243" i="2"/>
  <c r="F195" i="10"/>
  <c r="F195" i="3"/>
  <c r="E243" i="2" l="1"/>
  <c r="F243" i="9"/>
  <c r="E243" i="9" s="1"/>
  <c r="H243" i="9"/>
  <c r="H243" i="2"/>
  <c r="G244" i="2"/>
  <c r="R190" i="9"/>
  <c r="E195" i="10"/>
  <c r="D195" i="10"/>
  <c r="R190" i="2"/>
  <c r="E195" i="3"/>
  <c r="D195" i="3"/>
  <c r="G244" i="9" l="1"/>
  <c r="F244" i="2"/>
  <c r="H244" i="2" s="1"/>
  <c r="G196" i="10"/>
  <c r="G196" i="3"/>
  <c r="E244" i="2" l="1"/>
  <c r="F244" i="9"/>
  <c r="E244" i="9" s="1"/>
  <c r="G245" i="2"/>
  <c r="F196" i="10"/>
  <c r="F196" i="3"/>
  <c r="H244" i="9" l="1"/>
  <c r="G245" i="9"/>
  <c r="F245" i="2"/>
  <c r="R191" i="9"/>
  <c r="E196" i="10"/>
  <c r="D196" i="10"/>
  <c r="R191" i="2"/>
  <c r="E196" i="3"/>
  <c r="D196" i="3"/>
  <c r="E245" i="2" l="1"/>
  <c r="F245" i="9"/>
  <c r="E245" i="9" s="1"/>
  <c r="H245" i="2"/>
  <c r="G246" i="2"/>
  <c r="G197" i="10"/>
  <c r="G197" i="3"/>
  <c r="H245" i="9" l="1"/>
  <c r="G246" i="9"/>
  <c r="F246" i="2"/>
  <c r="F197" i="10"/>
  <c r="F197" i="3"/>
  <c r="E246" i="2" l="1"/>
  <c r="G247" i="2" s="1"/>
  <c r="F246" i="9"/>
  <c r="E246" i="9" s="1"/>
  <c r="H246" i="9"/>
  <c r="H246" i="2"/>
  <c r="R192" i="9"/>
  <c r="E197" i="10"/>
  <c r="D197" i="10"/>
  <c r="E197" i="3"/>
  <c r="R192" i="2"/>
  <c r="D197" i="3"/>
  <c r="G247" i="9" l="1"/>
  <c r="F247" i="2"/>
  <c r="G198" i="10"/>
  <c r="G198" i="3"/>
  <c r="E247" i="2" l="1"/>
  <c r="F247" i="9"/>
  <c r="E247" i="9" s="1"/>
  <c r="H247" i="2"/>
  <c r="G248" i="2"/>
  <c r="F198" i="10"/>
  <c r="F198" i="3"/>
  <c r="H247" i="9" l="1"/>
  <c r="G248" i="9"/>
  <c r="F248" i="2"/>
  <c r="R193" i="9"/>
  <c r="E198" i="10"/>
  <c r="D198" i="10"/>
  <c r="E198" i="3"/>
  <c r="R193" i="2"/>
  <c r="D198" i="3"/>
  <c r="E248" i="2" l="1"/>
  <c r="G249" i="2" s="1"/>
  <c r="F248" i="9"/>
  <c r="E248" i="9" s="1"/>
  <c r="H248" i="2"/>
  <c r="G199" i="10"/>
  <c r="G199" i="3"/>
  <c r="H248" i="9" l="1"/>
  <c r="G249" i="9"/>
  <c r="F249" i="2"/>
  <c r="F199" i="10"/>
  <c r="F199" i="3"/>
  <c r="E249" i="2" l="1"/>
  <c r="G250" i="2" s="1"/>
  <c r="F249" i="9"/>
  <c r="E249" i="9" s="1"/>
  <c r="H249" i="9"/>
  <c r="H249" i="2"/>
  <c r="E199" i="10"/>
  <c r="R194" i="9"/>
  <c r="D199" i="10"/>
  <c r="E199" i="3"/>
  <c r="R194" i="2"/>
  <c r="D199" i="3"/>
  <c r="G250" i="9" l="1"/>
  <c r="F250" i="2"/>
  <c r="H250" i="2" s="1"/>
  <c r="G200" i="10"/>
  <c r="G200" i="3"/>
  <c r="E250" i="2" l="1"/>
  <c r="F250" i="9"/>
  <c r="E250" i="9" s="1"/>
  <c r="G251" i="2"/>
  <c r="F200" i="10"/>
  <c r="F200" i="3"/>
  <c r="G251" i="9" l="1"/>
  <c r="H250" i="9"/>
  <c r="F251" i="2"/>
  <c r="R195" i="9"/>
  <c r="E200" i="10"/>
  <c r="D200" i="10"/>
  <c r="E200" i="3"/>
  <c r="R195" i="2"/>
  <c r="D200" i="3"/>
  <c r="E251" i="2" l="1"/>
  <c r="G252" i="2" s="1"/>
  <c r="F251" i="9"/>
  <c r="E251" i="9" s="1"/>
  <c r="H251" i="2"/>
  <c r="G201" i="10"/>
  <c r="G201" i="3"/>
  <c r="G252" i="9" l="1"/>
  <c r="H251" i="9"/>
  <c r="F252" i="2"/>
  <c r="H252" i="2" s="1"/>
  <c r="F201" i="10"/>
  <c r="F201" i="3"/>
  <c r="E252" i="2" l="1"/>
  <c r="G253" i="2" s="1"/>
  <c r="F252" i="9"/>
  <c r="E252" i="9" s="1"/>
  <c r="E201" i="10"/>
  <c r="R196" i="9"/>
  <c r="D201" i="10"/>
  <c r="R196" i="2"/>
  <c r="E201" i="3"/>
  <c r="D201" i="3"/>
  <c r="H252" i="9" l="1"/>
  <c r="G253" i="9"/>
  <c r="F253" i="2"/>
  <c r="G202" i="10"/>
  <c r="G202" i="3"/>
  <c r="E253" i="2" l="1"/>
  <c r="G254" i="2" s="1"/>
  <c r="F253" i="9"/>
  <c r="E253" i="9" s="1"/>
  <c r="H253" i="2"/>
  <c r="F202" i="10"/>
  <c r="F202" i="3"/>
  <c r="H253" i="9" l="1"/>
  <c r="G254" i="9"/>
  <c r="F254" i="2"/>
  <c r="R197" i="9"/>
  <c r="E202" i="10"/>
  <c r="D202" i="10"/>
  <c r="R197" i="2"/>
  <c r="E202" i="3"/>
  <c r="D202" i="3"/>
  <c r="E254" i="2" l="1"/>
  <c r="F254" i="9"/>
  <c r="E254" i="9" s="1"/>
  <c r="G255" i="2"/>
  <c r="H254" i="2"/>
  <c r="G203" i="10"/>
  <c r="G203" i="3"/>
  <c r="G255" i="9" l="1"/>
  <c r="H254" i="9"/>
  <c r="F255" i="2"/>
  <c r="F203" i="10"/>
  <c r="F203" i="3"/>
  <c r="E255" i="2" l="1"/>
  <c r="G256" i="2" s="1"/>
  <c r="F255" i="9"/>
  <c r="E255" i="9" s="1"/>
  <c r="H255" i="2"/>
  <c r="R198" i="9"/>
  <c r="E203" i="10"/>
  <c r="D203" i="10"/>
  <c r="D203" i="3"/>
  <c r="E203" i="3"/>
  <c r="R198" i="2"/>
  <c r="H255" i="9" l="1"/>
  <c r="G256" i="9"/>
  <c r="F256" i="2"/>
  <c r="G204" i="10"/>
  <c r="G204" i="3"/>
  <c r="E256" i="2" l="1"/>
  <c r="F256" i="9"/>
  <c r="E256" i="9" s="1"/>
  <c r="H256" i="2"/>
  <c r="G257" i="2"/>
  <c r="F204" i="10"/>
  <c r="F204" i="3"/>
  <c r="H256" i="9" l="1"/>
  <c r="G257" i="9"/>
  <c r="F257" i="2"/>
  <c r="R199" i="9"/>
  <c r="E204" i="10"/>
  <c r="D204" i="10"/>
  <c r="D204" i="3"/>
  <c r="E204" i="3"/>
  <c r="R199" i="2"/>
  <c r="E257" i="2" l="1"/>
  <c r="G258" i="2" s="1"/>
  <c r="F257" i="9"/>
  <c r="E257" i="9" s="1"/>
  <c r="H257" i="2"/>
  <c r="H257" i="9"/>
  <c r="G205" i="10"/>
  <c r="G205" i="3"/>
  <c r="G258" i="9" l="1"/>
  <c r="F258" i="2"/>
  <c r="F205" i="10"/>
  <c r="F205" i="3"/>
  <c r="E258" i="2" l="1"/>
  <c r="G259" i="2" s="1"/>
  <c r="F258" i="9"/>
  <c r="E258" i="9" s="1"/>
  <c r="H258" i="9"/>
  <c r="H258" i="2"/>
  <c r="D205" i="10"/>
  <c r="E205" i="10"/>
  <c r="R200" i="9"/>
  <c r="R200" i="2"/>
  <c r="E205" i="3"/>
  <c r="D205" i="3"/>
  <c r="G259" i="9" l="1"/>
  <c r="F259" i="2"/>
  <c r="G206" i="10"/>
  <c r="G206" i="3"/>
  <c r="E259" i="2" l="1"/>
  <c r="F259" i="9"/>
  <c r="E259" i="9" s="1"/>
  <c r="H259" i="2"/>
  <c r="G260" i="2"/>
  <c r="F206" i="10"/>
  <c r="F206" i="3"/>
  <c r="H259" i="9" l="1"/>
  <c r="G260" i="9"/>
  <c r="F260" i="2"/>
  <c r="R201" i="9"/>
  <c r="E206" i="10"/>
  <c r="D206" i="10"/>
  <c r="R201" i="2"/>
  <c r="E206" i="3"/>
  <c r="D206" i="3"/>
  <c r="E260" i="2" l="1"/>
  <c r="F260" i="9"/>
  <c r="E260" i="9" s="1"/>
  <c r="H260" i="2"/>
  <c r="G261" i="2"/>
  <c r="G207" i="10"/>
  <c r="G207" i="3"/>
  <c r="H260" i="9" l="1"/>
  <c r="G261" i="9"/>
  <c r="F261" i="2"/>
  <c r="H261" i="2" s="1"/>
  <c r="F207" i="10"/>
  <c r="F207" i="3"/>
  <c r="E261" i="2" l="1"/>
  <c r="G262" i="2" s="1"/>
  <c r="F261" i="9"/>
  <c r="E261" i="9" s="1"/>
  <c r="H261" i="9"/>
  <c r="E207" i="10"/>
  <c r="R202" i="9"/>
  <c r="D207" i="10"/>
  <c r="E207" i="3"/>
  <c r="R202" i="2"/>
  <c r="D207" i="3"/>
  <c r="G262" i="9" l="1"/>
  <c r="F262" i="2"/>
  <c r="G208" i="10"/>
  <c r="G208" i="3"/>
  <c r="E262" i="2" l="1"/>
  <c r="G263" i="2" s="1"/>
  <c r="F262" i="9"/>
  <c r="E262" i="9" s="1"/>
  <c r="H262" i="2"/>
  <c r="F208" i="10"/>
  <c r="R203" i="2"/>
  <c r="F208" i="3"/>
  <c r="G263" i="9" l="1"/>
  <c r="H262" i="9"/>
  <c r="F263" i="2"/>
  <c r="E208" i="10"/>
  <c r="R203" i="9"/>
  <c r="D208" i="10"/>
  <c r="E208" i="3"/>
  <c r="D208" i="3"/>
  <c r="H263" i="2" l="1"/>
  <c r="F263" i="9"/>
  <c r="E263" i="9" s="1"/>
  <c r="F264" i="2"/>
  <c r="F264" i="9" s="1"/>
  <c r="E263" i="2"/>
  <c r="G209" i="10"/>
  <c r="G209" i="3"/>
  <c r="G264" i="9" l="1"/>
  <c r="H264" i="9" s="1"/>
  <c r="H265" i="9" s="1"/>
  <c r="E264" i="9"/>
  <c r="H263" i="9"/>
  <c r="E264" i="2"/>
  <c r="G264" i="2"/>
  <c r="H264" i="2" s="1"/>
  <c r="F209" i="10"/>
  <c r="F209" i="3"/>
  <c r="R204" i="9" l="1"/>
  <c r="E209" i="10"/>
  <c r="D209" i="10"/>
  <c r="E209" i="3"/>
  <c r="R204" i="2"/>
  <c r="D209" i="3"/>
  <c r="G210" i="10" l="1"/>
  <c r="G210" i="3"/>
  <c r="F210" i="10" l="1"/>
  <c r="F210" i="3"/>
  <c r="E210" i="10" l="1"/>
  <c r="R205" i="9"/>
  <c r="D210" i="10"/>
  <c r="E210" i="3"/>
  <c r="R205" i="2"/>
  <c r="D210" i="3"/>
  <c r="G211" i="10" l="1"/>
  <c r="G211" i="3"/>
  <c r="F211" i="10" l="1"/>
  <c r="F211" i="3"/>
  <c r="E211" i="10" l="1"/>
  <c r="R206" i="9"/>
  <c r="D211" i="10"/>
  <c r="E211" i="3"/>
  <c r="R206" i="2"/>
  <c r="D211" i="3"/>
  <c r="G212" i="10" l="1"/>
  <c r="G212" i="3"/>
  <c r="F212" i="10" l="1"/>
  <c r="F212" i="3"/>
  <c r="R207" i="9" l="1"/>
  <c r="E212" i="10"/>
  <c r="D212" i="10"/>
  <c r="R207" i="2"/>
  <c r="E212" i="3"/>
  <c r="D212" i="3"/>
  <c r="G213" i="10" l="1"/>
  <c r="G213" i="3"/>
  <c r="F213" i="10" l="1"/>
  <c r="F213" i="3"/>
  <c r="R208" i="9" l="1"/>
  <c r="E213" i="10"/>
  <c r="D213" i="10"/>
  <c r="R208" i="2"/>
  <c r="E213" i="3"/>
  <c r="D213" i="3"/>
  <c r="G214" i="10" l="1"/>
  <c r="G214" i="3"/>
  <c r="F214" i="10" l="1"/>
  <c r="F214" i="3"/>
  <c r="R209" i="9" l="1"/>
  <c r="E214" i="10"/>
  <c r="D214" i="10"/>
  <c r="E214" i="3"/>
  <c r="R209" i="2"/>
  <c r="D214" i="3"/>
  <c r="G215" i="10" l="1"/>
  <c r="G215" i="3"/>
  <c r="F215" i="10" l="1"/>
  <c r="F215" i="3"/>
  <c r="E215" i="10" l="1"/>
  <c r="R210" i="9"/>
  <c r="D215" i="10"/>
  <c r="E215" i="3"/>
  <c r="R210" i="2"/>
  <c r="D215" i="3"/>
  <c r="G216" i="10" l="1"/>
  <c r="G216" i="3"/>
  <c r="F216" i="10" l="1"/>
  <c r="F216" i="3"/>
  <c r="E216" i="10" l="1"/>
  <c r="R211" i="9"/>
  <c r="D216" i="10"/>
  <c r="E216" i="3"/>
  <c r="R211" i="2"/>
  <c r="D216" i="3"/>
  <c r="G217" i="10" l="1"/>
  <c r="G217" i="3"/>
  <c r="F217" i="10" l="1"/>
  <c r="F217" i="3"/>
  <c r="R212" i="9" l="1"/>
  <c r="E217" i="10"/>
  <c r="D217" i="10"/>
  <c r="E217" i="3"/>
  <c r="R212" i="2"/>
  <c r="D217" i="3"/>
  <c r="G218" i="10" l="1"/>
  <c r="G218" i="3"/>
  <c r="F218" i="10" l="1"/>
  <c r="F218" i="3"/>
  <c r="E218" i="10" l="1"/>
  <c r="R213" i="9"/>
  <c r="D218" i="10"/>
  <c r="R213" i="2"/>
  <c r="E218" i="3"/>
  <c r="D218" i="3"/>
  <c r="G219" i="10" l="1"/>
  <c r="G219" i="3"/>
  <c r="F219" i="10" l="1"/>
  <c r="F219" i="3"/>
  <c r="E219" i="10" l="1"/>
  <c r="R214" i="9"/>
  <c r="D219" i="10"/>
  <c r="D219" i="3"/>
  <c r="R214" i="2"/>
  <c r="E219" i="3"/>
  <c r="G220" i="10" l="1"/>
  <c r="G220" i="3"/>
  <c r="F220" i="10" l="1"/>
  <c r="F220" i="3"/>
  <c r="D220" i="10" l="1"/>
  <c r="R215" i="9"/>
  <c r="E220" i="10"/>
  <c r="R215" i="2"/>
  <c r="E220" i="3"/>
  <c r="D220" i="3"/>
  <c r="G221" i="10" l="1"/>
  <c r="G221" i="3"/>
  <c r="F221" i="10" l="1"/>
  <c r="F221" i="3"/>
  <c r="R216" i="9" l="1"/>
  <c r="E221" i="10"/>
  <c r="D221" i="10"/>
  <c r="R216" i="2"/>
  <c r="E221" i="3"/>
  <c r="D221" i="3"/>
  <c r="G222" i="10" l="1"/>
  <c r="G222" i="3"/>
  <c r="F222" i="10" l="1"/>
  <c r="F222" i="3"/>
  <c r="R217" i="9" l="1"/>
  <c r="E222" i="10"/>
  <c r="D222" i="10"/>
  <c r="R217" i="2"/>
  <c r="E222" i="3"/>
  <c r="D222" i="3"/>
  <c r="G223" i="10" l="1"/>
  <c r="G223" i="3"/>
  <c r="F223" i="10" l="1"/>
  <c r="F223" i="3"/>
  <c r="E223" i="10" l="1"/>
  <c r="R218" i="9"/>
  <c r="D223" i="10"/>
  <c r="D223" i="3"/>
  <c r="E223" i="3"/>
  <c r="R218" i="2"/>
  <c r="G224" i="10" l="1"/>
  <c r="G224" i="3"/>
  <c r="F224" i="10" l="1"/>
  <c r="E224" i="3"/>
  <c r="F224" i="3"/>
  <c r="R219" i="9" l="1"/>
  <c r="E224" i="10"/>
  <c r="D224" i="10"/>
  <c r="R219" i="2"/>
  <c r="D224" i="3"/>
  <c r="G225" i="10" l="1"/>
  <c r="G225" i="3"/>
  <c r="F225" i="10" l="1"/>
  <c r="F225" i="3"/>
  <c r="R220" i="9" l="1"/>
  <c r="E225" i="10"/>
  <c r="D225" i="10"/>
  <c r="R220" i="2"/>
  <c r="E225" i="3"/>
  <c r="D225" i="3"/>
  <c r="G226" i="10" l="1"/>
  <c r="G226" i="3"/>
  <c r="F226" i="10" l="1"/>
  <c r="F226" i="3"/>
  <c r="R221" i="9" l="1"/>
  <c r="E226" i="10"/>
  <c r="D226" i="10"/>
  <c r="R221" i="2"/>
  <c r="E226" i="3"/>
  <c r="D226" i="3"/>
  <c r="G227" i="10" l="1"/>
  <c r="G227" i="3"/>
  <c r="F227" i="10" l="1"/>
  <c r="F227" i="3"/>
  <c r="D227" i="10" l="1"/>
  <c r="R222" i="9"/>
  <c r="E227" i="10"/>
  <c r="E227" i="3"/>
  <c r="R222" i="2"/>
  <c r="D227" i="3"/>
  <c r="G228" i="10" l="1"/>
  <c r="G228" i="3"/>
  <c r="R223" i="9" l="1"/>
  <c r="E228" i="10"/>
  <c r="F228" i="10"/>
  <c r="F228" i="3"/>
  <c r="D228" i="10" l="1"/>
  <c r="D228" i="3"/>
  <c r="E228" i="3"/>
  <c r="R223" i="2"/>
  <c r="G229" i="10" l="1"/>
  <c r="G229" i="3"/>
  <c r="F229" i="10" l="1"/>
  <c r="F229" i="3"/>
  <c r="E229" i="10" l="1"/>
  <c r="R224" i="9"/>
  <c r="D229" i="10"/>
  <c r="E229" i="3"/>
  <c r="R224" i="2"/>
  <c r="D229" i="3"/>
  <c r="G230" i="10" l="1"/>
  <c r="G230" i="3"/>
  <c r="F230" i="10" l="1"/>
  <c r="F230" i="3"/>
  <c r="E230" i="10" l="1"/>
  <c r="R225" i="9"/>
  <c r="D230" i="10"/>
  <c r="R225" i="2"/>
  <c r="E230" i="3"/>
  <c r="D230" i="3"/>
  <c r="G231" i="10" l="1"/>
  <c r="G231" i="3"/>
  <c r="F231" i="10" l="1"/>
  <c r="F231" i="3"/>
  <c r="E231" i="10" l="1"/>
  <c r="R226" i="9"/>
  <c r="D231" i="10"/>
  <c r="E231" i="3"/>
  <c r="R226" i="2"/>
  <c r="D231" i="3"/>
  <c r="G232" i="10" l="1"/>
  <c r="G232" i="3"/>
  <c r="F232" i="10" l="1"/>
  <c r="F232" i="3"/>
  <c r="R227" i="9" l="1"/>
  <c r="E232" i="10"/>
  <c r="D232" i="10"/>
  <c r="R227" i="2"/>
  <c r="E232" i="3"/>
  <c r="D232" i="3"/>
  <c r="G233" i="10" l="1"/>
  <c r="G233" i="3"/>
  <c r="F233" i="10" l="1"/>
  <c r="F233" i="3"/>
  <c r="R228" i="9" l="1"/>
  <c r="E233" i="10"/>
  <c r="D233" i="10"/>
  <c r="E233" i="3"/>
  <c r="R228" i="2"/>
  <c r="D233" i="3"/>
  <c r="G234" i="10" l="1"/>
  <c r="G234" i="3"/>
  <c r="F234" i="10" l="1"/>
  <c r="F234" i="3"/>
  <c r="R229" i="9" l="1"/>
  <c r="E234" i="10"/>
  <c r="D234" i="10"/>
  <c r="R229" i="2"/>
  <c r="E234" i="3"/>
  <c r="D234" i="3"/>
  <c r="G235" i="10" l="1"/>
  <c r="G235" i="3"/>
  <c r="F235" i="10" l="1"/>
  <c r="F235" i="3"/>
  <c r="R230" i="9" l="1"/>
  <c r="E235" i="10"/>
  <c r="D235" i="10"/>
  <c r="D235" i="3"/>
  <c r="E235" i="3"/>
  <c r="R230" i="2"/>
  <c r="G236" i="10" l="1"/>
  <c r="G236" i="3"/>
  <c r="F236" i="10" l="1"/>
  <c r="F236" i="3"/>
  <c r="E236" i="10" l="1"/>
  <c r="R231" i="9"/>
  <c r="D236" i="10"/>
  <c r="E236" i="3"/>
  <c r="R231" i="2"/>
  <c r="D236" i="3"/>
  <c r="G237" i="10" l="1"/>
  <c r="G237" i="3"/>
  <c r="F237" i="10" l="1"/>
  <c r="F237" i="3"/>
  <c r="E237" i="10" l="1"/>
  <c r="R232" i="9"/>
  <c r="D237" i="10"/>
  <c r="D237" i="3"/>
  <c r="E237" i="3"/>
  <c r="R232" i="2"/>
  <c r="G238" i="10" l="1"/>
  <c r="G238" i="3"/>
  <c r="F238" i="10" l="1"/>
  <c r="F238" i="3"/>
  <c r="R233" i="9" l="1"/>
  <c r="E238" i="10"/>
  <c r="D238" i="10"/>
  <c r="R233" i="2"/>
  <c r="E238" i="3"/>
  <c r="D238" i="3"/>
  <c r="G239" i="10" l="1"/>
  <c r="G239" i="3"/>
  <c r="F239" i="10" l="1"/>
  <c r="F239" i="3"/>
  <c r="R234" i="9" l="1"/>
  <c r="E239" i="10"/>
  <c r="D239" i="10"/>
  <c r="D239" i="3"/>
  <c r="R234" i="2"/>
  <c r="E239" i="3"/>
  <c r="G240" i="10" l="1"/>
  <c r="G240" i="3"/>
  <c r="F240" i="10" l="1"/>
  <c r="F240" i="3"/>
  <c r="E240" i="10" l="1"/>
  <c r="R235" i="9"/>
  <c r="D240" i="10"/>
  <c r="E240" i="3"/>
  <c r="R235" i="2"/>
  <c r="D240" i="3"/>
  <c r="G241" i="10" l="1"/>
  <c r="G241" i="3"/>
  <c r="F241" i="10" l="1"/>
  <c r="F241" i="3"/>
  <c r="E241" i="10" l="1"/>
  <c r="R236" i="9"/>
  <c r="D241" i="10"/>
  <c r="D241" i="3"/>
  <c r="E241" i="3"/>
  <c r="R236" i="2"/>
  <c r="G242" i="10" l="1"/>
  <c r="G242" i="3"/>
  <c r="F242" i="10" l="1"/>
  <c r="F242" i="3"/>
  <c r="R237" i="9" l="1"/>
  <c r="E242" i="10"/>
  <c r="D242" i="10"/>
  <c r="R237" i="2"/>
  <c r="E242" i="3"/>
  <c r="D242" i="3"/>
  <c r="G243" i="10" l="1"/>
  <c r="G243" i="3"/>
  <c r="F243" i="10" l="1"/>
  <c r="F243" i="3"/>
  <c r="E243" i="10" l="1"/>
  <c r="R238" i="9"/>
  <c r="D243" i="10"/>
  <c r="D243" i="3"/>
  <c r="E243" i="3"/>
  <c r="R238" i="2"/>
  <c r="G244" i="10" l="1"/>
  <c r="G244" i="3"/>
  <c r="F244" i="10" l="1"/>
  <c r="F244" i="3"/>
  <c r="R239" i="9" l="1"/>
  <c r="E244" i="10"/>
  <c r="D244" i="10"/>
  <c r="D244" i="3"/>
  <c r="E244" i="3"/>
  <c r="R239" i="2"/>
  <c r="G245" i="10" l="1"/>
  <c r="G245" i="3"/>
  <c r="F245" i="10" l="1"/>
  <c r="F245" i="3"/>
  <c r="R240" i="9" l="1"/>
  <c r="E245" i="10"/>
  <c r="D245" i="10"/>
  <c r="D245" i="3"/>
  <c r="E245" i="3"/>
  <c r="R240" i="2"/>
  <c r="G246" i="10" l="1"/>
  <c r="G246" i="3"/>
  <c r="R241" i="9" l="1"/>
  <c r="E246" i="10"/>
  <c r="F246" i="10"/>
  <c r="F246" i="3"/>
  <c r="D246" i="10" l="1"/>
  <c r="R241" i="2"/>
  <c r="E246" i="3"/>
  <c r="D246" i="3"/>
  <c r="G247" i="10" l="1"/>
  <c r="G247" i="3"/>
  <c r="F247" i="10" l="1"/>
  <c r="F247" i="3"/>
  <c r="R242" i="9" l="1"/>
  <c r="E247" i="10"/>
  <c r="D247" i="10"/>
  <c r="R242" i="2"/>
  <c r="E247" i="3"/>
  <c r="D247" i="3"/>
  <c r="G248" i="10" l="1"/>
  <c r="G248" i="3"/>
  <c r="F248" i="10" l="1"/>
  <c r="F248" i="3"/>
  <c r="E248" i="10" l="1"/>
  <c r="R243" i="9"/>
  <c r="D248" i="10"/>
  <c r="R243" i="2"/>
  <c r="E248" i="3"/>
  <c r="D248" i="3"/>
  <c r="G249" i="10" l="1"/>
  <c r="G249" i="3"/>
  <c r="F249" i="10" l="1"/>
  <c r="F249" i="3"/>
  <c r="E249" i="10" l="1"/>
  <c r="R244" i="9"/>
  <c r="D249" i="10"/>
  <c r="D249" i="3"/>
  <c r="E249" i="3"/>
  <c r="R244" i="2"/>
  <c r="G250" i="10" l="1"/>
  <c r="G250" i="3"/>
  <c r="F250" i="10" l="1"/>
  <c r="F250" i="3"/>
  <c r="R245" i="9" l="1"/>
  <c r="E250" i="10"/>
  <c r="D250" i="10"/>
  <c r="R245" i="2"/>
  <c r="E250" i="3"/>
  <c r="D250" i="3"/>
  <c r="G251" i="10" l="1"/>
  <c r="G251" i="3"/>
  <c r="F251" i="10" l="1"/>
  <c r="F251" i="3"/>
  <c r="E251" i="10" l="1"/>
  <c r="R246" i="9"/>
  <c r="D251" i="10"/>
  <c r="D251" i="3"/>
  <c r="E251" i="3"/>
  <c r="R246" i="2"/>
  <c r="G252" i="10" l="1"/>
  <c r="G252" i="3"/>
  <c r="F252" i="10" l="1"/>
  <c r="F252" i="3"/>
  <c r="E252" i="10" l="1"/>
  <c r="R247" i="9"/>
  <c r="D252" i="10"/>
  <c r="E252" i="3"/>
  <c r="R247" i="2"/>
  <c r="D252" i="3"/>
  <c r="G253" i="10" l="1"/>
  <c r="G253" i="3"/>
  <c r="F253" i="10" l="1"/>
  <c r="F253" i="3"/>
  <c r="E253" i="10" l="1"/>
  <c r="R248" i="9"/>
  <c r="D253" i="10"/>
  <c r="D253" i="3"/>
  <c r="R248" i="2"/>
  <c r="E253" i="3"/>
  <c r="G254" i="10" l="1"/>
  <c r="G254" i="3"/>
  <c r="F254" i="10" l="1"/>
  <c r="F254" i="3"/>
  <c r="R249" i="9" l="1"/>
  <c r="E254" i="10"/>
  <c r="D254" i="10"/>
  <c r="R249" i="2"/>
  <c r="E254" i="3"/>
  <c r="D254" i="3"/>
  <c r="G255" i="10" l="1"/>
  <c r="G255" i="3"/>
  <c r="F255" i="10" l="1"/>
  <c r="F255" i="3"/>
  <c r="E255" i="10" l="1"/>
  <c r="R250" i="9"/>
  <c r="D255" i="10"/>
  <c r="R250" i="2"/>
  <c r="E255" i="3"/>
  <c r="D255" i="3"/>
  <c r="G256" i="10" l="1"/>
  <c r="G256" i="3"/>
  <c r="F256" i="10" l="1"/>
  <c r="F256" i="3"/>
  <c r="R251" i="9" l="1"/>
  <c r="E256" i="10"/>
  <c r="D256" i="10"/>
  <c r="D256" i="3"/>
  <c r="R251" i="2"/>
  <c r="E256" i="3"/>
  <c r="G257" i="10" l="1"/>
  <c r="G257" i="3"/>
  <c r="F257" i="10" l="1"/>
  <c r="F257" i="3"/>
  <c r="R252" i="9" l="1"/>
  <c r="E257" i="10"/>
  <c r="D257" i="10"/>
  <c r="R252" i="2"/>
  <c r="E257" i="3"/>
  <c r="D257" i="3"/>
  <c r="G258" i="10" l="1"/>
  <c r="G258" i="3"/>
  <c r="F258" i="10" l="1"/>
  <c r="F258" i="3"/>
  <c r="R253" i="9" l="1"/>
  <c r="E258" i="10"/>
  <c r="D258" i="10"/>
  <c r="E258" i="3"/>
  <c r="R253" i="2"/>
  <c r="D258" i="3"/>
  <c r="G259" i="10" l="1"/>
  <c r="G259" i="3"/>
  <c r="F259" i="10" l="1"/>
  <c r="F259" i="3"/>
  <c r="E259" i="10" l="1"/>
  <c r="R254" i="9"/>
  <c r="D259" i="10"/>
  <c r="D259" i="3"/>
  <c r="R254" i="2"/>
  <c r="E259" i="3"/>
  <c r="G260" i="10" l="1"/>
  <c r="G260" i="3"/>
  <c r="F260" i="10" l="1"/>
  <c r="F260" i="3"/>
  <c r="E260" i="10" l="1"/>
  <c r="R255" i="9"/>
  <c r="D260" i="10"/>
  <c r="E260" i="3"/>
  <c r="R255" i="2"/>
  <c r="D260" i="3"/>
  <c r="G261" i="10" l="1"/>
  <c r="G261" i="3"/>
  <c r="F261" i="10" l="1"/>
  <c r="F261" i="3"/>
  <c r="R256" i="9" l="1"/>
  <c r="E261" i="10"/>
  <c r="D261" i="10"/>
  <c r="D261" i="3"/>
  <c r="E261" i="3"/>
  <c r="R256" i="2"/>
  <c r="G262" i="10" l="1"/>
  <c r="G262" i="3"/>
  <c r="F262" i="10" l="1"/>
  <c r="F262" i="3"/>
  <c r="E262" i="10" l="1"/>
  <c r="R257" i="9"/>
  <c r="D262" i="10"/>
  <c r="E262" i="3"/>
  <c r="R257" i="2"/>
  <c r="D262" i="3"/>
  <c r="G263" i="10" l="1"/>
  <c r="G263" i="3"/>
  <c r="F263" i="10" l="1"/>
  <c r="F263" i="3"/>
  <c r="R258" i="9" l="1"/>
  <c r="E263" i="10"/>
  <c r="D263" i="10"/>
  <c r="E263" i="3"/>
  <c r="R258" i="2"/>
  <c r="D263" i="3"/>
  <c r="G264" i="10" l="1"/>
  <c r="G264" i="3"/>
  <c r="F264" i="10" l="1"/>
  <c r="F264" i="3"/>
  <c r="E264" i="10" l="1"/>
  <c r="R259" i="9"/>
  <c r="D264" i="10"/>
  <c r="E264" i="3"/>
  <c r="R259" i="2"/>
  <c r="D264" i="3"/>
  <c r="G265" i="10" l="1"/>
  <c r="G265" i="3"/>
  <c r="F265" i="10" l="1"/>
  <c r="F265" i="3"/>
  <c r="E265" i="10" l="1"/>
  <c r="R260" i="9"/>
  <c r="D265" i="10"/>
  <c r="R260" i="2"/>
  <c r="E265" i="3"/>
  <c r="D265" i="3"/>
  <c r="G266" i="10" l="1"/>
  <c r="G266" i="3"/>
  <c r="F266" i="10" l="1"/>
  <c r="F266" i="3"/>
  <c r="R261" i="9" l="1"/>
  <c r="E266" i="10"/>
  <c r="D266" i="10"/>
  <c r="D266" i="3"/>
  <c r="E266" i="3"/>
  <c r="R261" i="2"/>
  <c r="G267" i="10" l="1"/>
  <c r="G267" i="3"/>
  <c r="F267" i="10" l="1"/>
  <c r="F267" i="3"/>
  <c r="R262" i="9" l="1"/>
  <c r="E267" i="10"/>
  <c r="D267" i="10"/>
  <c r="E267" i="3"/>
  <c r="R262" i="2"/>
  <c r="D267" i="3"/>
  <c r="G268" i="10" l="1"/>
  <c r="G268" i="3"/>
  <c r="F268" i="10" l="1"/>
  <c r="F268" i="3"/>
  <c r="F269" i="10"/>
  <c r="E268" i="10" l="1"/>
  <c r="R263" i="9"/>
  <c r="D268" i="10"/>
  <c r="D269" i="10"/>
  <c r="R263" i="2"/>
  <c r="E268" i="3"/>
  <c r="F269" i="3"/>
  <c r="F265" i="2"/>
  <c r="F265" i="9" s="1"/>
  <c r="F270" i="10" s="1"/>
  <c r="D268" i="3"/>
  <c r="G269" i="10" l="1"/>
  <c r="G265" i="9"/>
  <c r="F270" i="3"/>
  <c r="D269" i="3"/>
  <c r="G269" i="3"/>
  <c r="G265" i="2"/>
  <c r="Q265" i="9" l="1"/>
  <c r="G270" i="10"/>
  <c r="E269" i="10"/>
  <c r="R264" i="9"/>
  <c r="P265" i="9" s="1"/>
  <c r="O270" i="10" s="1"/>
  <c r="E270" i="10"/>
  <c r="E269" i="3"/>
  <c r="R264" i="2"/>
  <c r="P265" i="2" s="1"/>
  <c r="H265" i="2"/>
  <c r="G270" i="3"/>
  <c r="Q265" i="2"/>
  <c r="P270" i="10" l="1"/>
  <c r="P270" i="3"/>
  <c r="B43" i="4" s="1"/>
  <c r="B42" i="4" s="1"/>
  <c r="E270" i="3"/>
  <c r="O270" i="3"/>
  <c r="B44" i="4"/>
</calcChain>
</file>

<file path=xl/comments1.xml><?xml version="1.0" encoding="utf-8"?>
<comments xmlns="http://schemas.openxmlformats.org/spreadsheetml/2006/main">
  <authors>
    <author>Lashniev Georgii Sergiiovych</author>
  </authors>
  <commentList>
    <comment ref="K6" authorId="0" shapeId="0">
      <text>
        <r>
          <rPr>
            <b/>
            <sz val="8"/>
            <color indexed="81"/>
            <rFont val="Tahoma"/>
            <family val="2"/>
            <charset val="204"/>
          </rPr>
          <t>0,1% від суми застави</t>
        </r>
        <r>
          <rPr>
            <sz val="8"/>
            <color indexed="81"/>
            <rFont val="Tahoma"/>
            <family val="2"/>
            <charset val="204"/>
          </rPr>
          <t xml:space="preserve">
</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List>
</comments>
</file>

<file path=xl/comments2.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N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comments3.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F9" authorId="0" shapeId="0">
      <text>
        <r>
          <rPr>
            <b/>
            <sz val="8"/>
            <color indexed="81"/>
            <rFont val="Tahoma"/>
            <family val="2"/>
            <charset val="204"/>
          </rPr>
          <t>відсоткова ставка на 1-24 міс</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N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 ref="F17" authorId="0" shapeId="0">
      <text>
        <r>
          <rPr>
            <b/>
            <sz val="8"/>
            <color indexed="81"/>
            <rFont val="Tahoma"/>
            <family val="2"/>
            <charset val="204"/>
          </rPr>
          <t>згідно обраного продукту</t>
        </r>
      </text>
    </comment>
  </commentList>
</comments>
</file>

<file path=xl/sharedStrings.xml><?xml version="1.0" encoding="utf-8"?>
<sst xmlns="http://schemas.openxmlformats.org/spreadsheetml/2006/main" count="832" uniqueCount="565">
  <si>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</si>
  <si>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</si>
  <si>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</si>
  <si>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</si>
  <si>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</si>
  <si>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</si>
  <si>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</si>
  <si>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</si>
  <si>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</si>
  <si>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</si>
  <si>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</si>
  <si>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</si>
  <si>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</si>
  <si>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</si>
  <si>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</si>
  <si>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</si>
  <si>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</si>
  <si>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</si>
  <si>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Строк кредитування, міс</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</si>
  <si>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</si>
  <si>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</si>
  <si>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</si>
  <si>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</si>
  <si>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</si>
  <si>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</si>
  <si>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</si>
  <si>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</si>
  <si>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</si>
  <si>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</si>
  <si>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</si>
  <si>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</si>
  <si>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</si>
  <si>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</si>
  <si>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</si>
  <si>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</si>
  <si>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</si>
  <si>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</si>
  <si>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</si>
  <si>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</si>
  <si>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</si>
  <si>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</si>
  <si>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</si>
  <si>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</si>
  <si>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</si>
  <si>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</si>
  <si>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</si>
  <si>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</si>
  <si>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</si>
  <si>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</si>
  <si>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</si>
  <si>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</si>
  <si>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</si>
  <si>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</si>
  <si>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</si>
  <si>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</si>
  <si>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</si>
  <si>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</si>
  <si>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</si>
  <si>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</si>
  <si>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</si>
  <si>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</si>
  <si>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</si>
  <si>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</si>
  <si>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</si>
  <si>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</si>
  <si>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</si>
  <si>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</si>
  <si>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</si>
  <si>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</si>
  <si>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</si>
  <si>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</si>
  <si>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</si>
  <si>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</si>
  <si>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</si>
  <si>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</si>
  <si>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</si>
  <si>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</si>
  <si>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</si>
  <si>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</si>
  <si>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</si>
  <si>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</si>
  <si>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</si>
  <si>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</si>
  <si>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</si>
  <si>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</si>
  <si>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</si>
  <si>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</si>
  <si>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</si>
  <si>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</si>
  <si>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</si>
  <si>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</si>
  <si>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</si>
  <si>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</si>
  <si>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</si>
  <si>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</si>
  <si>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</si>
  <si>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</si>
  <si>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</si>
  <si>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</si>
  <si>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</si>
  <si>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</si>
  <si>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</si>
  <si>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</si>
  <si>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</si>
  <si>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</si>
  <si>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</si>
  <si>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</si>
  <si>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</si>
  <si>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</si>
  <si>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</si>
  <si>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</si>
  <si>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</si>
  <si>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</si>
  <si>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</si>
  <si>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t>
  </si>
  <si>
    <t>відсутній</t>
  </si>
  <si>
    <t>Таблиця обчислення орієнтовної вартості споживчого кредиту</t>
  </si>
  <si>
    <t xml:space="preserve">Страхування застави </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</si>
  <si>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</si>
  <si>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</si>
  <si>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</si>
  <si>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</si>
  <si>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 споживчі цілі</t>
  </si>
  <si>
    <t xml:space="preserve">Безготівковим шляхом на поточний рахунок </t>
  </si>
  <si>
    <t>Фіксована</t>
  </si>
  <si>
    <t>відсутне</t>
  </si>
  <si>
    <t xml:space="preserve">Страхування позичальника </t>
  </si>
  <si>
    <t>процентна ставка, яка застосовується при невиконанні зобов'язання щодо повернення кредиту (за кожне порушеня)</t>
  </si>
  <si>
    <t>відсутні</t>
  </si>
  <si>
    <t>порука (якщо було прийнято по клієнту відповідне рішення)</t>
  </si>
  <si>
    <t>Розрахунково-касове обслуговування кредиту, грн</t>
  </si>
  <si>
    <r>
      <rPr>
        <sz val="10"/>
        <color theme="1"/>
        <rFont val="Times New Roman"/>
        <family val="1"/>
        <charset val="204"/>
      </rPr>
      <t>/34</t>
    </r>
    <r>
      <rPr>
        <sz val="9"/>
        <color theme="1"/>
        <rFont val="Times New Roman"/>
        <family val="1"/>
        <charset val="204"/>
      </rPr>
      <t>,99% в разі невиконання умов пункт 1.8 загальної частини договору кредиту</t>
    </r>
  </si>
  <si>
    <t>Так (разово на весь строк), перелік акредитованих страхових компаній наведено на https://www.pravex.com.ua/vazhliva-informaciya-dlya-kliyentiv-banku/dlya-pozichalnikiv-banku</t>
  </si>
  <si>
    <t>Розрахунково-касове обслуговування, грн</t>
  </si>
  <si>
    <t>застава,порука (якщо було прийнято по клієнту відповідне рішення)</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</si>
  <si>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кредит.</t>
  </si>
  <si>
    <t>так, пеерлік акредитованих оціночних компній наведено 
https://www.pravex.com.ua/vazhliva-informaciya-dlya-kliyentiv-banku/dlya-pozichalnikiv-banku</t>
  </si>
  <si>
    <t>Вартість нерухомості,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</si>
  <si>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</si>
  <si>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</si>
  <si>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Діючий Індекс
 UIRD (у гривні за 12 міс)</t>
  </si>
  <si>
    <t>Послуги третіх осіб</t>
  </si>
  <si>
    <t>Послуги нотаріуса</t>
  </si>
  <si>
    <t>Послуги оцінювача</t>
  </si>
  <si>
    <t>Послуги страховика</t>
  </si>
  <si>
    <t>Інші послуги третіх осіб</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</si>
  <si>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</si>
  <si>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</si>
  <si>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</si>
  <si>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</si>
  <si>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</si>
  <si>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</si>
  <si>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Інші послуги банка</t>
  </si>
  <si>
    <t>застава</t>
  </si>
  <si>
    <t>позичальник</t>
  </si>
  <si>
    <t>Грошовий потік</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</si>
  <si>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</si>
  <si>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</si>
  <si>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</si>
  <si>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</si>
  <si>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</si>
  <si>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</si>
  <si>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</si>
  <si>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</si>
  <si>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</si>
  <si>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</si>
  <si>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</si>
  <si>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</si>
  <si>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</si>
  <si>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</si>
  <si>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</si>
  <si>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</si>
  <si>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</si>
  <si>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Послуги третіх осіб:</t>
  </si>
  <si>
    <t>Тарифи Банку та третіх осіб:</t>
  </si>
  <si>
    <t>Одноразова комісія банку за надання кредиту від початкової суми кредиту</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</si>
  <si>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</si>
  <si>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</si>
  <si>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</si>
  <si>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</si>
  <si>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</si>
  <si>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</si>
  <si>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</si>
  <si>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</si>
  <si>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</si>
  <si>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</si>
  <si>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</si>
  <si>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</si>
  <si>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</si>
  <si>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</si>
  <si>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</si>
  <si>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</si>
  <si>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</si>
  <si>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</si>
  <si>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</si>
  <si>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</si>
  <si>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</si>
  <si>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</si>
  <si>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</si>
  <si>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</si>
  <si>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</si>
  <si>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</si>
  <si>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</si>
  <si>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</si>
  <si>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</si>
  <si>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</si>
  <si>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</si>
  <si>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</si>
  <si>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</si>
  <si>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</si>
  <si>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</si>
  <si>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</si>
  <si>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</si>
  <si>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</si>
  <si>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</si>
  <si>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</si>
  <si>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</si>
  <si>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</si>
  <si>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</si>
  <si>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</si>
  <si>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</si>
  <si>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</si>
  <si>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</si>
  <si>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</si>
  <si>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</si>
  <si>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</si>
  <si>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</si>
  <si>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</si>
  <si>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</si>
  <si>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</si>
  <si>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</si>
  <si>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</si>
  <si>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</si>
  <si>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</si>
  <si>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</si>
  <si>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</si>
  <si>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</si>
  <si>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</si>
  <si>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</si>
  <si>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</si>
  <si>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</si>
  <si>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</si>
  <si>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</si>
  <si>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</si>
  <si>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</si>
  <si>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</si>
  <si>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</si>
  <si>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</si>
  <si>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</si>
  <si>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</si>
  <si>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</si>
  <si>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</si>
  <si>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</si>
  <si>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</si>
  <si>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</si>
  <si>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</si>
  <si>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</si>
  <si>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</si>
  <si>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</si>
  <si>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</si>
  <si>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</si>
  <si>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</si>
  <si>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</si>
  <si>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</si>
  <si>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</si>
  <si>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</si>
  <si>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</si>
  <si>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</si>
  <si>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</si>
  <si>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</si>
  <si>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</si>
  <si>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</si>
  <si>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</si>
  <si>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</si>
  <si>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</si>
  <si>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</si>
  <si>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</si>
  <si>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</si>
  <si>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</si>
  <si>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</si>
  <si>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</si>
  <si>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</si>
  <si>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</si>
  <si>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</si>
  <si>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</si>
  <si>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</si>
  <si>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</si>
  <si>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</si>
  <si>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</si>
  <si>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</si>
  <si>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</si>
  <si>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</si>
  <si>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</si>
  <si>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</si>
  <si>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</si>
  <si>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</si>
  <si>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</si>
  <si>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</si>
  <si>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</si>
  <si>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</si>
  <si>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</si>
  <si>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</si>
  <si>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</si>
  <si>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</si>
  <si>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</si>
  <si>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</si>
  <si>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</si>
  <si>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</si>
  <si>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</si>
  <si>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</si>
  <si>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</si>
  <si>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</si>
  <si>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</si>
  <si>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</si>
  <si>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</si>
  <si>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</si>
  <si>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</si>
  <si>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</si>
  <si>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</si>
  <si>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</si>
  <si>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</si>
  <si>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</si>
  <si>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</si>
  <si>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</si>
  <si>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</si>
  <si>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</si>
  <si>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</si>
  <si>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</si>
  <si>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</si>
  <si>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</si>
  <si>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</si>
  <si>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</si>
  <si>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</si>
  <si>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</si>
  <si>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</si>
  <si>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</si>
  <si>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</si>
  <si>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</si>
  <si>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</si>
  <si>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</si>
  <si>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</si>
  <si>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</si>
  <si>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</si>
  <si>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</si>
  <si>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</si>
  <si>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</si>
  <si>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</si>
  <si>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</si>
  <si>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</si>
  <si>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</si>
  <si>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</si>
  <si>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</si>
  <si>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</si>
  <si>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</si>
  <si>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</si>
  <si>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</si>
  <si>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</si>
  <si>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</si>
  <si>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</si>
  <si>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</si>
  <si>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</si>
  <si>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</si>
  <si>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</si>
  <si>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</si>
  <si>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</si>
  <si>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</si>
  <si>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</si>
  <si>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</si>
  <si>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</si>
  <si>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</si>
  <si>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</si>
  <si>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</si>
  <si>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</si>
  <si>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</si>
  <si>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</si>
  <si>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</si>
  <si>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</si>
  <si>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</si>
  <si>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</si>
  <si>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</si>
  <si>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</si>
  <si>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</si>
  <si>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</si>
  <si>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</si>
  <si>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</si>
  <si>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</si>
  <si>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</si>
  <si>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</si>
  <si>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</si>
  <si>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</si>
  <si>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</si>
  <si>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</si>
  <si>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</si>
  <si>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</si>
  <si>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</si>
  <si>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</si>
  <si>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</si>
  <si>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</si>
  <si>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</si>
  <si>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</si>
  <si>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</si>
  <si>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</si>
  <si>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</si>
  <si>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</si>
  <si>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</si>
  <si>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</si>
  <si>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</si>
  <si>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</si>
  <si>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</si>
  <si>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</si>
  <si>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</si>
  <si>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</si>
  <si>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</si>
  <si>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</si>
  <si>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</si>
  <si>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</si>
  <si>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</si>
  <si>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</si>
  <si>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</si>
  <si>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</si>
  <si>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</si>
  <si>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</si>
  <si>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</si>
  <si>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</si>
  <si>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</si>
  <si>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</si>
  <si>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</si>
  <si>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</si>
  <si>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</si>
  <si>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</si>
  <si>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</si>
  <si>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</si>
  <si>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</si>
  <si>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</si>
  <si>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</si>
  <si>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</si>
  <si>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</si>
  <si>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</si>
  <si>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</si>
  <si>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</si>
  <si>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</si>
  <si>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</si>
  <si>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</si>
  <si>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</si>
  <si>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</si>
  <si>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</si>
  <si>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</si>
  <si>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</si>
  <si>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</si>
  <si>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</si>
  <si>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</si>
  <si>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</si>
  <si>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</si>
  <si>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</si>
  <si>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</si>
  <si>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</si>
  <si>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</si>
  <si>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</si>
  <si>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</si>
  <si>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</si>
  <si>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</si>
  <si>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</si>
  <si>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</si>
  <si>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</si>
  <si>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</si>
  <si>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</si>
  <si>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</si>
  <si>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</si>
  <si>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</si>
  <si>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</si>
  <si>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</si>
  <si>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</si>
  <si>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</si>
  <si>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</si>
  <si>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</si>
  <si>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</si>
  <si>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</si>
  <si>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</si>
  <si>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</si>
  <si>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</si>
  <si>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</si>
  <si>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</si>
  <si>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</si>
  <si>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</si>
  <si>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</si>
  <si>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</si>
  <si>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</si>
  <si>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</si>
  <si>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</si>
  <si>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</si>
  <si>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</si>
  <si>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</si>
  <si>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</si>
  <si>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</si>
  <si>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</si>
  <si>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</si>
  <si>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</si>
  <si>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</si>
  <si>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</si>
  <si>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</si>
  <si>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</si>
  <si>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</si>
  <si>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</si>
  <si>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</si>
  <si>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</si>
  <si>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</si>
  <si>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</si>
  <si>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</si>
  <si>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</si>
  <si>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</si>
  <si>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</si>
  <si>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</si>
  <si>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</si>
  <si>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</si>
  <si>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</si>
  <si>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</si>
  <si>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</si>
  <si>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</si>
  <si>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</si>
  <si>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</si>
  <si>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</si>
  <si>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</si>
  <si>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</si>
  <si>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</si>
  <si>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</si>
  <si>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</si>
  <si>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</si>
  <si>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</si>
  <si>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</si>
  <si>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</si>
  <si>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</si>
  <si>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</si>
  <si>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</si>
  <si>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</si>
  <si>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</si>
  <si>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</si>
  <si>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</si>
  <si>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</si>
  <si>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</si>
  <si>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</si>
  <si>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</si>
  <si>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</si>
  <si>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</si>
  <si>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</si>
  <si>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анн Uird</t>
  </si>
  <si>
    <t>анн 9,99</t>
  </si>
  <si>
    <t>разово</t>
  </si>
  <si>
    <t>щорічно</t>
  </si>
  <si>
    <t>Плаваюча</t>
  </si>
  <si>
    <t xml:space="preserve">Процентна ставка, відсотків річних </t>
  </si>
  <si>
    <t xml:space="preserve">Відсоткова ставка </t>
  </si>
  <si>
    <t>Дата закінчення договору</t>
  </si>
  <si>
    <t>Відсоткова ставка льготна</t>
  </si>
  <si>
    <t>Послуги нотаріуса, грн (та збір на пенсійне страхування 1%)</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</si>
  <si>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</si>
  <si>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</si>
  <si>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</si>
  <si>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</si>
  <si>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на купівлю нерухомості на вторинному ринку</t>
  </si>
  <si>
    <t>Інші послуги третіх осіб (Збори на обов’язкове державне пенсійне страхування - 1%)</t>
  </si>
  <si>
    <t>www.pravex.com.ua </t>
  </si>
  <si>
    <r>
      <t>Наслідки прострочення виконання та/або невиконання зобов'язань за договором про споживчий кредит:</t>
    </r>
    <r>
      <rPr>
        <sz val="8"/>
        <color theme="1"/>
        <rFont val="Times New Roman"/>
        <family val="1"/>
        <charset val="204"/>
      </rPr>
      <t> </t>
    </r>
  </si>
  <si>
    <t xml:space="preserve">Додаток _ до наказу №____від ___.08.2021 р.
</t>
  </si>
  <si>
    <t>перегляд  ставки кожні 12 місяців 
ставка по кредиту= UIRD +4,5%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</si>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</sst>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58"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color theme="0"/>
      <name val="Arial Cyr"/>
      <charset val="204"/>
    </font>
    <font>
      <sz val="11"/>
      <color theme="0"/>
      <name val="Calibri"/>
      <family val="2"/>
      <charset val="204"/>
      <scheme val="minor"/>
    </font>
    <font>
      <b/>
      <sz val="11"/>
      <color theme="0"/>
      <name val="Calibri"/>
      <family val="2"/>
      <charset val="204"/>
      <scheme val="minor"/>
    </font>
    <font>
      <b/>
      <sz val="12"/>
      <color theme="1"/>
      <name val="Calibri"/>
      <family val="2"/>
      <charset val="204"/>
      <scheme val="minor"/>
    </font>
    <font>
      <sz val="10"/>
      <color theme="1"/>
      <name val="Times New Roman"/>
      <family val="1"/>
      <charset val="204"/>
    </font>
    <font>
      <sz val="9"/>
      <color theme="1"/>
      <name val="Arial Cyr"/>
      <charset val="204"/>
    </font>
    <font>
      <i/>
      <sz val="9"/>
      <color theme="0"/>
      <name val="Arial"/>
      <family val="2"/>
      <charset val="204"/>
    </font>
    <font>
      <b/>
      <sz val="10"/>
      <color theme="1"/>
      <name val="Arial"/>
      <family val="2"/>
      <charset val="204"/>
    </font>
    <font>
      <sz val="10"/>
      <color theme="1"/>
      <name val="Arial"/>
      <family val="2"/>
      <charset val="204"/>
    </font>
    <font>
      <b/>
      <sz val="9"/>
      <color theme="1"/>
      <name val="Arial"/>
      <family val="2"/>
      <charset val="204"/>
    </font>
    <font>
      <i/>
      <sz val="9"/>
      <color theme="1"/>
      <name val="Arial"/>
      <family val="2"/>
      <charset val="204"/>
    </font>
    <font>
      <sz val="11"/>
      <name val="Calibri"/>
      <family val="2"/>
      <charset val="204"/>
      <scheme val="minor"/>
    </font>
    <font>
      <sz val="9"/>
      <name val="Times New Roman"/>
      <family val="1"/>
      <charset val="204"/>
    </font>
    <font>
      <b/>
      <sz val="9"/>
      <name val="Times New Roman"/>
      <family val="1"/>
      <charset val="204"/>
    </font>
    <font>
      <i/>
      <sz val="9"/>
      <name val="Arial"/>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i/>
      <sz val="11"/>
      <color theme="1"/>
      <name val="Calibri"/>
      <family val="2"/>
      <charset val="204"/>
      <scheme val="minor"/>
    </font>
    <font>
      <sz val="8"/>
      <color theme="1"/>
      <name val="Times New Roman"/>
      <family val="1"/>
      <charset val="204"/>
    </font>
    <font>
      <sz val="11"/>
      <color theme="0"/>
      <name val="Times New Roman"/>
      <family val="1"/>
      <charset val="204"/>
    </font>
    <font>
      <sz val="9"/>
      <name val="Arial Cyr"/>
      <charset val="204"/>
    </font>
    <font>
      <sz val="11"/>
      <color theme="0" tint="-0.499984740745262"/>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9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style="thin">
        <color theme="4"/>
      </right>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theme="3" tint="0.39997558519241921"/>
      </bottom>
      <diagonal/>
    </border>
    <border>
      <left style="thin">
        <color rgb="FF007A00"/>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bottom style="thin">
        <color indexed="64"/>
      </bottom>
      <diagonal/>
    </border>
    <border>
      <left style="thin">
        <color theme="4"/>
      </left>
      <right style="thin">
        <color theme="3" tint="0.39997558519241921"/>
      </right>
      <top style="thin">
        <color indexed="64"/>
      </top>
      <bottom style="thin">
        <color indexed="64"/>
      </bottom>
      <diagonal/>
    </border>
    <border>
      <left style="thin">
        <color theme="4"/>
      </left>
      <right style="thin">
        <color theme="3" tint="0.39997558519241921"/>
      </right>
      <top/>
      <bottom/>
      <diagonal/>
    </border>
    <border>
      <left style="thin">
        <color theme="0"/>
      </left>
      <right style="thin">
        <color rgb="FF007A00"/>
      </right>
      <top/>
      <bottom/>
      <diagonal/>
    </border>
    <border>
      <left style="thin">
        <color theme="3" tint="0.39997558519241921"/>
      </left>
      <right style="thin">
        <color theme="4"/>
      </right>
      <top/>
      <bottom/>
      <diagonal/>
    </border>
    <border>
      <left/>
      <right style="thin">
        <color theme="3" tint="0.39997558519241921"/>
      </right>
      <top/>
      <bottom style="thin">
        <color indexed="64"/>
      </bottom>
      <diagonal/>
    </border>
    <border>
      <left/>
      <right style="thin">
        <color theme="3" tint="0.39997558519241921"/>
      </right>
      <top/>
      <bottom/>
      <diagonal/>
    </border>
    <border>
      <left/>
      <right style="thin">
        <color theme="3" tint="0.39997558519241921"/>
      </right>
      <top/>
      <bottom style="thin">
        <color theme="4"/>
      </bottom>
      <diagonal/>
    </border>
    <border>
      <left style="thin">
        <color theme="3" tint="0.39997558519241921"/>
      </left>
      <right style="thin">
        <color theme="4"/>
      </right>
      <top style="thin">
        <color theme="4"/>
      </top>
      <bottom style="thin">
        <color theme="4"/>
      </bottom>
      <diagonal/>
    </border>
    <border>
      <left/>
      <right style="thin">
        <color theme="3" tint="0.39997558519241921"/>
      </right>
      <top style="thin">
        <color theme="4"/>
      </top>
      <bottom style="thin">
        <color theme="4"/>
      </bottom>
      <diagonal/>
    </border>
    <border>
      <left style="thin">
        <color theme="3" tint="0.39997558519241921"/>
      </left>
      <right/>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
      <left/>
      <right/>
      <top style="thin">
        <color theme="3" tint="0.39997558519241921"/>
      </top>
      <bottom style="thin">
        <color theme="0"/>
      </bottom>
      <diagonal/>
    </border>
    <border>
      <left/>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4"/>
      </right>
      <top style="thin">
        <color theme="3" tint="0.39997558519241921"/>
      </top>
      <bottom/>
      <diagonal/>
    </border>
    <border>
      <left/>
      <right style="thin">
        <color theme="3" tint="0.39997558519241921"/>
      </right>
      <top style="thin">
        <color theme="4"/>
      </top>
      <bottom/>
      <diagonal/>
    </border>
    <border>
      <left style="thin">
        <color theme="3" tint="0.39997558519241921"/>
      </left>
      <right style="thin">
        <color theme="4"/>
      </right>
      <top/>
      <bottom style="thin">
        <color theme="3" tint="0.39997558519241921"/>
      </bottom>
      <diagonal/>
    </border>
    <border>
      <left style="thin">
        <color theme="4"/>
      </left>
      <right style="thin">
        <color theme="3" tint="0.39997558519241921"/>
      </right>
      <top style="thin">
        <color indexed="64"/>
      </top>
      <bottom style="thin">
        <color theme="3" tint="0.39997558519241921"/>
      </bottom>
      <diagonal/>
    </border>
    <border>
      <left/>
      <right/>
      <top style="thin">
        <color theme="4"/>
      </top>
      <bottom style="thin">
        <color theme="3" tint="0.39997558519241921"/>
      </bottom>
      <diagonal/>
    </border>
    <border>
      <left/>
      <right style="thin">
        <color theme="3" tint="0.39997558519241921"/>
      </right>
      <top style="thin">
        <color theme="4"/>
      </top>
      <bottom style="thin">
        <color theme="3" tint="0.39997558519241921"/>
      </bottom>
      <diagonal/>
    </border>
    <border>
      <left/>
      <right style="thin">
        <color theme="0"/>
      </right>
      <top style="thin">
        <color theme="3" tint="0.39997558519241921"/>
      </top>
      <bottom style="thin">
        <color theme="3" tint="0.39997558519241921"/>
      </bottom>
      <diagonal/>
    </border>
    <border>
      <left style="thin">
        <color theme="0"/>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style="thin">
        <color theme="4"/>
      </left>
      <right/>
      <top style="thin">
        <color theme="3" tint="0.39997558519241921"/>
      </top>
      <bottom style="thin">
        <color theme="3" tint="0.3999755851924192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indexed="64"/>
      </left>
      <right style="medium">
        <color indexed="64"/>
      </right>
      <top style="medium">
        <color indexed="64"/>
      </top>
      <bottom style="thin">
        <color theme="1"/>
      </bottom>
      <diagonal/>
    </border>
    <border>
      <left/>
      <right/>
      <top style="thin">
        <color indexed="64"/>
      </top>
      <bottom style="thin">
        <color indexed="64"/>
      </bottom>
      <diagonal/>
    </border>
    <border>
      <left style="thin">
        <color indexed="64"/>
      </left>
      <right style="thin">
        <color theme="0"/>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indexed="64"/>
      </top>
      <bottom/>
      <diagonal/>
    </border>
  </borders>
  <cellStyleXfs count="2">
    <xf numFmtId="0" fontId="0" fillId="0" borderId="0"/>
    <xf numFmtId="0" fontId="7" fillId="0" borderId="0"/>
  </cellStyleXfs>
  <cellXfs count="462">
    <xf numFmtId="0" fontId="0" fillId="0" borderId="0" xfId="0"/>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165" fontId="27"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0"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0" fontId="2" fillId="0" borderId="8" xfId="0" applyFont="1" applyBorder="1" applyAlignment="1">
      <alignment horizontal="center" vertical="center" wrapText="1"/>
    </xf>
    <xf numFmtId="4" fontId="31" fillId="0" borderId="0" xfId="0" applyNumberFormat="1" applyFont="1" applyBorder="1" applyAlignment="1">
      <alignment horizontal="center"/>
    </xf>
    <xf numFmtId="4" fontId="0" fillId="0" borderId="0" xfId="0" applyNumberFormat="1"/>
    <xf numFmtId="0" fontId="0" fillId="2" borderId="23" xfId="0" applyFill="1" applyBorder="1"/>
    <xf numFmtId="0" fontId="0" fillId="2" borderId="24" xfId="0" applyFill="1" applyBorder="1"/>
    <xf numFmtId="4" fontId="0" fillId="2" borderId="20" xfId="0" applyNumberFormat="1" applyFill="1" applyBorder="1" applyProtection="1">
      <protection locked="0"/>
    </xf>
    <xf numFmtId="0" fontId="0" fillId="2" borderId="25" xfId="0" applyFill="1" applyBorder="1"/>
    <xf numFmtId="0" fontId="1" fillId="2" borderId="26" xfId="0" applyFont="1" applyFill="1" applyBorder="1"/>
    <xf numFmtId="4" fontId="0" fillId="2" borderId="21" xfId="0" applyNumberFormat="1" applyFill="1" applyBorder="1"/>
    <xf numFmtId="10" fontId="0" fillId="2" borderId="0" xfId="0" applyNumberFormat="1" applyFill="1" applyBorder="1" applyProtection="1">
      <protection locked="0"/>
    </xf>
    <xf numFmtId="4" fontId="31" fillId="2" borderId="0" xfId="0" applyNumberFormat="1" applyFont="1" applyFill="1" applyBorder="1"/>
    <xf numFmtId="4" fontId="31" fillId="2" borderId="23" xfId="0" applyNumberFormat="1" applyFont="1" applyFill="1" applyBorder="1"/>
    <xf numFmtId="0" fontId="1" fillId="2" borderId="0" xfId="0" applyFont="1" applyFill="1" applyBorder="1"/>
    <xf numFmtId="0" fontId="9" fillId="2" borderId="0" xfId="0" applyFont="1" applyFill="1" applyBorder="1" applyAlignment="1" applyProtection="1">
      <alignment wrapText="1"/>
      <protection hidden="1"/>
    </xf>
    <xf numFmtId="0" fontId="9" fillId="2" borderId="0" xfId="0" applyFont="1" applyFill="1" applyBorder="1" applyAlignment="1" applyProtection="1">
      <alignment horizontal="left"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4" fillId="4" borderId="29" xfId="1" applyFont="1" applyFill="1" applyBorder="1" applyAlignment="1" applyProtection="1">
      <alignment horizontal="center" vertical="center" wrapText="1"/>
      <protection hidden="1"/>
    </xf>
    <xf numFmtId="0" fontId="24" fillId="4" borderId="27"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36" xfId="0" applyBorder="1"/>
    <xf numFmtId="0" fontId="2" fillId="0" borderId="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vertical="center" wrapText="1"/>
    </xf>
    <xf numFmtId="0" fontId="32" fillId="2" borderId="0" xfId="0" applyFont="1" applyFill="1" applyBorder="1" applyAlignment="1">
      <alignment horizontal="left"/>
    </xf>
    <xf numFmtId="0" fontId="0" fillId="3" borderId="21" xfId="0" applyFill="1" applyBorder="1" applyAlignment="1">
      <alignment horizontal="left"/>
    </xf>
    <xf numFmtId="0" fontId="0" fillId="3" borderId="20" xfId="0" applyFill="1" applyBorder="1" applyAlignment="1">
      <alignment horizontal="left"/>
    </xf>
    <xf numFmtId="0" fontId="2" fillId="0" borderId="39" xfId="0" applyFont="1" applyBorder="1" applyAlignment="1">
      <alignment horizontal="justify" vertical="center" wrapText="1"/>
    </xf>
    <xf numFmtId="10" fontId="2" fillId="0" borderId="38" xfId="0" applyNumberFormat="1" applyFont="1" applyBorder="1" applyAlignment="1">
      <alignment horizontal="right" vertical="center" wrapText="1"/>
    </xf>
    <xf numFmtId="10" fontId="2" fillId="0" borderId="2" xfId="0" applyNumberFormat="1" applyFont="1" applyBorder="1" applyAlignment="1">
      <alignment horizontal="left" vertical="center" wrapText="1"/>
    </xf>
    <xf numFmtId="0" fontId="6" fillId="0" borderId="0" xfId="0" applyFont="1" applyAlignment="1">
      <alignment vertical="center"/>
    </xf>
    <xf numFmtId="0" fontId="10" fillId="5" borderId="22" xfId="0" applyFont="1" applyFill="1" applyBorder="1" applyAlignment="1" applyProtection="1">
      <alignment horizontal="center" vertical="center" wrapText="1"/>
      <protection hidden="1"/>
    </xf>
    <xf numFmtId="0" fontId="10" fillId="5" borderId="35"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2" borderId="42" xfId="0" applyFill="1" applyBorder="1"/>
    <xf numFmtId="0" fontId="0" fillId="2" borderId="44" xfId="0" applyFill="1" applyBorder="1"/>
    <xf numFmtId="0" fontId="1" fillId="3" borderId="47" xfId="0" applyFont="1" applyFill="1" applyBorder="1"/>
    <xf numFmtId="0" fontId="1" fillId="3" borderId="48" xfId="0" applyFont="1" applyFill="1" applyBorder="1"/>
    <xf numFmtId="0" fontId="1" fillId="2" borderId="45" xfId="0" applyFont="1" applyFill="1" applyBorder="1"/>
    <xf numFmtId="0" fontId="1" fillId="2" borderId="49" xfId="0" applyFont="1" applyFill="1" applyBorder="1"/>
    <xf numFmtId="0" fontId="31" fillId="2" borderId="0" xfId="0" applyFont="1" applyFill="1" applyBorder="1"/>
    <xf numFmtId="0" fontId="0" fillId="2" borderId="50" xfId="0" applyFill="1" applyBorder="1" applyProtection="1">
      <protection locked="0"/>
    </xf>
    <xf numFmtId="0" fontId="0" fillId="2" borderId="51" xfId="0" applyFill="1" applyBorder="1"/>
    <xf numFmtId="14" fontId="0" fillId="2" borderId="52" xfId="0" applyNumberFormat="1" applyFill="1" applyBorder="1" applyProtection="1">
      <protection locked="0"/>
    </xf>
    <xf numFmtId="164" fontId="0" fillId="2" borderId="53" xfId="0" applyNumberFormat="1" applyFill="1" applyBorder="1"/>
    <xf numFmtId="0" fontId="0" fillId="2" borderId="53" xfId="0" applyFill="1" applyBorder="1"/>
    <xf numFmtId="164" fontId="0" fillId="2" borderId="54" xfId="0" applyNumberFormat="1" applyFill="1" applyBorder="1"/>
    <xf numFmtId="0" fontId="0" fillId="0" borderId="55" xfId="0" applyFont="1" applyFill="1" applyBorder="1"/>
    <xf numFmtId="14" fontId="0" fillId="2" borderId="56" xfId="0" applyNumberFormat="1" applyFill="1" applyBorder="1" applyProtection="1">
      <protection locked="0"/>
    </xf>
    <xf numFmtId="10" fontId="0" fillId="2" borderId="56" xfId="0" applyNumberFormat="1" applyFill="1" applyBorder="1"/>
    <xf numFmtId="0" fontId="0" fillId="2" borderId="57" xfId="0" applyFill="1" applyBorder="1"/>
    <xf numFmtId="10" fontId="0" fillId="2" borderId="53" xfId="0" applyNumberFormat="1" applyFill="1" applyBorder="1"/>
    <xf numFmtId="0" fontId="0" fillId="2" borderId="58" xfId="0" applyFill="1" applyBorder="1"/>
    <xf numFmtId="164" fontId="0" fillId="2" borderId="59" xfId="0" applyNumberFormat="1" applyFill="1" applyBorder="1"/>
    <xf numFmtId="0" fontId="0" fillId="2" borderId="60" xfId="0" applyFill="1" applyBorder="1"/>
    <xf numFmtId="164" fontId="0" fillId="2" borderId="60" xfId="0" applyNumberFormat="1" applyFill="1" applyBorder="1"/>
    <xf numFmtId="0" fontId="9" fillId="2" borderId="60" xfId="0" applyFont="1" applyFill="1" applyBorder="1" applyAlignment="1" applyProtection="1">
      <alignment horizontal="left" wrapText="1"/>
      <protection hidden="1"/>
    </xf>
    <xf numFmtId="0" fontId="9" fillId="2" borderId="61" xfId="0" applyFont="1" applyFill="1" applyBorder="1" applyAlignment="1" applyProtection="1">
      <alignment horizontal="left" wrapText="1"/>
      <protection hidden="1"/>
    </xf>
    <xf numFmtId="0" fontId="9" fillId="2" borderId="57" xfId="0" applyFont="1" applyFill="1" applyBorder="1" applyAlignment="1" applyProtection="1">
      <alignment wrapText="1"/>
      <protection hidden="1"/>
    </xf>
    <xf numFmtId="0" fontId="9" fillId="2" borderId="53" xfId="0" applyFont="1" applyFill="1" applyBorder="1" applyAlignment="1" applyProtection="1">
      <alignment wrapText="1"/>
      <protection hidden="1"/>
    </xf>
    <xf numFmtId="0" fontId="9" fillId="2" borderId="57" xfId="0" applyFont="1" applyFill="1" applyBorder="1" applyAlignment="1" applyProtection="1">
      <alignment horizontal="left" wrapText="1"/>
      <protection hidden="1"/>
    </xf>
    <xf numFmtId="0" fontId="9" fillId="2" borderId="53" xfId="0" applyFont="1" applyFill="1" applyBorder="1" applyAlignment="1" applyProtection="1">
      <alignment horizontal="left" wrapText="1"/>
      <protection hidden="1"/>
    </xf>
    <xf numFmtId="4" fontId="9" fillId="2" borderId="53" xfId="0" applyNumberFormat="1"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9" fillId="2" borderId="42" xfId="0" applyFont="1" applyFill="1" applyBorder="1" applyAlignment="1" applyProtection="1">
      <alignment horizontal="left" wrapText="1"/>
      <protection hidden="1"/>
    </xf>
    <xf numFmtId="0" fontId="9" fillId="2" borderId="59" xfId="0" applyFont="1" applyFill="1" applyBorder="1" applyAlignment="1" applyProtection="1">
      <alignment horizontal="left" wrapText="1"/>
      <protection hidden="1"/>
    </xf>
    <xf numFmtId="0" fontId="0" fillId="0" borderId="57" xfId="0" applyBorder="1"/>
    <xf numFmtId="14" fontId="31" fillId="2" borderId="62" xfId="0" applyNumberFormat="1" applyFont="1" applyFill="1" applyBorder="1"/>
    <xf numFmtId="0" fontId="1" fillId="2" borderId="63" xfId="0" applyFont="1" applyFill="1" applyBorder="1"/>
    <xf numFmtId="4" fontId="31" fillId="2" borderId="42" xfId="0" applyNumberFormat="1" applyFont="1" applyFill="1" applyBorder="1"/>
    <xf numFmtId="4" fontId="0" fillId="2" borderId="59" xfId="0" applyNumberFormat="1" applyFill="1" applyBorder="1" applyProtection="1">
      <protection locked="0"/>
    </xf>
    <xf numFmtId="0" fontId="1" fillId="2" borderId="64" xfId="0" applyFont="1" applyFill="1" applyBorder="1"/>
    <xf numFmtId="14" fontId="0" fillId="2" borderId="46" xfId="0" applyNumberFormat="1" applyFill="1" applyBorder="1" applyProtection="1">
      <protection locked="0"/>
    </xf>
    <xf numFmtId="0" fontId="1" fillId="2" borderId="51" xfId="0" applyFont="1" applyFill="1" applyBorder="1"/>
    <xf numFmtId="4" fontId="0" fillId="2" borderId="53" xfId="0" applyNumberFormat="1" applyFill="1" applyBorder="1" applyProtection="1">
      <protection locked="0"/>
    </xf>
    <xf numFmtId="4" fontId="0" fillId="2" borderId="65" xfId="0" applyNumberFormat="1" applyFill="1" applyBorder="1" applyProtection="1">
      <protection locked="0"/>
    </xf>
    <xf numFmtId="0" fontId="1" fillId="2" borderId="66" xfId="0" applyFont="1" applyFill="1" applyBorder="1"/>
    <xf numFmtId="0" fontId="1" fillId="3" borderId="67" xfId="0" applyFont="1" applyFill="1" applyBorder="1"/>
    <xf numFmtId="10" fontId="31" fillId="2" borderId="68" xfId="0" applyNumberFormat="1" applyFont="1" applyFill="1" applyBorder="1"/>
    <xf numFmtId="0" fontId="0" fillId="2" borderId="68" xfId="0" applyFill="1" applyBorder="1"/>
    <xf numFmtId="10" fontId="0" fillId="2" borderId="69" xfId="0" applyNumberFormat="1" applyFill="1" applyBorder="1" applyProtection="1">
      <protection locked="0"/>
    </xf>
    <xf numFmtId="0" fontId="0" fillId="2" borderId="70" xfId="0" applyFill="1" applyBorder="1"/>
    <xf numFmtId="10" fontId="31" fillId="2" borderId="44" xfId="0" applyNumberFormat="1" applyFont="1" applyFill="1" applyBorder="1"/>
    <xf numFmtId="10" fontId="0" fillId="2" borderId="71" xfId="0" applyNumberFormat="1" applyFill="1" applyBorder="1" applyProtection="1">
      <protection locked="0"/>
    </xf>
    <xf numFmtId="0" fontId="1" fillId="2" borderId="72" xfId="0" applyFont="1" applyFill="1" applyBorder="1"/>
    <xf numFmtId="0" fontId="9" fillId="2" borderId="73" xfId="0" applyFont="1" applyFill="1" applyBorder="1" applyAlignment="1" applyProtection="1">
      <alignment wrapText="1"/>
      <protection hidden="1"/>
    </xf>
    <xf numFmtId="0" fontId="9" fillId="2" borderId="61" xfId="0" applyFont="1" applyFill="1" applyBorder="1" applyAlignment="1" applyProtection="1">
      <alignment wrapText="1"/>
      <protection hidden="1"/>
    </xf>
    <xf numFmtId="0" fontId="9" fillId="2" borderId="74" xfId="0" applyFont="1" applyFill="1" applyBorder="1" applyAlignment="1" applyProtection="1">
      <alignment wrapText="1"/>
      <protection hidden="1"/>
    </xf>
    <xf numFmtId="4" fontId="0" fillId="0" borderId="0" xfId="0" applyNumberFormat="1" applyFill="1" applyBorder="1" applyAlignment="1">
      <alignment horizontal="center"/>
    </xf>
    <xf numFmtId="10" fontId="0" fillId="2" borderId="45" xfId="0" applyNumberFormat="1" applyFill="1" applyBorder="1" applyAlignment="1" applyProtection="1">
      <protection locked="0"/>
    </xf>
    <xf numFmtId="4" fontId="0" fillId="2" borderId="45" xfId="0" applyNumberFormat="1" applyFill="1" applyBorder="1" applyAlignment="1" applyProtection="1">
      <protection locked="0"/>
    </xf>
    <xf numFmtId="165" fontId="35" fillId="2" borderId="11" xfId="1" applyNumberFormat="1" applyFont="1" applyFill="1" applyBorder="1" applyAlignment="1" applyProtection="1">
      <alignment horizontal="center" vertical="center"/>
      <protection hidden="1"/>
    </xf>
    <xf numFmtId="0" fontId="25" fillId="2" borderId="76" xfId="1" applyFont="1" applyFill="1" applyBorder="1" applyProtection="1">
      <protection hidden="1"/>
    </xf>
    <xf numFmtId="14" fontId="26" fillId="2" borderId="77" xfId="1" applyNumberFormat="1" applyFont="1" applyFill="1" applyBorder="1" applyAlignment="1" applyProtection="1">
      <alignment horizontal="center"/>
      <protection hidden="1"/>
    </xf>
    <xf numFmtId="0" fontId="26" fillId="2" borderId="77" xfId="1" applyNumberFormat="1" applyFont="1" applyFill="1" applyBorder="1" applyAlignment="1" applyProtection="1">
      <alignment horizontal="center"/>
      <protection hidden="1"/>
    </xf>
    <xf numFmtId="165" fontId="25" fillId="2" borderId="77" xfId="1" applyNumberFormat="1" applyFont="1" applyFill="1" applyBorder="1" applyAlignment="1" applyProtection="1">
      <alignment horizontal="center" vertical="center"/>
      <protection hidden="1"/>
    </xf>
    <xf numFmtId="165" fontId="25" fillId="2" borderId="77" xfId="1" applyNumberFormat="1" applyFont="1" applyFill="1" applyBorder="1" applyAlignment="1" applyProtection="1">
      <alignment horizontal="center" vertical="center" wrapText="1"/>
      <protection hidden="1"/>
    </xf>
    <xf numFmtId="167" fontId="25" fillId="2" borderId="77" xfId="1" applyNumberFormat="1" applyFont="1" applyFill="1" applyBorder="1" applyAlignment="1" applyProtection="1">
      <alignment horizontal="center" vertical="center" wrapText="1"/>
      <protection hidden="1"/>
    </xf>
    <xf numFmtId="0" fontId="27" fillId="2" borderId="11" xfId="1" applyFont="1" applyFill="1" applyBorder="1" applyAlignment="1" applyProtection="1">
      <alignment horizontal="center"/>
      <protection hidden="1"/>
    </xf>
    <xf numFmtId="14" fontId="28" fillId="2" borderId="11" xfId="1" applyNumberFormat="1" applyFont="1" applyFill="1" applyBorder="1" applyAlignment="1" applyProtection="1">
      <alignment horizontal="center"/>
      <protection hidden="1"/>
    </xf>
    <xf numFmtId="1" fontId="28" fillId="2" borderId="11" xfId="1" applyNumberFormat="1" applyFont="1" applyFill="1" applyBorder="1" applyAlignment="1" applyProtection="1">
      <alignment horizontal="center" vertical="center"/>
      <protection hidden="1"/>
    </xf>
    <xf numFmtId="165" fontId="36" fillId="2" borderId="11" xfId="1" applyNumberFormat="1" applyFont="1" applyFill="1" applyBorder="1" applyAlignment="1" applyProtection="1">
      <alignment horizontal="center" vertical="center" wrapText="1"/>
      <protection hidden="1"/>
    </xf>
    <xf numFmtId="0" fontId="0" fillId="0" borderId="0" xfId="0" applyFont="1"/>
    <xf numFmtId="0" fontId="38" fillId="0" borderId="0" xfId="1" applyFont="1" applyFill="1" applyBorder="1" applyAlignment="1" applyProtection="1">
      <alignment vertical="center" wrapText="1"/>
      <protection locked="0" hidden="1"/>
    </xf>
    <xf numFmtId="0" fontId="38" fillId="0" borderId="0" xfId="1" applyFont="1" applyFill="1" applyBorder="1" applyAlignment="1" applyProtection="1">
      <alignment horizontal="left" vertical="center"/>
      <protection locked="0" hidden="1"/>
    </xf>
    <xf numFmtId="0" fontId="37" fillId="0" borderId="0" xfId="1" applyFont="1" applyFill="1" applyBorder="1" applyAlignment="1" applyProtection="1">
      <alignment vertical="center"/>
      <protection locked="0" hidden="1"/>
    </xf>
    <xf numFmtId="0" fontId="38" fillId="0" borderId="0" xfId="1" applyFont="1" applyFill="1" applyBorder="1" applyProtection="1">
      <protection hidden="1"/>
    </xf>
    <xf numFmtId="0" fontId="38" fillId="0" borderId="0" xfId="1" applyFont="1" applyProtection="1">
      <protection hidden="1"/>
    </xf>
    <xf numFmtId="0" fontId="37" fillId="0" borderId="12" xfId="1" applyFont="1" applyBorder="1" applyAlignment="1" applyProtection="1">
      <alignment horizontal="center" wrapText="1"/>
      <protection hidden="1"/>
    </xf>
    <xf numFmtId="0" fontId="37" fillId="0" borderId="0" xfId="1" applyFont="1" applyBorder="1" applyAlignment="1" applyProtection="1">
      <alignment horizontal="center" wrapText="1"/>
      <protection hidden="1"/>
    </xf>
    <xf numFmtId="165" fontId="40" fillId="2" borderId="78" xfId="1"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hidden="1"/>
    </xf>
    <xf numFmtId="4" fontId="9" fillId="2" borderId="0" xfId="0" applyNumberFormat="1" applyFont="1" applyFill="1" applyAlignment="1" applyProtection="1">
      <alignment horizontal="left" wrapText="1"/>
      <protection hidden="1"/>
    </xf>
    <xf numFmtId="0" fontId="9" fillId="2" borderId="79" xfId="0" applyFont="1" applyFill="1" applyBorder="1" applyAlignment="1" applyProtection="1">
      <alignment horizontal="left" wrapText="1"/>
      <protection hidden="1"/>
    </xf>
    <xf numFmtId="0" fontId="9" fillId="2" borderId="36" xfId="0" applyFont="1" applyFill="1" applyBorder="1" applyAlignment="1" applyProtection="1">
      <alignment horizontal="left" wrapText="1"/>
      <protection hidden="1"/>
    </xf>
    <xf numFmtId="0" fontId="9" fillId="2" borderId="80" xfId="0" applyFont="1" applyFill="1" applyBorder="1" applyAlignment="1" applyProtection="1">
      <alignment horizontal="left" wrapText="1"/>
      <protection hidden="1"/>
    </xf>
    <xf numFmtId="0" fontId="9" fillId="2" borderId="81" xfId="0" applyFont="1" applyFill="1" applyBorder="1" applyAlignment="1" applyProtection="1">
      <alignment horizontal="left" wrapText="1"/>
      <protection hidden="1"/>
    </xf>
    <xf numFmtId="0" fontId="9" fillId="2" borderId="82" xfId="0" applyFont="1" applyFill="1" applyBorder="1" applyAlignment="1" applyProtection="1">
      <alignment horizontal="left" wrapText="1"/>
      <protection hidden="1"/>
    </xf>
    <xf numFmtId="0" fontId="9" fillId="2" borderId="79" xfId="0" applyFont="1" applyFill="1" applyBorder="1" applyAlignment="1" applyProtection="1">
      <alignment wrapText="1"/>
      <protection hidden="1"/>
    </xf>
    <xf numFmtId="0" fontId="9" fillId="2" borderId="83" xfId="0" applyFont="1" applyFill="1" applyBorder="1" applyAlignment="1" applyProtection="1">
      <alignment wrapText="1"/>
      <protection hidden="1"/>
    </xf>
    <xf numFmtId="0" fontId="9" fillId="2" borderId="83" xfId="0" applyFont="1" applyFill="1" applyBorder="1" applyAlignment="1" applyProtection="1">
      <alignment horizontal="left" wrapText="1"/>
      <protection hidden="1"/>
    </xf>
    <xf numFmtId="4" fontId="9" fillId="2" borderId="83" xfId="0" applyNumberFormat="1" applyFont="1" applyFill="1" applyBorder="1" applyAlignment="1" applyProtection="1">
      <alignment wrapText="1"/>
      <protection hidden="1"/>
    </xf>
    <xf numFmtId="0" fontId="2" fillId="0" borderId="84" xfId="0" applyFont="1" applyBorder="1" applyAlignment="1">
      <alignment horizontal="center" vertical="center" wrapText="1"/>
    </xf>
    <xf numFmtId="0" fontId="19" fillId="0" borderId="0" xfId="1" applyFont="1" applyAlignment="1" applyProtection="1">
      <alignment vertical="center"/>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10" fillId="5" borderId="21" xfId="0" applyFont="1" applyFill="1" applyBorder="1" applyAlignment="1" applyProtection="1">
      <alignment horizontal="left" wrapText="1"/>
      <protection hidden="1"/>
    </xf>
    <xf numFmtId="0" fontId="10" fillId="5" borderId="20" xfId="0" applyFont="1" applyFill="1" applyBorder="1" applyAlignment="1" applyProtection="1">
      <alignment vertical="center" wrapText="1"/>
      <protection hidden="1"/>
    </xf>
    <xf numFmtId="0" fontId="10" fillId="5" borderId="77" xfId="0" applyFont="1" applyFill="1" applyBorder="1" applyAlignment="1" applyProtection="1">
      <alignment vertical="center" wrapText="1"/>
      <protection hidden="1"/>
    </xf>
    <xf numFmtId="0" fontId="10" fillId="5" borderId="86"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87" xfId="0" applyFont="1" applyFill="1" applyBorder="1" applyAlignment="1" applyProtection="1">
      <alignment horizontal="center" vertical="center" wrapText="1"/>
      <protection hidden="1"/>
    </xf>
    <xf numFmtId="0" fontId="10" fillId="5" borderId="88"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0" fillId="5" borderId="90" xfId="0" applyFont="1" applyFill="1" applyBorder="1" applyAlignment="1" applyProtection="1">
      <alignment horizontal="center" vertical="center" wrapText="1"/>
      <protection hidden="1"/>
    </xf>
    <xf numFmtId="0" fontId="42" fillId="2" borderId="1" xfId="0" applyFont="1" applyFill="1" applyBorder="1" applyAlignment="1">
      <alignment horizontal="left" vertical="center" wrapText="1"/>
    </xf>
    <xf numFmtId="0" fontId="31" fillId="2" borderId="0" xfId="0" applyFont="1" applyFill="1"/>
    <xf numFmtId="0" fontId="42"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39" xfId="0" applyFont="1" applyFill="1" applyBorder="1" applyAlignment="1">
      <alignment horizontal="justify" vertical="center" wrapText="1"/>
    </xf>
    <xf numFmtId="4" fontId="31" fillId="2" borderId="0" xfId="0" applyNumberFormat="1" applyFont="1" applyFill="1"/>
    <xf numFmtId="0" fontId="24" fillId="4" borderId="85"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44" fillId="2" borderId="11" xfId="1" applyNumberFormat="1" applyFont="1" applyFill="1" applyBorder="1" applyAlignment="1" applyProtection="1">
      <alignment horizontal="center" vertical="center" wrapText="1"/>
      <protection hidden="1"/>
    </xf>
    <xf numFmtId="165" fontId="44" fillId="2" borderId="77" xfId="1" applyNumberFormat="1" applyFont="1" applyFill="1" applyBorder="1" applyAlignment="1" applyProtection="1">
      <alignment horizontal="center" vertical="center" wrapText="1"/>
      <protection hidden="1"/>
    </xf>
    <xf numFmtId="0" fontId="41" fillId="7" borderId="11" xfId="0" applyFont="1" applyFill="1" applyBorder="1" applyAlignment="1">
      <alignment horizontal="center" vertical="center" wrapText="1"/>
    </xf>
    <xf numFmtId="0" fontId="47" fillId="7" borderId="11" xfId="0" applyFont="1" applyFill="1" applyBorder="1" applyAlignment="1">
      <alignment horizontal="center" vertical="center" wrapText="1"/>
    </xf>
    <xf numFmtId="14" fontId="41" fillId="7" borderId="11" xfId="0" applyNumberFormat="1" applyFont="1" applyFill="1" applyBorder="1" applyAlignment="1">
      <alignment horizontal="center" vertical="center" wrapText="1"/>
    </xf>
    <xf numFmtId="14" fontId="47" fillId="7" borderId="11" xfId="0" applyNumberFormat="1" applyFont="1" applyFill="1" applyBorder="1" applyAlignment="1">
      <alignment horizontal="center" vertical="center" wrapText="1"/>
    </xf>
    <xf numFmtId="0" fontId="41" fillId="7" borderId="11"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0" borderId="11" xfId="0" applyFont="1" applyFill="1" applyBorder="1" applyAlignment="1">
      <alignment horizontal="center" vertical="top" wrapText="1"/>
    </xf>
    <xf numFmtId="0" fontId="46" fillId="0" borderId="11" xfId="0" applyFont="1" applyFill="1" applyBorder="1" applyAlignment="1">
      <alignment horizontal="left" vertical="center" wrapText="1"/>
    </xf>
    <xf numFmtId="0" fontId="51" fillId="2" borderId="0" xfId="0" applyFont="1" applyFill="1"/>
    <xf numFmtId="14" fontId="31" fillId="2" borderId="0" xfId="0" applyNumberFormat="1" applyFont="1" applyFill="1"/>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4" fontId="0" fillId="6" borderId="11" xfId="0" applyNumberFormat="1" applyFill="1" applyBorder="1" applyProtection="1">
      <protection locked="0"/>
    </xf>
    <xf numFmtId="0" fontId="0" fillId="6" borderId="11" xfId="0" applyFill="1" applyBorder="1" applyProtection="1">
      <protection locked="0"/>
    </xf>
    <xf numFmtId="165" fontId="25" fillId="2" borderId="11" xfId="1" applyNumberFormat="1" applyFont="1" applyFill="1" applyBorder="1" applyAlignment="1" applyProtection="1">
      <alignment horizontal="center" vertical="center" wrapText="1"/>
      <protection hidden="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6" xfId="0" applyFont="1" applyBorder="1" applyAlignment="1">
      <alignment vertical="center" wrapText="1"/>
    </xf>
    <xf numFmtId="0" fontId="2" fillId="0" borderId="3" xfId="0" applyFont="1" applyBorder="1" applyAlignment="1">
      <alignment horizontal="center" vertical="center" wrapText="1"/>
    </xf>
    <xf numFmtId="0" fontId="14" fillId="0" borderId="0" xfId="0" applyFont="1"/>
    <xf numFmtId="10" fontId="29" fillId="2" borderId="11" xfId="1" applyNumberFormat="1" applyFont="1" applyFill="1" applyBorder="1" applyAlignment="1" applyProtection="1">
      <alignment horizontal="center" vertic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73" xfId="0" applyFont="1" applyFill="1" applyBorder="1" applyProtection="1">
      <protection hidden="1"/>
    </xf>
    <xf numFmtId="0" fontId="0" fillId="2" borderId="11" xfId="0" applyFont="1" applyFill="1" applyBorder="1" applyProtection="1">
      <protection hidden="1"/>
    </xf>
    <xf numFmtId="14" fontId="31" fillId="2" borderId="11" xfId="0" applyNumberFormat="1" applyFont="1" applyFill="1" applyBorder="1" applyProtection="1">
      <protection hidden="1"/>
    </xf>
    <xf numFmtId="0" fontId="0" fillId="2" borderId="11" xfId="0" applyFill="1" applyBorder="1" applyProtection="1">
      <protection hidden="1"/>
    </xf>
    <xf numFmtId="0" fontId="1" fillId="2" borderId="0" xfId="0" applyFont="1" applyFill="1" applyBorder="1" applyProtection="1">
      <protection hidden="1"/>
    </xf>
    <xf numFmtId="10" fontId="31" fillId="0" borderId="0" xfId="0" applyNumberFormat="1" applyFont="1" applyFill="1" applyProtection="1">
      <protection hidden="1"/>
    </xf>
    <xf numFmtId="0" fontId="41" fillId="0" borderId="0" xfId="0" applyFont="1" applyProtection="1">
      <protection hidden="1"/>
    </xf>
    <xf numFmtId="4" fontId="41" fillId="0" borderId="0" xfId="0" applyNumberFormat="1" applyFont="1" applyProtection="1">
      <protection hidden="1"/>
    </xf>
    <xf numFmtId="0" fontId="1" fillId="2" borderId="57" xfId="0" applyFont="1" applyFill="1" applyBorder="1" applyProtection="1">
      <protection hidden="1"/>
    </xf>
    <xf numFmtId="4" fontId="31" fillId="2" borderId="11" xfId="0" applyNumberFormat="1" applyFont="1" applyFill="1" applyBorder="1" applyProtection="1">
      <protection hidden="1"/>
    </xf>
    <xf numFmtId="4" fontId="31" fillId="0" borderId="0" xfId="0" applyNumberFormat="1" applyFont="1" applyFill="1" applyProtection="1">
      <protection hidden="1"/>
    </xf>
    <xf numFmtId="0" fontId="1" fillId="2" borderId="0" xfId="0" applyFont="1" applyFill="1" applyBorder="1" applyAlignment="1" applyProtection="1">
      <alignment wrapText="1"/>
      <protection hidden="1"/>
    </xf>
    <xf numFmtId="0" fontId="0" fillId="2" borderId="58" xfId="0" applyFont="1" applyFill="1" applyBorder="1" applyAlignment="1" applyProtection="1">
      <protection hidden="1"/>
    </xf>
    <xf numFmtId="0" fontId="0" fillId="2" borderId="42" xfId="0" applyFont="1" applyFill="1" applyBorder="1" applyAlignment="1" applyProtection="1">
      <protection hidden="1"/>
    </xf>
    <xf numFmtId="0" fontId="1" fillId="2" borderId="58" xfId="0" applyFont="1" applyFill="1" applyBorder="1" applyProtection="1">
      <protection hidden="1"/>
    </xf>
    <xf numFmtId="10" fontId="31" fillId="2" borderId="11" xfId="0" applyNumberFormat="1" applyFont="1" applyFill="1" applyBorder="1" applyProtection="1">
      <protection hidden="1"/>
    </xf>
    <xf numFmtId="10" fontId="0" fillId="2" borderId="11" xfId="0" applyNumberFormat="1" applyFill="1" applyBorder="1" applyProtection="1">
      <protection hidden="1"/>
    </xf>
    <xf numFmtId="0" fontId="8" fillId="2" borderId="0" xfId="1" applyFont="1" applyFill="1" applyBorder="1" applyAlignment="1" applyProtection="1">
      <alignment horizontal="left"/>
      <protection hidden="1"/>
    </xf>
    <xf numFmtId="0" fontId="31" fillId="0" borderId="0" xfId="0" applyFont="1" applyFill="1" applyProtection="1">
      <protection hidden="1"/>
    </xf>
    <xf numFmtId="4" fontId="0" fillId="2" borderId="11" xfId="0" applyNumberFormat="1" applyFill="1" applyBorder="1" applyProtection="1">
      <protection hidden="1"/>
    </xf>
    <xf numFmtId="0" fontId="0" fillId="5" borderId="13" xfId="0" applyFill="1" applyBorder="1" applyAlignment="1" applyProtection="1">
      <protection hidden="1"/>
    </xf>
    <xf numFmtId="0" fontId="0" fillId="5" borderId="85" xfId="0" applyFill="1" applyBorder="1" applyAlignment="1" applyProtection="1">
      <protection hidden="1"/>
    </xf>
    <xf numFmtId="0" fontId="0" fillId="5" borderId="85" xfId="0" applyFill="1" applyBorder="1" applyAlignment="1" applyProtection="1">
      <alignment horizontal="right"/>
      <protection hidden="1"/>
    </xf>
    <xf numFmtId="0" fontId="41" fillId="0" borderId="0" xfId="0" applyNumberFormat="1" applyFont="1" applyProtection="1">
      <protection hidden="1"/>
    </xf>
    <xf numFmtId="0" fontId="31" fillId="2" borderId="11" xfId="0" applyFont="1" applyFill="1" applyBorder="1" applyProtection="1">
      <protection hidden="1"/>
    </xf>
    <xf numFmtId="0" fontId="45" fillId="2" borderId="0" xfId="1" applyFont="1" applyFill="1" applyBorder="1" applyAlignment="1" applyProtection="1">
      <alignment horizontal="left"/>
      <protection hidden="1"/>
    </xf>
    <xf numFmtId="0" fontId="0" fillId="0" borderId="57" xfId="0" applyBorder="1" applyProtection="1">
      <protection hidden="1"/>
    </xf>
    <xf numFmtId="0" fontId="41" fillId="2" borderId="11" xfId="0" applyFont="1" applyFill="1" applyBorder="1" applyProtection="1">
      <protection hidden="1"/>
    </xf>
    <xf numFmtId="14" fontId="41" fillId="2" borderId="11" xfId="0" applyNumberFormat="1" applyFont="1" applyFill="1" applyBorder="1" applyProtection="1">
      <protection hidden="1"/>
    </xf>
    <xf numFmtId="0" fontId="31" fillId="2" borderId="0" xfId="0" applyFont="1" applyFill="1" applyBorder="1" applyProtection="1">
      <protection hidden="1"/>
    </xf>
    <xf numFmtId="164" fontId="31" fillId="2" borderId="0" xfId="0" applyNumberFormat="1" applyFont="1" applyFill="1" applyBorder="1" applyProtection="1">
      <protection hidden="1"/>
    </xf>
    <xf numFmtId="9" fontId="53" fillId="0" borderId="0" xfId="0" applyNumberFormat="1" applyFont="1" applyProtection="1">
      <protection hidden="1"/>
    </xf>
    <xf numFmtId="10" fontId="31" fillId="2" borderId="0" xfId="0" applyNumberFormat="1" applyFont="1" applyFill="1" applyBorder="1" applyProtection="1">
      <protection hidden="1"/>
    </xf>
    <xf numFmtId="0" fontId="31" fillId="2" borderId="0" xfId="0" applyFont="1" applyFill="1" applyBorder="1" applyAlignment="1" applyProtection="1">
      <alignment wrapText="1"/>
      <protection hidden="1"/>
    </xf>
    <xf numFmtId="14" fontId="31" fillId="2" borderId="0" xfId="0" applyNumberFormat="1" applyFont="1" applyFill="1" applyBorder="1" applyProtection="1">
      <protection hidden="1"/>
    </xf>
    <xf numFmtId="0" fontId="0" fillId="2" borderId="11" xfId="0" applyFont="1" applyFill="1" applyBorder="1" applyAlignment="1" applyProtection="1">
      <alignment wrapText="1"/>
      <protection hidden="1"/>
    </xf>
    <xf numFmtId="0" fontId="0" fillId="2" borderId="57" xfId="0" applyFill="1" applyBorder="1" applyProtection="1">
      <protection hidden="1"/>
    </xf>
    <xf numFmtId="10" fontId="0" fillId="2" borderId="53" xfId="0" applyNumberFormat="1" applyFill="1" applyBorder="1" applyProtection="1">
      <protection hidden="1"/>
    </xf>
    <xf numFmtId="164" fontId="31" fillId="2" borderId="53" xfId="0" applyNumberFormat="1" applyFont="1" applyFill="1" applyBorder="1" applyProtection="1">
      <protection hidden="1"/>
    </xf>
    <xf numFmtId="164" fontId="0" fillId="2" borderId="53" xfId="0" applyNumberFormat="1" applyFill="1" applyBorder="1" applyProtection="1">
      <protection hidden="1"/>
    </xf>
    <xf numFmtId="0" fontId="0" fillId="8" borderId="0" xfId="0" applyFill="1" applyBorder="1" applyProtection="1">
      <protection hidden="1"/>
    </xf>
    <xf numFmtId="164" fontId="0" fillId="8" borderId="53" xfId="0" applyNumberFormat="1" applyFill="1" applyBorder="1" applyProtection="1">
      <protection hidden="1"/>
    </xf>
    <xf numFmtId="0" fontId="0" fillId="0" borderId="36" xfId="0" applyBorder="1" applyProtection="1">
      <protection hidden="1"/>
    </xf>
    <xf numFmtId="0" fontId="0" fillId="0" borderId="0" xfId="0" applyBorder="1" applyProtection="1">
      <protection hidden="1"/>
    </xf>
    <xf numFmtId="14" fontId="0" fillId="0" borderId="0" xfId="0" applyNumberFormat="1" applyBorder="1" applyAlignment="1" applyProtection="1">
      <alignment horizontal="center"/>
      <protection hidden="1"/>
    </xf>
    <xf numFmtId="4" fontId="0" fillId="0" borderId="0" xfId="0" applyNumberFormat="1" applyBorder="1" applyAlignment="1" applyProtection="1">
      <alignment horizontal="center"/>
      <protection hidden="1"/>
    </xf>
    <xf numFmtId="4" fontId="31" fillId="0" borderId="0" xfId="0" applyNumberFormat="1" applyFont="1" applyBorder="1" applyAlignment="1" applyProtection="1">
      <alignment horizontal="center"/>
      <protection hidden="1"/>
    </xf>
    <xf numFmtId="4" fontId="41" fillId="0" borderId="0" xfId="0" applyNumberFormat="1" applyFont="1" applyBorder="1" applyAlignment="1" applyProtection="1">
      <alignment horizontal="center"/>
      <protection hidden="1"/>
    </xf>
    <xf numFmtId="4" fontId="0" fillId="0" borderId="0" xfId="0" applyNumberFormat="1" applyFill="1" applyBorder="1" applyAlignment="1" applyProtection="1">
      <alignment horizontal="center"/>
      <protection hidden="1"/>
    </xf>
    <xf numFmtId="0" fontId="0" fillId="0" borderId="0" xfId="0" applyFill="1" applyProtection="1">
      <protection hidden="1"/>
    </xf>
    <xf numFmtId="0" fontId="0" fillId="0" borderId="0" xfId="0" applyBorder="1" applyAlignment="1" applyProtection="1">
      <alignment horizontal="center"/>
      <protection hidden="1"/>
    </xf>
    <xf numFmtId="14" fontId="0" fillId="0" borderId="0" xfId="0" applyNumberFormat="1"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Border="1" applyAlignment="1" applyProtection="1">
      <alignment horizontal="center"/>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4" fontId="0" fillId="2" borderId="0" xfId="0" applyNumberFormat="1" applyFill="1" applyBorder="1" applyAlignment="1" applyProtection="1">
      <alignment horizontal="center"/>
      <protection hidden="1"/>
    </xf>
    <xf numFmtId="168" fontId="0" fillId="2" borderId="0"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4" fontId="0" fillId="2" borderId="11" xfId="0" applyNumberFormat="1" applyFill="1" applyBorder="1" applyProtection="1">
      <protection locked="0"/>
    </xf>
    <xf numFmtId="0" fontId="55" fillId="2" borderId="0" xfId="0" applyFont="1" applyFill="1" applyAlignment="1">
      <alignment horizontal="center" wrapText="1"/>
    </xf>
    <xf numFmtId="165" fontId="56" fillId="2" borderId="11" xfId="1" applyNumberFormat="1" applyFont="1" applyFill="1" applyBorder="1" applyAlignment="1" applyProtection="1">
      <alignment horizontal="center" vertical="center"/>
      <protection hidden="1"/>
    </xf>
    <xf numFmtId="10" fontId="0" fillId="6" borderId="11" xfId="0" applyNumberFormat="1" applyFill="1" applyBorder="1" applyProtection="1">
      <protection locked="0"/>
    </xf>
    <xf numFmtId="0" fontId="33"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57" fillId="2" borderId="0" xfId="0" applyFont="1" applyFill="1" applyBorder="1" applyProtection="1">
      <protection hidden="1"/>
    </xf>
    <xf numFmtId="10" fontId="57" fillId="2" borderId="0" xfId="0" applyNumberFormat="1" applyFont="1" applyFill="1" applyBorder="1" applyProtection="1">
      <protection hidden="1"/>
    </xf>
    <xf numFmtId="0" fontId="57" fillId="2" borderId="0" xfId="0" applyFont="1" applyFill="1" applyBorder="1" applyAlignment="1" applyProtection="1">
      <alignment wrapText="1"/>
      <protection hidden="1"/>
    </xf>
    <xf numFmtId="14" fontId="57" fillId="2" borderId="0" xfId="0" applyNumberFormat="1" applyFont="1" applyFill="1" applyBorder="1" applyProtection="1">
      <protection hidden="1"/>
    </xf>
    <xf numFmtId="10" fontId="0" fillId="2" borderId="11" xfId="0" applyNumberFormat="1" applyFill="1" applyBorder="1" applyProtection="1">
      <protection locked="0"/>
    </xf>
    <xf numFmtId="10" fontId="0" fillId="0" borderId="0" xfId="0" applyNumberFormat="1"/>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9" fontId="2"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 fontId="14" fillId="0" borderId="37" xfId="0" applyNumberFormat="1" applyFont="1" applyFill="1" applyBorder="1" applyAlignment="1" applyProtection="1">
      <alignment horizontal="center"/>
      <protection locked="0"/>
    </xf>
    <xf numFmtId="4" fontId="14" fillId="0" borderId="4" xfId="0" applyNumberFormat="1" applyFont="1" applyFill="1" applyBorder="1" applyAlignment="1" applyProtection="1">
      <alignment horizontal="center"/>
      <protection locked="0"/>
    </xf>
    <xf numFmtId="0" fontId="4" fillId="0" borderId="3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 fontId="14" fillId="0" borderId="10" xfId="0" applyNumberFormat="1" applyFont="1" applyFill="1" applyBorder="1" applyAlignment="1" applyProtection="1">
      <alignment horizontal="center"/>
      <protection locked="0"/>
    </xf>
    <xf numFmtId="4" fontId="14" fillId="0" borderId="7" xfId="0" applyNumberFormat="1" applyFont="1" applyFill="1" applyBorder="1" applyAlignment="1" applyProtection="1">
      <alignment horizont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52" fillId="2" borderId="0" xfId="0" applyFont="1" applyFill="1" applyBorder="1" applyAlignment="1">
      <alignment horizontal="justify"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 fontId="0" fillId="0" borderId="37" xfId="0" applyNumberFormat="1" applyFill="1" applyBorder="1" applyAlignment="1" applyProtection="1">
      <alignment horizontal="center"/>
      <protection locked="0"/>
    </xf>
    <xf numFmtId="4" fontId="0" fillId="0" borderId="4" xfId="0" applyNumberFormat="1" applyFill="1" applyBorder="1" applyAlignment="1" applyProtection="1">
      <alignment horizontal="center"/>
      <protection locked="0"/>
    </xf>
    <xf numFmtId="4" fontId="0" fillId="0" borderId="10" xfId="0" applyNumberFormat="1" applyFill="1" applyBorder="1" applyAlignment="1" applyProtection="1">
      <alignment horizontal="center"/>
      <protection locked="0"/>
    </xf>
    <xf numFmtId="4" fontId="0" fillId="0" borderId="7" xfId="0" applyNumberFormat="1" applyFill="1" applyBorder="1" applyAlignment="1" applyProtection="1">
      <alignment horizontal="center"/>
      <protection locked="0"/>
    </xf>
    <xf numFmtId="0" fontId="0" fillId="2" borderId="43" xfId="0" applyFill="1" applyBorder="1" applyAlignment="1">
      <alignment horizontal="left"/>
    </xf>
    <xf numFmtId="0" fontId="0" fillId="2" borderId="44" xfId="0" applyFill="1" applyBorder="1" applyAlignment="1">
      <alignment horizontal="left"/>
    </xf>
    <xf numFmtId="0" fontId="0" fillId="2" borderId="46" xfId="0" applyFill="1" applyBorder="1" applyAlignment="1">
      <alignment horizontal="left"/>
    </xf>
    <xf numFmtId="0" fontId="0" fillId="2" borderId="62" xfId="0" applyFill="1" applyBorder="1" applyAlignment="1">
      <alignment horizontal="left"/>
    </xf>
    <xf numFmtId="0" fontId="33" fillId="2" borderId="0" xfId="0" applyFont="1" applyFill="1" applyAlignment="1">
      <alignment horizontal="center"/>
    </xf>
    <xf numFmtId="0" fontId="32" fillId="2" borderId="0" xfId="0" applyFont="1" applyFill="1" applyBorder="1" applyAlignment="1">
      <alignment horizontal="left"/>
    </xf>
    <xf numFmtId="0" fontId="0" fillId="3" borderId="21" xfId="0" applyFill="1" applyBorder="1" applyAlignment="1">
      <alignment horizontal="left"/>
    </xf>
    <xf numFmtId="0" fontId="1" fillId="3" borderId="11" xfId="0" applyFont="1" applyFill="1" applyBorder="1" applyAlignment="1">
      <alignment horizontal="left" wrapText="1"/>
    </xf>
    <xf numFmtId="0" fontId="0" fillId="3" borderId="20" xfId="0" applyFill="1" applyBorder="1" applyAlignment="1">
      <alignment horizontal="left"/>
    </xf>
    <xf numFmtId="0" fontId="0" fillId="2" borderId="75" xfId="0" applyFill="1" applyBorder="1" applyAlignment="1">
      <alignment horizontal="left"/>
    </xf>
    <xf numFmtId="0" fontId="0" fillId="5" borderId="13" xfId="0" applyFill="1" applyBorder="1" applyAlignment="1" applyProtection="1">
      <alignment horizontal="left"/>
      <protection hidden="1"/>
    </xf>
    <xf numFmtId="0" fontId="0" fillId="5" borderId="85" xfId="0" applyFill="1" applyBorder="1" applyAlignment="1" applyProtection="1">
      <alignment horizontal="left"/>
      <protection hidden="1"/>
    </xf>
    <xf numFmtId="4" fontId="0" fillId="2" borderId="13" xfId="0" applyNumberFormat="1" applyFill="1" applyBorder="1" applyAlignment="1" applyProtection="1">
      <alignment horizontal="center"/>
      <protection locked="0"/>
    </xf>
    <xf numFmtId="4" fontId="0" fillId="2" borderId="14" xfId="0" applyNumberFormat="1" applyFill="1" applyBorder="1" applyAlignment="1" applyProtection="1">
      <alignment horizontal="center"/>
      <protection locked="0"/>
    </xf>
    <xf numFmtId="0" fontId="33" fillId="2" borderId="0" xfId="0" applyFont="1" applyFill="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2" borderId="13" xfId="0" applyNumberFormat="1" applyFill="1" applyBorder="1" applyAlignment="1" applyProtection="1">
      <alignment horizontal="center"/>
      <protection hidden="1"/>
    </xf>
    <xf numFmtId="4" fontId="0" fillId="2" borderId="14" xfId="0" applyNumberFormat="1" applyFill="1" applyBorder="1" applyAlignment="1" applyProtection="1">
      <alignment horizontal="center"/>
      <protection hidden="1"/>
    </xf>
    <xf numFmtId="0" fontId="41" fillId="2" borderId="11" xfId="0" applyFont="1" applyFill="1" applyBorder="1" applyAlignment="1" applyProtection="1">
      <alignment horizontal="left"/>
      <protection hidden="1"/>
    </xf>
    <xf numFmtId="10" fontId="0" fillId="2"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0" fillId="2" borderId="20"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0" fontId="10" fillId="5" borderId="85"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41" fillId="5" borderId="13" xfId="0" applyFont="1" applyFill="1" applyBorder="1" applyAlignment="1" applyProtection="1">
      <alignment horizontal="justify" vertical="top" wrapText="1"/>
      <protection hidden="1"/>
    </xf>
    <xf numFmtId="0" fontId="41" fillId="5" borderId="85" xfId="0" applyFont="1" applyFill="1" applyBorder="1" applyAlignment="1" applyProtection="1">
      <alignment horizontal="justify" vertical="top" wrapText="1"/>
      <protection hidden="1"/>
    </xf>
    <xf numFmtId="0" fontId="0" fillId="2" borderId="13" xfId="0" applyFill="1" applyBorder="1" applyAlignment="1" applyProtection="1">
      <alignment horizontal="center"/>
      <protection hidden="1"/>
    </xf>
    <xf numFmtId="0" fontId="0" fillId="2" borderId="85" xfId="0" applyFill="1" applyBorder="1" applyAlignment="1" applyProtection="1">
      <alignment horizontal="center"/>
      <protection hidden="1"/>
    </xf>
    <xf numFmtId="0" fontId="0" fillId="2" borderId="14" xfId="0" applyFill="1" applyBorder="1" applyAlignment="1" applyProtection="1">
      <alignment horizontal="center"/>
      <protection hidden="1"/>
    </xf>
    <xf numFmtId="10" fontId="0" fillId="2" borderId="11" xfId="0" applyNumberFormat="1" applyFill="1" applyBorder="1" applyAlignment="1" applyProtection="1">
      <alignment horizontal="center"/>
      <protection hidden="1"/>
    </xf>
    <xf numFmtId="0" fontId="22" fillId="4" borderId="19"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22" fillId="4" borderId="18" xfId="1" applyFont="1" applyFill="1" applyBorder="1" applyAlignment="1" applyProtection="1">
      <alignment horizontal="center" vertical="center" wrapText="1"/>
      <protection hidden="1"/>
    </xf>
    <xf numFmtId="0" fontId="22" fillId="4" borderId="17"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2" fillId="4" borderId="29" xfId="1" applyFont="1" applyFill="1" applyBorder="1" applyAlignment="1" applyProtection="1">
      <alignment horizontal="center" vertical="center" wrapText="1"/>
      <protection hidden="1"/>
    </xf>
    <xf numFmtId="0" fontId="22" fillId="4" borderId="20" xfId="1" applyFont="1" applyFill="1" applyBorder="1" applyAlignment="1" applyProtection="1">
      <alignment horizontal="center" vertical="center" wrapText="1"/>
      <protection hidden="1"/>
    </xf>
    <xf numFmtId="0" fontId="22" fillId="4" borderId="77"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85" xfId="1" applyFont="1" applyFill="1" applyBorder="1" applyAlignment="1" applyProtection="1">
      <alignment horizontal="left" vertical="center" wrapText="1"/>
      <protection hidden="1"/>
    </xf>
    <xf numFmtId="0" fontId="22" fillId="4" borderId="27"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xf numFmtId="0" fontId="14" fillId="0" borderId="0" xfId="0" applyFont="1" applyAlignment="1">
      <alignment horizontal="left" wrapText="1"/>
    </xf>
    <xf numFmtId="165" fontId="19" fillId="2" borderId="0" xfId="1" applyNumberFormat="1" applyFont="1" applyFill="1" applyBorder="1" applyAlignment="1" applyProtection="1">
      <alignment horizontal="left" vertical="center"/>
      <protection locked="0" hidden="1"/>
    </xf>
    <xf numFmtId="165" fontId="19" fillId="2" borderId="12" xfId="1" applyNumberFormat="1" applyFont="1" applyFill="1" applyBorder="1" applyAlignment="1" applyProtection="1">
      <alignment horizontal="left" vertical="center"/>
      <protection locked="0" hidden="1"/>
    </xf>
    <xf numFmtId="165" fontId="8" fillId="2" borderId="21" xfId="1" applyNumberFormat="1" applyFont="1" applyFill="1" applyBorder="1" applyAlignment="1" applyProtection="1">
      <alignment horizontal="left" vertical="center"/>
      <protection hidden="1"/>
    </xf>
    <xf numFmtId="165" fontId="8" fillId="0" borderId="20" xfId="1" applyNumberFormat="1" applyFont="1" applyFill="1" applyBorder="1" applyAlignment="1" applyProtection="1">
      <alignment horizontal="center" vertical="center" wrapText="1"/>
      <protection locked="0" hidden="1"/>
    </xf>
    <xf numFmtId="0" fontId="8" fillId="0" borderId="21" xfId="1" applyFont="1" applyFill="1" applyBorder="1" applyAlignment="1" applyProtection="1">
      <alignment horizontal="center" vertical="center" wrapText="1"/>
      <protection locked="0" hidden="1"/>
    </xf>
    <xf numFmtId="0" fontId="8" fillId="0" borderId="88" xfId="1" applyFont="1" applyFill="1" applyBorder="1" applyAlignment="1" applyProtection="1">
      <alignment horizontal="center" vertical="center" wrapText="1"/>
      <protection locked="0" hidden="1"/>
    </xf>
    <xf numFmtId="0" fontId="8" fillId="0" borderId="89"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87" xfId="1" applyFont="1" applyFill="1" applyBorder="1" applyAlignment="1" applyProtection="1">
      <alignment horizontal="center" vertical="center" wrapText="1"/>
      <protection locked="0" hidden="1"/>
    </xf>
    <xf numFmtId="0" fontId="0" fillId="2" borderId="88"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87" xfId="0" applyFill="1" applyBorder="1" applyAlignment="1">
      <alignment horizontal="center" vertical="center" wrapText="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28" xfId="1" applyFont="1" applyFill="1" applyBorder="1" applyAlignment="1" applyProtection="1">
      <alignment horizontal="center" vertical="center" wrapText="1"/>
      <protection hidden="1"/>
    </xf>
    <xf numFmtId="0" fontId="22" fillId="4" borderId="31" xfId="1" applyFont="1" applyFill="1" applyBorder="1" applyAlignment="1" applyProtection="1">
      <alignment horizontal="center" vertical="center" wrapText="1"/>
      <protection hidden="1"/>
    </xf>
    <xf numFmtId="0" fontId="22" fillId="4" borderId="32" xfId="1" applyFont="1" applyFill="1" applyBorder="1" applyAlignment="1" applyProtection="1">
      <alignment horizontal="center" vertical="center" wrapText="1"/>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20" fillId="2" borderId="12" xfId="1" applyFont="1" applyFill="1" applyBorder="1" applyAlignment="1" applyProtection="1">
      <alignment horizontal="left" wrapText="1"/>
      <protection hidden="1"/>
    </xf>
    <xf numFmtId="0" fontId="22" fillId="4" borderId="30" xfId="1" applyFont="1" applyFill="1" applyBorder="1" applyAlignment="1" applyProtection="1">
      <alignment horizontal="center" vertical="center" wrapText="1"/>
      <protection hidden="1"/>
    </xf>
    <xf numFmtId="0" fontId="23" fillId="4" borderId="30"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34"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39" fillId="4" borderId="11" xfId="1" applyFont="1" applyFill="1" applyBorder="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avex.com.ua/vazhliva-informaciya-dlya-kliyentiv-banku/dlya-pozichalnikiv-banku" TargetMode="External"/><Relationship Id="rId1" Type="http://schemas.openxmlformats.org/officeDocument/2006/relationships/hyperlink" Target="mailto:bank@pravex.kiev.ua"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topLeftCell="A10" zoomScale="70" zoomScaleNormal="70" workbookViewId="0">
      <selection activeCell="B24" sqref="B24:C25"/>
    </sheetView>
  </sheetViews>
  <sheetFormatPr defaultRowHeight="14.5" x14ac:dyDescent="0.35"/>
  <cols>
    <col min="1" max="1" width="45.54296875" customWidth="1"/>
    <col min="2" max="2" width="14.453125" customWidth="1"/>
    <col min="3" max="3" width="60" customWidth="1"/>
    <col min="4" max="4" width="10" bestFit="1" customWidth="1"/>
  </cols>
  <sheetData>
    <row r="1" spans="1:5" ht="28.5" x14ac:dyDescent="0.35">
      <c r="A1" s="228"/>
      <c r="B1" s="228"/>
      <c r="C1" s="296" t="s">
        <v>562</v>
      </c>
    </row>
    <row r="2" spans="1:5" ht="15" thickBot="1" x14ac:dyDescent="0.4">
      <c r="A2" s="355" t="s">
        <v>0</v>
      </c>
      <c r="B2" s="356"/>
      <c r="C2" s="356"/>
    </row>
    <row r="3" spans="1:5" ht="15" customHeight="1" x14ac:dyDescent="0.35">
      <c r="A3" s="345" t="s">
        <v>1</v>
      </c>
      <c r="B3" s="358" t="s">
        <v>105</v>
      </c>
      <c r="C3" s="359"/>
    </row>
    <row r="4" spans="1:5" ht="15" thickBot="1" x14ac:dyDescent="0.4">
      <c r="A4" s="346"/>
      <c r="B4" s="360"/>
      <c r="C4" s="361"/>
    </row>
    <row r="5" spans="1:5" ht="15" thickBot="1" x14ac:dyDescent="0.4">
      <c r="A5" s="357"/>
      <c r="B5" s="317" t="s">
        <v>349</v>
      </c>
      <c r="C5" s="318"/>
      <c r="E5" s="215" t="s">
        <v>541</v>
      </c>
    </row>
    <row r="6" spans="1:5" ht="15" customHeight="1" x14ac:dyDescent="0.35">
      <c r="A6" s="345" t="s">
        <v>3</v>
      </c>
      <c r="B6" s="358" t="s">
        <v>4</v>
      </c>
      <c r="C6" s="359"/>
    </row>
    <row r="7" spans="1:5" x14ac:dyDescent="0.35">
      <c r="A7" s="346"/>
      <c r="B7" s="362" t="s">
        <v>5</v>
      </c>
      <c r="C7" s="363"/>
    </row>
    <row r="8" spans="1:5" ht="15" thickBot="1" x14ac:dyDescent="0.4">
      <c r="A8" s="357"/>
      <c r="B8" s="364"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49020, м. Дніпро, 
вул.  Шевченка, 59</v>
      </c>
      <c r="C8" s="365"/>
    </row>
    <row r="9" spans="1:5" x14ac:dyDescent="0.35">
      <c r="A9" s="366" t="s">
        <v>6</v>
      </c>
      <c r="B9" s="368" t="s">
        <v>7</v>
      </c>
      <c r="C9" s="369"/>
    </row>
    <row r="10" spans="1:5" ht="15" thickBot="1" x14ac:dyDescent="0.4">
      <c r="A10" s="367"/>
      <c r="B10" s="370" t="s">
        <v>106</v>
      </c>
      <c r="C10" s="371"/>
    </row>
    <row r="11" spans="1:5" ht="15" thickBot="1" x14ac:dyDescent="0.4">
      <c r="A11" s="226" t="s">
        <v>8</v>
      </c>
      <c r="B11" s="317" t="s">
        <v>9</v>
      </c>
      <c r="C11" s="318"/>
    </row>
    <row r="12" spans="1:5" ht="15" thickBot="1" x14ac:dyDescent="0.4">
      <c r="A12" s="226" t="s">
        <v>10</v>
      </c>
      <c r="B12" s="317" t="s">
        <v>11</v>
      </c>
      <c r="C12" s="318"/>
    </row>
    <row r="13" spans="1:5" ht="15" thickBot="1" x14ac:dyDescent="0.4">
      <c r="A13" s="226" t="s">
        <v>12</v>
      </c>
      <c r="B13" s="317" t="s">
        <v>560</v>
      </c>
      <c r="C13" s="318"/>
    </row>
    <row r="14" spans="1:5" ht="15.75" customHeight="1" thickBot="1" x14ac:dyDescent="0.4">
      <c r="A14" s="338" t="s">
        <v>14</v>
      </c>
      <c r="B14" s="339"/>
      <c r="C14" s="340"/>
    </row>
    <row r="15" spans="1:5" ht="15.75" customHeight="1" thickBot="1" x14ac:dyDescent="0.4">
      <c r="A15" s="193" t="s">
        <v>156</v>
      </c>
      <c r="B15" s="349" t="s">
        <v>157</v>
      </c>
      <c r="C15" s="350"/>
    </row>
    <row r="16" spans="1:5" ht="15.75" customHeight="1" thickBot="1" x14ac:dyDescent="0.4">
      <c r="A16" s="193" t="s">
        <v>158</v>
      </c>
      <c r="B16" s="351"/>
      <c r="C16" s="352"/>
    </row>
    <row r="17" spans="1:5" ht="15.75" customHeight="1" thickBot="1" x14ac:dyDescent="0.4">
      <c r="A17" s="193" t="s">
        <v>8</v>
      </c>
      <c r="B17" s="351"/>
      <c r="C17" s="352"/>
    </row>
    <row r="18" spans="1:5" ht="15.75" customHeight="1" thickBot="1" x14ac:dyDescent="0.4">
      <c r="A18" s="193" t="s">
        <v>10</v>
      </c>
      <c r="B18" s="351"/>
      <c r="C18" s="352"/>
    </row>
    <row r="19" spans="1:5" ht="15.75" customHeight="1" thickBot="1" x14ac:dyDescent="0.4">
      <c r="A19" s="193" t="s">
        <v>159</v>
      </c>
      <c r="B19" s="353"/>
      <c r="C19" s="354"/>
    </row>
    <row r="20" spans="1:5" ht="15.75" customHeight="1" thickBot="1" x14ac:dyDescent="0.4">
      <c r="A20" s="338" t="s">
        <v>15</v>
      </c>
      <c r="B20" s="339"/>
      <c r="C20" s="340"/>
    </row>
    <row r="21" spans="1:5" ht="15" thickBot="1" x14ac:dyDescent="0.4">
      <c r="A21" s="226" t="s">
        <v>16</v>
      </c>
      <c r="B21" s="317" t="s">
        <v>80</v>
      </c>
      <c r="C21" s="318"/>
    </row>
    <row r="22" spans="1:5" ht="15" thickBot="1" x14ac:dyDescent="0.4">
      <c r="A22" s="226" t="s">
        <v>17</v>
      </c>
      <c r="B22" s="334">
        <f>'график анн Базова'!F7</f>
        <v>2000000</v>
      </c>
      <c r="C22" s="335"/>
    </row>
    <row r="23" spans="1:5" ht="15" thickBot="1" x14ac:dyDescent="0.4">
      <c r="A23" s="226" t="s">
        <v>160</v>
      </c>
      <c r="B23" s="341" t="str">
        <f>CONCATENATE(E23,D23)</f>
        <v>240 міс.</v>
      </c>
      <c r="C23" s="342"/>
      <c r="D23" s="194" t="s">
        <v>161</v>
      </c>
      <c r="E23" s="194">
        <f>'график анн Базова'!F8</f>
        <v>240</v>
      </c>
    </row>
    <row r="24" spans="1:5" x14ac:dyDescent="0.35">
      <c r="A24" s="343" t="s">
        <v>19</v>
      </c>
      <c r="B24" s="320" t="s">
        <v>558</v>
      </c>
      <c r="C24" s="321"/>
    </row>
    <row r="25" spans="1:5" ht="15" thickBot="1" x14ac:dyDescent="0.4">
      <c r="A25" s="344"/>
      <c r="B25" s="322"/>
      <c r="C25" s="323"/>
    </row>
    <row r="26" spans="1:5" ht="27" customHeight="1" thickBot="1" x14ac:dyDescent="0.4">
      <c r="A26" s="178" t="s">
        <v>20</v>
      </c>
      <c r="B26" s="317" t="s">
        <v>123</v>
      </c>
      <c r="C26" s="318"/>
    </row>
    <row r="27" spans="1:5" ht="15" thickBot="1" x14ac:dyDescent="0.4">
      <c r="A27" s="225" t="s">
        <v>21</v>
      </c>
      <c r="B27" s="317" t="s">
        <v>134</v>
      </c>
      <c r="C27" s="318"/>
    </row>
    <row r="28" spans="1:5" ht="38.25" customHeight="1" thickBot="1" x14ac:dyDescent="0.4">
      <c r="A28" s="225" t="s">
        <v>22</v>
      </c>
      <c r="B28" s="317" t="s">
        <v>136</v>
      </c>
      <c r="C28" s="318"/>
    </row>
    <row r="29" spans="1:5" ht="20.25" customHeight="1" x14ac:dyDescent="0.35">
      <c r="A29" s="345" t="s">
        <v>24</v>
      </c>
      <c r="B29" s="347">
        <v>0.2</v>
      </c>
      <c r="C29" s="348"/>
    </row>
    <row r="30" spans="1:5" ht="15" thickBot="1" x14ac:dyDescent="0.4">
      <c r="A30" s="346"/>
      <c r="B30" s="314"/>
      <c r="C30" s="316"/>
    </row>
    <row r="31" spans="1:5" ht="19.5" customHeight="1" thickBot="1" x14ac:dyDescent="0.4">
      <c r="A31" s="338" t="s">
        <v>178</v>
      </c>
      <c r="B31" s="339"/>
      <c r="C31" s="340"/>
    </row>
    <row r="32" spans="1:5" ht="19.5" customHeight="1" thickBot="1" x14ac:dyDescent="0.4">
      <c r="A32" s="83" t="s">
        <v>549</v>
      </c>
      <c r="B32" s="309">
        <f>'график анн Базова'!F9</f>
        <v>0.12859999999999999</v>
      </c>
      <c r="C32" s="310"/>
      <c r="E32" s="308"/>
    </row>
    <row r="33" spans="1:3" ht="15" thickBot="1" x14ac:dyDescent="0.4">
      <c r="A33" s="225" t="s">
        <v>27</v>
      </c>
      <c r="B33" s="322" t="s">
        <v>548</v>
      </c>
      <c r="C33" s="323"/>
    </row>
    <row r="34" spans="1:3" ht="29.25" customHeight="1" thickBot="1" x14ac:dyDescent="0.4">
      <c r="A34" s="225" t="s">
        <v>28</v>
      </c>
      <c r="B34" s="317" t="s">
        <v>563</v>
      </c>
      <c r="C34" s="318"/>
    </row>
    <row r="35" spans="1:3" ht="23.5" thickBot="1" x14ac:dyDescent="0.4">
      <c r="A35" s="225" t="s">
        <v>29</v>
      </c>
      <c r="B35" s="317" t="s">
        <v>30</v>
      </c>
      <c r="C35" s="318"/>
    </row>
    <row r="36" spans="1:3" ht="15" thickBot="1" x14ac:dyDescent="0.4">
      <c r="A36" s="225" t="s">
        <v>104</v>
      </c>
      <c r="B36" s="309">
        <f>'график анн Базова'!P3</f>
        <v>5.0000000000000001E-3</v>
      </c>
      <c r="C36" s="310"/>
    </row>
    <row r="37" spans="1:3" ht="15" thickBot="1" x14ac:dyDescent="0.4">
      <c r="A37" s="225" t="s">
        <v>31</v>
      </c>
      <c r="B37" s="333" t="s">
        <v>23</v>
      </c>
      <c r="C37" s="318"/>
    </row>
    <row r="38" spans="1:3" ht="26.25" customHeight="1" thickBot="1" x14ac:dyDescent="0.4">
      <c r="A38" s="83" t="s">
        <v>32</v>
      </c>
      <c r="B38" s="334" t="s">
        <v>23</v>
      </c>
      <c r="C38" s="318"/>
    </row>
    <row r="39" spans="1:3" ht="15" hidden="1" thickBot="1" x14ac:dyDescent="0.4">
      <c r="A39" s="225"/>
      <c r="B39" s="2"/>
      <c r="C39" s="228"/>
    </row>
    <row r="40" spans="1:3" ht="23.5" thickBot="1" x14ac:dyDescent="0.4">
      <c r="A40" s="195" t="s">
        <v>162</v>
      </c>
      <c r="B40" s="336" t="s">
        <v>163</v>
      </c>
      <c r="C40" s="337"/>
    </row>
    <row r="41" spans="1:3" ht="23.5" thickBot="1" x14ac:dyDescent="0.4">
      <c r="A41" s="195" t="s">
        <v>164</v>
      </c>
      <c r="B41" s="336" t="s">
        <v>165</v>
      </c>
      <c r="C41" s="337"/>
    </row>
    <row r="42" spans="1:3" ht="15" thickBot="1" x14ac:dyDescent="0.4">
      <c r="A42" s="225" t="s">
        <v>33</v>
      </c>
      <c r="B42" s="334">
        <f ca="1">B43-B22</f>
        <v>3772974.8811793886</v>
      </c>
      <c r="C42" s="335"/>
    </row>
    <row r="43" spans="1:3" ht="35" thickBot="1" x14ac:dyDescent="0.4">
      <c r="A43" s="225" t="s">
        <v>34</v>
      </c>
      <c r="B43" s="334">
        <f ca="1">SUM('дод 1 до дог кредит_Базова'!P30:P280)</f>
        <v>5772974.8811793886</v>
      </c>
      <c r="C43" s="335"/>
    </row>
    <row r="44" spans="1:3" ht="15" thickBot="1" x14ac:dyDescent="0.4">
      <c r="A44" s="224" t="s">
        <v>35</v>
      </c>
      <c r="B44" s="309">
        <f ca="1">SUM('график анн Базова'!P25:P265)</f>
        <v>0.14613742232322699</v>
      </c>
      <c r="C44" s="310"/>
    </row>
    <row r="45" spans="1:3" ht="48" customHeight="1" thickBot="1" x14ac:dyDescent="0.4">
      <c r="A45" s="330" t="s">
        <v>36</v>
      </c>
      <c r="B45" s="331"/>
      <c r="C45" s="332"/>
    </row>
    <row r="46" spans="1:3" ht="24" customHeight="1" thickBot="1" x14ac:dyDescent="0.4">
      <c r="A46" s="330" t="s">
        <v>135</v>
      </c>
      <c r="B46" s="331"/>
      <c r="C46" s="332"/>
    </row>
    <row r="47" spans="1:3" ht="24" customHeight="1" thickBot="1" x14ac:dyDescent="0.4">
      <c r="A47" s="330" t="s">
        <v>38</v>
      </c>
      <c r="B47" s="331"/>
      <c r="C47" s="332"/>
    </row>
    <row r="48" spans="1:3" ht="24" customHeight="1" thickBot="1" x14ac:dyDescent="0.4">
      <c r="A48" s="196" t="s">
        <v>166</v>
      </c>
      <c r="B48" s="341" t="s">
        <v>30</v>
      </c>
      <c r="C48" s="342"/>
    </row>
    <row r="49" spans="1:5" ht="24" customHeight="1" thickBot="1" x14ac:dyDescent="0.4">
      <c r="A49" s="197" t="s">
        <v>177</v>
      </c>
      <c r="B49" s="373" t="str">
        <f>IF(D49=0,E49,CONCATENATE(E49,D49))</f>
        <v>так, 10000</v>
      </c>
      <c r="C49" s="374"/>
      <c r="D49" s="198">
        <f>'график анн Базова'!I24</f>
        <v>10000</v>
      </c>
      <c r="E49" s="194" t="str">
        <f>IF(D49&gt;0,"так, ","ні")</f>
        <v xml:space="preserve">так, </v>
      </c>
    </row>
    <row r="50" spans="1:5" ht="24" customHeight="1" thickBot="1" x14ac:dyDescent="0.4">
      <c r="A50" s="197" t="s">
        <v>167</v>
      </c>
      <c r="B50" s="373" t="str">
        <f>IF(D50=0,E50,CONCATENATE(E50,D50))</f>
        <v>так, 2000</v>
      </c>
      <c r="C50" s="374"/>
      <c r="D50" s="198">
        <f>'график анн Базова'!J24</f>
        <v>2000</v>
      </c>
      <c r="E50" s="194" t="str">
        <f>IF(D50&gt;0,"так, ","ні")</f>
        <v xml:space="preserve">так, </v>
      </c>
    </row>
    <row r="51" spans="1:5" ht="24" customHeight="1" thickBot="1" x14ac:dyDescent="0.4">
      <c r="A51" s="197" t="s">
        <v>168</v>
      </c>
      <c r="B51" s="373" t="str">
        <f>IF(D51=0,E51,CONCATENATE(E51,D51))</f>
        <v>так, 150000</v>
      </c>
      <c r="C51" s="374"/>
      <c r="D51" s="198">
        <f>'график анн Базова'!P9+'график анн Базова'!P11</f>
        <v>150000</v>
      </c>
      <c r="E51" s="194" t="str">
        <f>IF(D51&gt;0,"так, ","ні")</f>
        <v xml:space="preserve">так, </v>
      </c>
    </row>
    <row r="52" spans="1:5" ht="24" customHeight="1" thickBot="1" x14ac:dyDescent="0.4">
      <c r="A52" s="197" t="s">
        <v>169</v>
      </c>
      <c r="B52" s="373" t="str">
        <f>IF(D52=0,E52,CONCATENATE(E52,D52))</f>
        <v>так, 25000</v>
      </c>
      <c r="C52" s="374"/>
      <c r="D52" s="198">
        <f>'график анн Базова'!L24</f>
        <v>25000</v>
      </c>
      <c r="E52" s="194" t="str">
        <f>IF(D52&gt;0,"так, ","ні")</f>
        <v xml:space="preserve">так, </v>
      </c>
    </row>
    <row r="53" spans="1:5" ht="15" thickBot="1" x14ac:dyDescent="0.4">
      <c r="A53" s="338" t="s">
        <v>39</v>
      </c>
      <c r="B53" s="339"/>
      <c r="C53" s="340"/>
    </row>
    <row r="54" spans="1:5" ht="72" customHeight="1" thickBot="1" x14ac:dyDescent="0.4">
      <c r="A54" s="83" t="s">
        <v>40</v>
      </c>
      <c r="B54" s="341" t="s">
        <v>170</v>
      </c>
      <c r="C54" s="342"/>
    </row>
    <row r="55" spans="1:5" ht="15" thickBot="1" x14ac:dyDescent="0.4">
      <c r="A55" s="338" t="s">
        <v>42</v>
      </c>
      <c r="B55" s="339"/>
      <c r="C55" s="340"/>
    </row>
    <row r="56" spans="1:5" ht="23.5" thickBot="1" x14ac:dyDescent="0.4">
      <c r="A56" s="225" t="s">
        <v>561</v>
      </c>
      <c r="B56" s="341" t="s">
        <v>171</v>
      </c>
      <c r="C56" s="342"/>
    </row>
    <row r="57" spans="1:5" ht="15" thickBot="1" x14ac:dyDescent="0.4">
      <c r="A57" s="225" t="s">
        <v>46</v>
      </c>
      <c r="B57" s="317" t="s">
        <v>47</v>
      </c>
      <c r="C57" s="318"/>
    </row>
    <row r="58" spans="1:5" ht="15" thickBot="1" x14ac:dyDescent="0.4">
      <c r="A58" s="195" t="s">
        <v>172</v>
      </c>
      <c r="B58" s="336" t="s">
        <v>23</v>
      </c>
      <c r="C58" s="337"/>
    </row>
    <row r="59" spans="1:5" ht="23.5" thickBot="1" x14ac:dyDescent="0.4">
      <c r="A59" s="225" t="s">
        <v>139</v>
      </c>
      <c r="B59" s="317" t="s">
        <v>81</v>
      </c>
      <c r="C59" s="318"/>
    </row>
    <row r="60" spans="1:5" ht="15" thickBot="1" x14ac:dyDescent="0.4">
      <c r="A60" s="225" t="s">
        <v>48</v>
      </c>
      <c r="B60" s="317" t="s">
        <v>23</v>
      </c>
      <c r="C60" s="318"/>
    </row>
    <row r="61" spans="1:5" ht="23.5" thickBot="1" x14ac:dyDescent="0.4">
      <c r="A61" s="225" t="s">
        <v>556</v>
      </c>
      <c r="B61" s="317" t="s">
        <v>118</v>
      </c>
      <c r="C61" s="318"/>
      <c r="D61" s="194"/>
    </row>
    <row r="62" spans="1:5" ht="26" customHeight="1" thickBot="1" x14ac:dyDescent="0.4">
      <c r="A62" s="311" t="s">
        <v>557</v>
      </c>
      <c r="B62" s="312"/>
      <c r="C62" s="313"/>
      <c r="D62" s="194"/>
    </row>
    <row r="63" spans="1:5" ht="15" thickBot="1" x14ac:dyDescent="0.4">
      <c r="A63" s="338" t="s">
        <v>49</v>
      </c>
      <c r="B63" s="339"/>
      <c r="C63" s="340"/>
    </row>
    <row r="64" spans="1:5" ht="36" customHeight="1" thickBot="1" x14ac:dyDescent="0.4">
      <c r="A64" s="317" t="s">
        <v>50</v>
      </c>
      <c r="B64" s="319"/>
      <c r="C64" s="318"/>
    </row>
    <row r="65" spans="1:5" ht="46.5" thickBot="1" x14ac:dyDescent="0.4">
      <c r="A65" s="83" t="s">
        <v>51</v>
      </c>
      <c r="B65" s="317" t="s">
        <v>23</v>
      </c>
      <c r="C65" s="318"/>
    </row>
    <row r="66" spans="1:5" ht="36" customHeight="1" thickBot="1" x14ac:dyDescent="0.4">
      <c r="A66" s="317" t="s">
        <v>52</v>
      </c>
      <c r="B66" s="319"/>
      <c r="C66" s="318"/>
    </row>
    <row r="67" spans="1:5" ht="36" customHeight="1" thickBot="1" x14ac:dyDescent="0.4">
      <c r="A67" s="317" t="s">
        <v>53</v>
      </c>
      <c r="B67" s="319"/>
      <c r="C67" s="318"/>
    </row>
    <row r="68" spans="1:5" ht="15" customHeight="1" x14ac:dyDescent="0.35">
      <c r="A68" s="324" t="str">
        <f ca="1">CONCATENATE(E69,TEXT(D69,"dd.mm.yyyy"))</f>
        <v>Дата надання інформації: 18.10.2021</v>
      </c>
      <c r="B68" s="326" t="str">
        <f ca="1">CONCATENATE(E70,TEXT(D70,"dd.mm.yyyy"))</f>
        <v>Ця інформація зберігає чинність та є актуальною до 17.10.2041</v>
      </c>
      <c r="C68" s="327"/>
    </row>
    <row r="69" spans="1:5" ht="15" thickBot="1" x14ac:dyDescent="0.4">
      <c r="A69" s="325"/>
      <c r="B69" s="328"/>
      <c r="C69" s="329"/>
      <c r="D69" s="216">
        <f ca="1">TODAY()</f>
        <v>44487</v>
      </c>
      <c r="E69" s="194" t="s">
        <v>542</v>
      </c>
    </row>
    <row r="70" spans="1:5" x14ac:dyDescent="0.35">
      <c r="A70" s="227"/>
      <c r="B70" s="320" t="s">
        <v>57</v>
      </c>
      <c r="C70" s="321"/>
      <c r="D70" s="216">
        <f ca="1">EDATE(D69,'график анн Базова'!F8)-1</f>
        <v>51791</v>
      </c>
      <c r="E70" s="372" t="s">
        <v>543</v>
      </c>
    </row>
    <row r="71" spans="1:5" ht="15" thickBot="1" x14ac:dyDescent="0.4">
      <c r="A71" s="3" t="s">
        <v>56</v>
      </c>
      <c r="B71" s="322"/>
      <c r="C71" s="323"/>
      <c r="D71" s="194"/>
      <c r="E71" s="372"/>
    </row>
    <row r="72" spans="1:5" ht="24" customHeight="1" thickBot="1" x14ac:dyDescent="0.4">
      <c r="A72" s="317" t="s">
        <v>58</v>
      </c>
      <c r="B72" s="319"/>
      <c r="C72" s="318"/>
    </row>
    <row r="73" spans="1:5" ht="48" customHeight="1" thickBot="1" x14ac:dyDescent="0.4">
      <c r="A73" s="317" t="s">
        <v>59</v>
      </c>
      <c r="B73" s="319"/>
      <c r="C73" s="318"/>
    </row>
    <row r="74" spans="1:5" x14ac:dyDescent="0.35">
      <c r="A74" s="1"/>
      <c r="B74" s="320" t="s">
        <v>61</v>
      </c>
      <c r="C74" s="321"/>
    </row>
    <row r="75" spans="1:5" ht="15" thickBot="1" x14ac:dyDescent="0.4">
      <c r="A75" s="3" t="s">
        <v>60</v>
      </c>
      <c r="B75" s="322"/>
      <c r="C75" s="323"/>
    </row>
    <row r="76" spans="1:5" ht="57.5" customHeight="1" thickBot="1" x14ac:dyDescent="0.4">
      <c r="A76" s="311" t="s">
        <v>554</v>
      </c>
      <c r="B76" s="312"/>
      <c r="C76" s="313"/>
    </row>
    <row r="77" spans="1:5" ht="29" customHeight="1" thickBot="1" x14ac:dyDescent="0.4">
      <c r="A77" s="314" t="s">
        <v>555</v>
      </c>
      <c r="B77" s="315"/>
      <c r="C77" s="316"/>
    </row>
  </sheetData>
  <mergeCells count="73">
    <mergeCell ref="E70:E71"/>
    <mergeCell ref="B48:C48"/>
    <mergeCell ref="B49:C49"/>
    <mergeCell ref="B50:C50"/>
    <mergeCell ref="B51:C51"/>
    <mergeCell ref="B52:C52"/>
    <mergeCell ref="A63:C63"/>
    <mergeCell ref="A53:C53"/>
    <mergeCell ref="B54:C54"/>
    <mergeCell ref="A55:C55"/>
    <mergeCell ref="B56:C56"/>
    <mergeCell ref="B57:C57"/>
    <mergeCell ref="B59:C59"/>
    <mergeCell ref="B60:C60"/>
    <mergeCell ref="B58:C58"/>
    <mergeCell ref="B15:C19"/>
    <mergeCell ref="B13:C13"/>
    <mergeCell ref="A2:C2"/>
    <mergeCell ref="A3:A5"/>
    <mergeCell ref="B3:C3"/>
    <mergeCell ref="B4:C4"/>
    <mergeCell ref="B5:C5"/>
    <mergeCell ref="A6:A8"/>
    <mergeCell ref="B6:C6"/>
    <mergeCell ref="B7:C7"/>
    <mergeCell ref="B8:C8"/>
    <mergeCell ref="A9:A10"/>
    <mergeCell ref="B9:C9"/>
    <mergeCell ref="B10:C10"/>
    <mergeCell ref="B11:C11"/>
    <mergeCell ref="B12:C12"/>
    <mergeCell ref="A46:C46"/>
    <mergeCell ref="B40:C40"/>
    <mergeCell ref="B41:C41"/>
    <mergeCell ref="A31:C31"/>
    <mergeCell ref="A14:C14"/>
    <mergeCell ref="A20:C20"/>
    <mergeCell ref="B21:C21"/>
    <mergeCell ref="B22:C22"/>
    <mergeCell ref="B23:C23"/>
    <mergeCell ref="A24:A25"/>
    <mergeCell ref="B24:C25"/>
    <mergeCell ref="B26:C26"/>
    <mergeCell ref="B27:C27"/>
    <mergeCell ref="B28:C28"/>
    <mergeCell ref="A29:A30"/>
    <mergeCell ref="B29:C30"/>
    <mergeCell ref="B38:C38"/>
    <mergeCell ref="B42:C42"/>
    <mergeCell ref="B43:C43"/>
    <mergeCell ref="B44:C44"/>
    <mergeCell ref="A45:C45"/>
    <mergeCell ref="B33:C33"/>
    <mergeCell ref="B34:C34"/>
    <mergeCell ref="B35:C35"/>
    <mergeCell ref="B36:C36"/>
    <mergeCell ref="B37:C37"/>
    <mergeCell ref="B32:C32"/>
    <mergeCell ref="A76:C76"/>
    <mergeCell ref="A77:C77"/>
    <mergeCell ref="B61:C61"/>
    <mergeCell ref="A62:C62"/>
    <mergeCell ref="A72:C72"/>
    <mergeCell ref="A73:C73"/>
    <mergeCell ref="B74:C75"/>
    <mergeCell ref="A64:C64"/>
    <mergeCell ref="B65:C65"/>
    <mergeCell ref="A66:C66"/>
    <mergeCell ref="A67:C67"/>
    <mergeCell ref="A68:A69"/>
    <mergeCell ref="B68:C69"/>
    <mergeCell ref="B70:C71"/>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5"/>
  <sheetViews>
    <sheetView topLeftCell="A43" workbookViewId="0">
      <selection activeCell="B47" sqref="B47:C47"/>
    </sheetView>
  </sheetViews>
  <sheetFormatPr defaultRowHeight="14.5" x14ac:dyDescent="0.35"/>
  <cols>
    <col min="1" max="1" width="45.54296875" customWidth="1"/>
    <col min="2" max="2" width="6.54296875" customWidth="1"/>
    <col min="3" max="3" width="60" customWidth="1"/>
  </cols>
  <sheetData>
    <row r="1" spans="1:3" ht="15" thickBot="1" x14ac:dyDescent="0.4">
      <c r="A1" s="355" t="s">
        <v>0</v>
      </c>
      <c r="B1" s="356"/>
      <c r="C1" s="356"/>
    </row>
    <row r="2" spans="1:3" ht="15" customHeight="1" x14ac:dyDescent="0.35">
      <c r="A2" s="345" t="s">
        <v>1</v>
      </c>
      <c r="B2" s="358" t="s">
        <v>105</v>
      </c>
      <c r="C2" s="359"/>
    </row>
    <row r="3" spans="1:3" x14ac:dyDescent="0.35">
      <c r="A3" s="346"/>
      <c r="B3" s="381"/>
      <c r="C3" s="382"/>
    </row>
    <row r="4" spans="1:3" ht="15" thickBot="1" x14ac:dyDescent="0.4">
      <c r="A4" s="357"/>
      <c r="B4" s="322" t="s">
        <v>2</v>
      </c>
      <c r="C4" s="323"/>
    </row>
    <row r="5" spans="1:3" ht="15" customHeight="1" x14ac:dyDescent="0.35">
      <c r="A5" s="345" t="s">
        <v>3</v>
      </c>
      <c r="B5" s="358" t="s">
        <v>4</v>
      </c>
      <c r="C5" s="359"/>
    </row>
    <row r="6" spans="1:3" x14ac:dyDescent="0.35">
      <c r="A6" s="346"/>
      <c r="B6" s="362" t="s">
        <v>5</v>
      </c>
      <c r="C6" s="363"/>
    </row>
    <row r="7" spans="1:3" ht="15" thickBot="1" x14ac:dyDescent="0.4">
      <c r="A7" s="357"/>
      <c r="B7" s="383"/>
      <c r="C7" s="384"/>
    </row>
    <row r="8" spans="1:3" x14ac:dyDescent="0.35">
      <c r="A8" s="366" t="s">
        <v>6</v>
      </c>
      <c r="B8" s="368" t="s">
        <v>7</v>
      </c>
      <c r="C8" s="369"/>
    </row>
    <row r="9" spans="1:3" ht="15" thickBot="1" x14ac:dyDescent="0.4">
      <c r="A9" s="367"/>
      <c r="B9" s="370" t="s">
        <v>106</v>
      </c>
      <c r="C9" s="371"/>
    </row>
    <row r="10" spans="1:3" ht="15" thickBot="1" x14ac:dyDescent="0.4">
      <c r="A10" s="79" t="s">
        <v>8</v>
      </c>
      <c r="B10" s="317" t="s">
        <v>9</v>
      </c>
      <c r="C10" s="318"/>
    </row>
    <row r="11" spans="1:3" ht="15" thickBot="1" x14ac:dyDescent="0.4">
      <c r="A11" s="79" t="s">
        <v>10</v>
      </c>
      <c r="B11" s="317" t="s">
        <v>11</v>
      </c>
      <c r="C11" s="318"/>
    </row>
    <row r="12" spans="1:3" ht="15" thickBot="1" x14ac:dyDescent="0.4">
      <c r="A12" s="79" t="s">
        <v>12</v>
      </c>
      <c r="B12" s="317" t="s">
        <v>13</v>
      </c>
      <c r="C12" s="318"/>
    </row>
    <row r="13" spans="1:3" ht="15.75" customHeight="1" thickBot="1" x14ac:dyDescent="0.4">
      <c r="A13" s="338" t="s">
        <v>14</v>
      </c>
      <c r="B13" s="339"/>
      <c r="C13" s="340"/>
    </row>
    <row r="14" spans="1:3" ht="15.75" customHeight="1" thickBot="1" x14ac:dyDescent="0.4">
      <c r="A14" s="338" t="s">
        <v>15</v>
      </c>
      <c r="B14" s="339"/>
      <c r="C14" s="340"/>
    </row>
    <row r="15" spans="1:3" ht="15" thickBot="1" x14ac:dyDescent="0.4">
      <c r="A15" s="79" t="s">
        <v>16</v>
      </c>
      <c r="B15" s="317" t="s">
        <v>80</v>
      </c>
      <c r="C15" s="318"/>
    </row>
    <row r="16" spans="1:3" ht="15" thickBot="1" x14ac:dyDescent="0.4">
      <c r="A16" s="79" t="s">
        <v>17</v>
      </c>
      <c r="B16" s="334">
        <f>'график с повышеной%'!F7</f>
        <v>2000000</v>
      </c>
      <c r="C16" s="335"/>
    </row>
    <row r="17" spans="1:3" ht="15" thickBot="1" x14ac:dyDescent="0.4">
      <c r="A17" s="79" t="s">
        <v>18</v>
      </c>
      <c r="B17" s="379">
        <f>'график с повышеной%'!F8</f>
        <v>240</v>
      </c>
      <c r="C17" s="380"/>
    </row>
    <row r="18" spans="1:3" x14ac:dyDescent="0.35">
      <c r="A18" s="343" t="s">
        <v>19</v>
      </c>
      <c r="B18" s="320" t="s">
        <v>122</v>
      </c>
      <c r="C18" s="321"/>
    </row>
    <row r="19" spans="1:3" ht="15" thickBot="1" x14ac:dyDescent="0.4">
      <c r="A19" s="344"/>
      <c r="B19" s="322"/>
      <c r="C19" s="323"/>
    </row>
    <row r="20" spans="1:3" ht="27" customHeight="1" thickBot="1" x14ac:dyDescent="0.4">
      <c r="A20" s="54" t="s">
        <v>20</v>
      </c>
      <c r="B20" s="317" t="s">
        <v>123</v>
      </c>
      <c r="C20" s="318"/>
    </row>
    <row r="21" spans="1:3" ht="15" thickBot="1" x14ac:dyDescent="0.4">
      <c r="A21" s="76" t="s">
        <v>21</v>
      </c>
      <c r="B21" s="317" t="s">
        <v>129</v>
      </c>
      <c r="C21" s="318"/>
    </row>
    <row r="22" spans="1:3" ht="15" thickBot="1" x14ac:dyDescent="0.4">
      <c r="A22" s="76" t="s">
        <v>22</v>
      </c>
      <c r="B22" s="317" t="s">
        <v>23</v>
      </c>
      <c r="C22" s="318"/>
    </row>
    <row r="23" spans="1:3" ht="20.25" customHeight="1" x14ac:dyDescent="0.35">
      <c r="A23" s="345" t="s">
        <v>24</v>
      </c>
      <c r="B23" s="320" t="s">
        <v>115</v>
      </c>
      <c r="C23" s="321"/>
    </row>
    <row r="24" spans="1:3" ht="15" thickBot="1" x14ac:dyDescent="0.4">
      <c r="A24" s="346"/>
      <c r="B24" s="322"/>
      <c r="C24" s="323"/>
    </row>
    <row r="25" spans="1:3" ht="19.5" customHeight="1" thickBot="1" x14ac:dyDescent="0.4">
      <c r="A25" s="338" t="s">
        <v>25</v>
      </c>
      <c r="B25" s="339"/>
      <c r="C25" s="340"/>
    </row>
    <row r="26" spans="1:3" ht="19.5" customHeight="1" thickBot="1" x14ac:dyDescent="0.4">
      <c r="A26" s="83" t="s">
        <v>26</v>
      </c>
      <c r="B26" s="84">
        <f>'график с повышеной%'!F9</f>
        <v>0.2999</v>
      </c>
      <c r="C26" s="85" t="s">
        <v>131</v>
      </c>
    </row>
    <row r="27" spans="1:3" ht="15" thickBot="1" x14ac:dyDescent="0.4">
      <c r="A27" s="76" t="s">
        <v>27</v>
      </c>
      <c r="B27" s="322" t="s">
        <v>124</v>
      </c>
      <c r="C27" s="323"/>
    </row>
    <row r="28" spans="1:3" ht="21" customHeight="1" thickBot="1" x14ac:dyDescent="0.4">
      <c r="A28" s="76" t="s">
        <v>28</v>
      </c>
      <c r="B28" s="317" t="s">
        <v>114</v>
      </c>
      <c r="C28" s="318"/>
    </row>
    <row r="29" spans="1:3" ht="23.5" thickBot="1" x14ac:dyDescent="0.4">
      <c r="A29" s="76" t="s">
        <v>29</v>
      </c>
      <c r="B29" s="317" t="s">
        <v>30</v>
      </c>
      <c r="C29" s="318"/>
    </row>
    <row r="30" spans="1:3" ht="15" thickBot="1" x14ac:dyDescent="0.4">
      <c r="A30" s="76" t="s">
        <v>104</v>
      </c>
      <c r="B30" s="309">
        <f>'график с повышеной%'!K7</f>
        <v>10000</v>
      </c>
      <c r="C30" s="310"/>
    </row>
    <row r="31" spans="1:3" ht="15" thickBot="1" x14ac:dyDescent="0.4">
      <c r="A31" s="76" t="s">
        <v>31</v>
      </c>
      <c r="B31" s="333">
        <v>0</v>
      </c>
      <c r="C31" s="318"/>
    </row>
    <row r="32" spans="1:3" ht="26.25" customHeight="1" thickBot="1" x14ac:dyDescent="0.4">
      <c r="A32" s="83" t="s">
        <v>32</v>
      </c>
      <c r="B32" s="334">
        <f>'график с повышеной%'!K9</f>
        <v>150000</v>
      </c>
      <c r="C32" s="318"/>
    </row>
    <row r="33" spans="1:3" ht="15" hidden="1" thickBot="1" x14ac:dyDescent="0.4">
      <c r="A33" s="76"/>
      <c r="B33" s="2"/>
    </row>
    <row r="34" spans="1:3" ht="15" thickBot="1" x14ac:dyDescent="0.4">
      <c r="A34" s="76" t="s">
        <v>33</v>
      </c>
      <c r="B34" s="334">
        <f>B35-B16</f>
        <v>-2000000</v>
      </c>
      <c r="C34" s="335"/>
    </row>
    <row r="35" spans="1:3" ht="35" thickBot="1" x14ac:dyDescent="0.4">
      <c r="A35" s="76" t="s">
        <v>34</v>
      </c>
      <c r="B35" s="334">
        <f>SUM('дод 1 до дог кредит_Базова'!P30:P113)</f>
        <v>0</v>
      </c>
      <c r="C35" s="335"/>
    </row>
    <row r="36" spans="1:3" ht="15" thickBot="1" x14ac:dyDescent="0.4">
      <c r="A36" s="78" t="s">
        <v>35</v>
      </c>
      <c r="B36" s="377"/>
      <c r="C36" s="378"/>
    </row>
    <row r="37" spans="1:3" ht="48" customHeight="1" thickBot="1" x14ac:dyDescent="0.4">
      <c r="A37" s="330" t="s">
        <v>36</v>
      </c>
      <c r="B37" s="331"/>
      <c r="C37" s="332"/>
    </row>
    <row r="38" spans="1:3" ht="24" customHeight="1" thickBot="1" x14ac:dyDescent="0.4">
      <c r="A38" s="330" t="s">
        <v>37</v>
      </c>
      <c r="B38" s="331"/>
      <c r="C38" s="332"/>
    </row>
    <row r="39" spans="1:3" ht="24" customHeight="1" thickBot="1" x14ac:dyDescent="0.4">
      <c r="A39" s="330" t="s">
        <v>38</v>
      </c>
      <c r="B39" s="331"/>
      <c r="C39" s="332"/>
    </row>
    <row r="40" spans="1:3" ht="15" thickBot="1" x14ac:dyDescent="0.4">
      <c r="A40" s="338" t="s">
        <v>39</v>
      </c>
      <c r="B40" s="339"/>
      <c r="C40" s="340"/>
    </row>
    <row r="41" spans="1:3" ht="15" thickBot="1" x14ac:dyDescent="0.4">
      <c r="A41" s="83" t="s">
        <v>40</v>
      </c>
      <c r="B41" s="317" t="s">
        <v>41</v>
      </c>
      <c r="C41" s="318"/>
    </row>
    <row r="42" spans="1:3" ht="15" thickBot="1" x14ac:dyDescent="0.4">
      <c r="A42" s="338" t="s">
        <v>42</v>
      </c>
      <c r="B42" s="339"/>
      <c r="C42" s="340"/>
    </row>
    <row r="43" spans="1:3" ht="15" customHeight="1" x14ac:dyDescent="0.35">
      <c r="A43" s="320" t="s">
        <v>43</v>
      </c>
      <c r="B43" s="375"/>
      <c r="C43" s="321"/>
    </row>
    <row r="44" spans="1:3" ht="15" thickBot="1" x14ac:dyDescent="0.4">
      <c r="A44" s="322"/>
      <c r="B44" s="376"/>
      <c r="C44" s="323"/>
    </row>
    <row r="45" spans="1:3" ht="15" thickBot="1" x14ac:dyDescent="0.4">
      <c r="A45" s="76" t="s">
        <v>44</v>
      </c>
      <c r="B45" s="317" t="s">
        <v>125</v>
      </c>
      <c r="C45" s="318"/>
    </row>
    <row r="46" spans="1:3" ht="15" thickBot="1" x14ac:dyDescent="0.4">
      <c r="A46" s="76" t="s">
        <v>117</v>
      </c>
      <c r="B46" s="317" t="s">
        <v>125</v>
      </c>
      <c r="C46" s="318"/>
    </row>
    <row r="47" spans="1:3" ht="37.5" customHeight="1" thickBot="1" x14ac:dyDescent="0.4">
      <c r="A47" s="76" t="s">
        <v>126</v>
      </c>
      <c r="B47" s="317" t="s">
        <v>132</v>
      </c>
      <c r="C47" s="318"/>
    </row>
    <row r="48" spans="1:3" ht="23.5" thickBot="1" x14ac:dyDescent="0.4">
      <c r="A48" s="76" t="s">
        <v>45</v>
      </c>
      <c r="B48" s="317"/>
      <c r="C48" s="318"/>
    </row>
    <row r="49" spans="1:3" ht="15" thickBot="1" x14ac:dyDescent="0.4">
      <c r="A49" s="76" t="s">
        <v>46</v>
      </c>
      <c r="B49" s="317" t="s">
        <v>47</v>
      </c>
      <c r="C49" s="318"/>
    </row>
    <row r="50" spans="1:3" ht="23.5" thickBot="1" x14ac:dyDescent="0.4">
      <c r="A50" s="76" t="s">
        <v>127</v>
      </c>
      <c r="B50" s="317" t="s">
        <v>81</v>
      </c>
      <c r="C50" s="318"/>
    </row>
    <row r="51" spans="1:3" ht="15" thickBot="1" x14ac:dyDescent="0.4">
      <c r="A51" s="78" t="s">
        <v>48</v>
      </c>
      <c r="B51" s="317" t="s">
        <v>128</v>
      </c>
      <c r="C51" s="318"/>
    </row>
    <row r="52" spans="1:3" ht="15" thickBot="1" x14ac:dyDescent="0.4">
      <c r="A52" s="338" t="s">
        <v>49</v>
      </c>
      <c r="B52" s="339"/>
      <c r="C52" s="340"/>
    </row>
    <row r="53" spans="1:3" ht="36" customHeight="1" thickBot="1" x14ac:dyDescent="0.4">
      <c r="A53" s="317" t="s">
        <v>50</v>
      </c>
      <c r="B53" s="319"/>
      <c r="C53" s="318"/>
    </row>
    <row r="54" spans="1:3" ht="46.5" thickBot="1" x14ac:dyDescent="0.4">
      <c r="A54" s="83" t="s">
        <v>51</v>
      </c>
      <c r="B54" s="317" t="s">
        <v>118</v>
      </c>
      <c r="C54" s="318"/>
    </row>
    <row r="55" spans="1:3" ht="36" customHeight="1" thickBot="1" x14ac:dyDescent="0.4">
      <c r="A55" s="317" t="s">
        <v>52</v>
      </c>
      <c r="B55" s="319"/>
      <c r="C55" s="318"/>
    </row>
    <row r="56" spans="1:3" ht="36" customHeight="1" thickBot="1" x14ac:dyDescent="0.4">
      <c r="A56" s="317" t="s">
        <v>53</v>
      </c>
      <c r="B56" s="319"/>
      <c r="C56" s="318"/>
    </row>
    <row r="57" spans="1:3" ht="15" customHeight="1" x14ac:dyDescent="0.35">
      <c r="A57" s="343" t="s">
        <v>54</v>
      </c>
      <c r="B57" s="320" t="s">
        <v>55</v>
      </c>
      <c r="C57" s="321"/>
    </row>
    <row r="58" spans="1:3" ht="15" thickBot="1" x14ac:dyDescent="0.4">
      <c r="A58" s="344"/>
      <c r="B58" s="322"/>
      <c r="C58" s="323"/>
    </row>
    <row r="59" spans="1:3" x14ac:dyDescent="0.35">
      <c r="A59" s="77"/>
      <c r="B59" s="320" t="s">
        <v>57</v>
      </c>
      <c r="C59" s="321"/>
    </row>
    <row r="60" spans="1:3" ht="15" thickBot="1" x14ac:dyDescent="0.4">
      <c r="A60" s="3" t="s">
        <v>56</v>
      </c>
      <c r="B60" s="322"/>
      <c r="C60" s="323"/>
    </row>
    <row r="61" spans="1:3" ht="24" customHeight="1" thickBot="1" x14ac:dyDescent="0.4">
      <c r="A61" s="317" t="s">
        <v>58</v>
      </c>
      <c r="B61" s="319"/>
      <c r="C61" s="318"/>
    </row>
    <row r="62" spans="1:3" ht="48" customHeight="1" thickBot="1" x14ac:dyDescent="0.4">
      <c r="A62" s="317" t="s">
        <v>59</v>
      </c>
      <c r="B62" s="319"/>
      <c r="C62" s="318"/>
    </row>
    <row r="63" spans="1:3" x14ac:dyDescent="0.35">
      <c r="A63" s="1"/>
      <c r="B63" s="320" t="s">
        <v>61</v>
      </c>
      <c r="C63" s="321"/>
    </row>
    <row r="64" spans="1:3" ht="15" thickBot="1" x14ac:dyDescent="0.4">
      <c r="A64" s="3" t="s">
        <v>60</v>
      </c>
      <c r="B64" s="322"/>
      <c r="C64" s="323"/>
    </row>
    <row r="65" spans="1:1" x14ac:dyDescent="0.35">
      <c r="A65" s="86"/>
    </row>
  </sheetData>
  <mergeCells count="62">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5:C25"/>
    <mergeCell ref="A13:C13"/>
    <mergeCell ref="A14:C14"/>
    <mergeCell ref="B15:C15"/>
    <mergeCell ref="B16:C16"/>
    <mergeCell ref="B17:C17"/>
    <mergeCell ref="A18:A19"/>
    <mergeCell ref="B18:C19"/>
    <mergeCell ref="B20:C20"/>
    <mergeCell ref="B21:C21"/>
    <mergeCell ref="B22:C22"/>
    <mergeCell ref="A23:A24"/>
    <mergeCell ref="B23:C24"/>
    <mergeCell ref="A39:C39"/>
    <mergeCell ref="B27:C27"/>
    <mergeCell ref="B28:C28"/>
    <mergeCell ref="B29:C29"/>
    <mergeCell ref="B30:C30"/>
    <mergeCell ref="B31:C31"/>
    <mergeCell ref="B32:C32"/>
    <mergeCell ref="B34:C34"/>
    <mergeCell ref="B35:C35"/>
    <mergeCell ref="B36:C36"/>
    <mergeCell ref="A37:C37"/>
    <mergeCell ref="A38:C38"/>
    <mergeCell ref="A52:C52"/>
    <mergeCell ref="A40:C40"/>
    <mergeCell ref="B41:C41"/>
    <mergeCell ref="A42:C42"/>
    <mergeCell ref="A43:C44"/>
    <mergeCell ref="B45:C45"/>
    <mergeCell ref="B46:C46"/>
    <mergeCell ref="B47:C47"/>
    <mergeCell ref="B48:C48"/>
    <mergeCell ref="B49:C49"/>
    <mergeCell ref="B50:C50"/>
    <mergeCell ref="B51:C51"/>
    <mergeCell ref="B59:C60"/>
    <mergeCell ref="A61:C61"/>
    <mergeCell ref="A62:C62"/>
    <mergeCell ref="B63:C64"/>
    <mergeCell ref="A53:C53"/>
    <mergeCell ref="B54:C54"/>
    <mergeCell ref="A55:C55"/>
    <mergeCell ref="A56:C56"/>
    <mergeCell ref="A57:A58"/>
    <mergeCell ref="B57:C58"/>
  </mergeCells>
  <hyperlinks>
    <hyperlink ref="B11" r:id="rId1" display="mailto:bank@pravex.kiev.ua"/>
    <hyperlink ref="B47" r:id="rId2" display="https://www.pravex.com.ua/vazhliva-informaciya-dlya-kliyentiv-banku/dlya-pozichalnikiv-banku"/>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6"/>
  <sheetViews>
    <sheetView workbookViewId="0">
      <selection activeCell="K22" sqref="K22"/>
    </sheetView>
  </sheetViews>
  <sheetFormatPr defaultRowHeight="14.5" x14ac:dyDescent="0.35"/>
  <cols>
    <col min="2" max="2" width="24.81640625" hidden="1" customWidth="1"/>
    <col min="3" max="3" width="19.1796875" customWidth="1"/>
    <col min="4" max="4" width="12.81640625" customWidth="1"/>
    <col min="5" max="5" width="15.81640625" customWidth="1"/>
    <col min="6" max="6" width="15.453125" customWidth="1"/>
    <col min="7" max="7" width="12.453125" customWidth="1"/>
    <col min="8" max="8" width="16.453125" customWidth="1"/>
    <col min="9" max="9" width="13.26953125" customWidth="1"/>
    <col min="10" max="10" width="18.1796875" customWidth="1"/>
    <col min="11" max="11" width="12.26953125" customWidth="1"/>
    <col min="12" max="12" width="12" customWidth="1"/>
    <col min="13" max="13" width="0" hidden="1" customWidth="1"/>
    <col min="15" max="15" width="9.1796875" customWidth="1"/>
    <col min="16" max="16" width="9.453125" hidden="1" customWidth="1"/>
    <col min="17" max="17" width="10.1796875" hidden="1" customWidth="1"/>
  </cols>
  <sheetData>
    <row r="1" spans="1:17" ht="15.5" x14ac:dyDescent="0.35">
      <c r="A1" s="389" t="s">
        <v>116</v>
      </c>
      <c r="B1" s="389"/>
      <c r="C1" s="389"/>
      <c r="D1" s="389"/>
      <c r="E1" s="389"/>
      <c r="F1" s="389"/>
      <c r="G1" s="389"/>
      <c r="H1" s="389"/>
      <c r="I1" s="389"/>
      <c r="J1" s="389"/>
      <c r="K1" s="389"/>
      <c r="L1" s="389"/>
    </row>
    <row r="2" spans="1:17" x14ac:dyDescent="0.35">
      <c r="A2" s="5"/>
      <c r="B2" s="5"/>
      <c r="C2" s="6"/>
      <c r="D2" s="6"/>
      <c r="E2" s="6"/>
      <c r="F2" s="6"/>
      <c r="G2" s="4"/>
      <c r="H2" s="5"/>
      <c r="I2" s="5"/>
      <c r="J2" s="5"/>
      <c r="K2" s="5"/>
      <c r="L2" s="5"/>
    </row>
    <row r="3" spans="1:17" x14ac:dyDescent="0.35">
      <c r="A3" s="5"/>
      <c r="B3" s="127" t="s">
        <v>62</v>
      </c>
      <c r="C3" s="140" t="s">
        <v>62</v>
      </c>
      <c r="D3" s="123">
        <f ca="1">F3</f>
        <v>44487</v>
      </c>
      <c r="E3" s="91"/>
      <c r="F3" s="128">
        <f ca="1">'график анн Базова'!F3</f>
        <v>44487</v>
      </c>
      <c r="G3" s="66"/>
      <c r="H3" s="390" t="s">
        <v>111</v>
      </c>
      <c r="I3" s="390"/>
      <c r="J3" s="80"/>
      <c r="K3" s="63"/>
      <c r="L3" s="5"/>
    </row>
    <row r="4" spans="1:17" hidden="1" x14ac:dyDescent="0.35">
      <c r="A4" s="5"/>
      <c r="B4" s="129" t="s">
        <v>63</v>
      </c>
      <c r="C4" s="92" t="s">
        <v>63</v>
      </c>
      <c r="D4" s="64">
        <f t="shared" ref="D4:D9" si="0">F4</f>
        <v>1000000</v>
      </c>
      <c r="E4" s="6"/>
      <c r="F4" s="130">
        <v>1000000</v>
      </c>
      <c r="G4" s="6"/>
      <c r="H4" s="391" t="s">
        <v>64</v>
      </c>
      <c r="I4" s="391"/>
      <c r="J4" s="81"/>
      <c r="K4" s="62">
        <f>K3*F7</f>
        <v>0</v>
      </c>
      <c r="L4" s="5"/>
    </row>
    <row r="5" spans="1:17" hidden="1" x14ac:dyDescent="0.35">
      <c r="A5" s="5"/>
      <c r="B5" s="129" t="s">
        <v>65</v>
      </c>
      <c r="C5" s="93" t="s">
        <v>65</v>
      </c>
      <c r="D5" s="65">
        <f t="shared" si="0"/>
        <v>300000</v>
      </c>
      <c r="E5" s="57"/>
      <c r="F5" s="131">
        <v>300000</v>
      </c>
      <c r="G5" s="7"/>
      <c r="H5" s="392" t="s">
        <v>66</v>
      </c>
      <c r="I5" s="392"/>
      <c r="J5" s="392"/>
      <c r="K5" s="392"/>
      <c r="L5" s="5"/>
      <c r="P5" t="s">
        <v>82</v>
      </c>
      <c r="Q5">
        <v>1700</v>
      </c>
    </row>
    <row r="6" spans="1:17" hidden="1" x14ac:dyDescent="0.35">
      <c r="A6" s="5"/>
      <c r="B6" s="132" t="s">
        <v>67</v>
      </c>
      <c r="C6" s="133" t="s">
        <v>67</v>
      </c>
      <c r="D6" s="134">
        <f t="shared" si="0"/>
        <v>0.3</v>
      </c>
      <c r="E6" s="135"/>
      <c r="F6" s="136">
        <f>F5/F4</f>
        <v>0.3</v>
      </c>
      <c r="G6" s="8"/>
      <c r="H6" s="393"/>
      <c r="I6" s="393"/>
      <c r="J6" s="82"/>
      <c r="K6" s="59"/>
      <c r="L6" s="5"/>
    </row>
    <row r="7" spans="1:17" x14ac:dyDescent="0.35">
      <c r="A7" s="5"/>
      <c r="B7" s="66" t="s">
        <v>68</v>
      </c>
      <c r="C7" s="124" t="s">
        <v>68</v>
      </c>
      <c r="D7" s="125">
        <f t="shared" si="0"/>
        <v>2000000</v>
      </c>
      <c r="E7" s="90"/>
      <c r="F7" s="126">
        <f>'график анн Базова'!F7</f>
        <v>2000000</v>
      </c>
      <c r="G7" s="8"/>
      <c r="H7" s="394" t="str">
        <f>H3</f>
        <v>Комісії банка, % від суми кредиту</v>
      </c>
      <c r="I7" s="386"/>
      <c r="J7" s="387"/>
      <c r="K7" s="145">
        <f>'график анн Базова'!P7</f>
        <v>10000</v>
      </c>
      <c r="L7" s="5"/>
      <c r="Q7">
        <f>F4/Q5</f>
        <v>588.23529411764707</v>
      </c>
    </row>
    <row r="8" spans="1:17" x14ac:dyDescent="0.35">
      <c r="A8" s="5"/>
      <c r="B8" s="61" t="s">
        <v>69</v>
      </c>
      <c r="C8" s="95" t="s">
        <v>69</v>
      </c>
      <c r="D8" s="96">
        <f>F8</f>
        <v>240</v>
      </c>
      <c r="E8" s="137"/>
      <c r="F8" s="97">
        <f>'график анн Базова'!F8</f>
        <v>240</v>
      </c>
      <c r="G8" s="8"/>
      <c r="H8" s="385" t="str">
        <f>H4</f>
        <v>Одноразова комісія за надання кредиту, грн</v>
      </c>
      <c r="I8" s="386"/>
      <c r="J8" s="387"/>
      <c r="K8" s="146">
        <f>K7*F7</f>
        <v>20000000000</v>
      </c>
      <c r="L8" s="53"/>
      <c r="M8" t="s">
        <v>103</v>
      </c>
      <c r="Q8" t="str">
        <f>IF(Q7&lt;165,"3%",IF(Q7&gt;290,"5%","4%"))</f>
        <v>5%</v>
      </c>
    </row>
    <row r="9" spans="1:17" x14ac:dyDescent="0.35">
      <c r="A9" s="5"/>
      <c r="B9" s="66" t="s">
        <v>70</v>
      </c>
      <c r="C9" s="94" t="s">
        <v>70</v>
      </c>
      <c r="D9" s="138">
        <f t="shared" si="0"/>
        <v>0.2999</v>
      </c>
      <c r="E9" s="137"/>
      <c r="F9" s="139">
        <v>0.2999</v>
      </c>
      <c r="G9" s="8"/>
      <c r="H9" s="388" t="s">
        <v>130</v>
      </c>
      <c r="I9" s="386"/>
      <c r="J9" s="387"/>
      <c r="K9" s="146">
        <f>'график анн Базова'!P9</f>
        <v>150000</v>
      </c>
      <c r="L9" s="5"/>
      <c r="M9" t="s">
        <v>102</v>
      </c>
      <c r="N9" s="122"/>
    </row>
    <row r="10" spans="1:17" ht="17.25" hidden="1" customHeight="1" x14ac:dyDescent="0.35">
      <c r="A10" s="5"/>
      <c r="B10" s="6"/>
      <c r="C10" s="98"/>
      <c r="D10" s="6"/>
      <c r="E10" s="6"/>
      <c r="F10" s="99">
        <f ca="1">EDATE(F3,F8)</f>
        <v>51792</v>
      </c>
      <c r="G10" s="9"/>
      <c r="H10" s="141"/>
      <c r="I10" s="142"/>
      <c r="J10" s="142"/>
      <c r="K10" s="143"/>
      <c r="L10" s="9"/>
      <c r="M10" s="10"/>
    </row>
    <row r="11" spans="1:17" ht="18.75" hidden="1" customHeight="1" x14ac:dyDescent="0.35">
      <c r="A11" s="5"/>
      <c r="B11" s="6"/>
      <c r="C11" s="98"/>
      <c r="D11" s="6"/>
      <c r="E11" s="6"/>
      <c r="F11" s="100">
        <f>-PMT(F9/12,F8,E24)</f>
        <v>50117.334221149715</v>
      </c>
      <c r="G11" s="9"/>
      <c r="H11" s="114"/>
      <c r="I11" s="67"/>
      <c r="J11" s="67"/>
      <c r="K11" s="115"/>
      <c r="L11" s="9"/>
      <c r="M11" s="10"/>
    </row>
    <row r="12" spans="1:17" ht="15.75" hidden="1" customHeight="1" x14ac:dyDescent="0.35">
      <c r="A12" s="5"/>
      <c r="B12" s="6"/>
      <c r="C12" s="98"/>
      <c r="D12" s="6"/>
      <c r="E12" s="6"/>
      <c r="F12" s="101">
        <v>0</v>
      </c>
      <c r="G12" s="11"/>
      <c r="H12" s="116"/>
      <c r="I12" s="68"/>
      <c r="J12" s="68"/>
      <c r="K12" s="117"/>
      <c r="L12" s="11"/>
      <c r="M12" s="12"/>
    </row>
    <row r="13" spans="1:17" hidden="1" x14ac:dyDescent="0.35">
      <c r="A13" s="5"/>
      <c r="B13" s="6"/>
      <c r="C13" s="98"/>
      <c r="D13" s="6"/>
      <c r="E13" s="6"/>
      <c r="F13" s="100">
        <f>F11+F12</f>
        <v>50117.334221149715</v>
      </c>
      <c r="G13" s="11"/>
      <c r="H13" s="116"/>
      <c r="I13" s="68"/>
      <c r="J13" s="68"/>
      <c r="K13" s="117"/>
      <c r="L13" s="11"/>
      <c r="M13" s="12"/>
    </row>
    <row r="14" spans="1:17" hidden="1" x14ac:dyDescent="0.35">
      <c r="A14" s="5"/>
      <c r="B14" s="6"/>
      <c r="C14" s="98"/>
      <c r="D14" s="60"/>
      <c r="E14" s="60"/>
      <c r="F14" s="102"/>
      <c r="G14" s="11"/>
      <c r="H14" s="116"/>
      <c r="I14" s="68"/>
      <c r="J14" s="68"/>
      <c r="K14" s="117"/>
      <c r="L14" s="11"/>
      <c r="M14" s="12"/>
    </row>
    <row r="15" spans="1:17" hidden="1" x14ac:dyDescent="0.35">
      <c r="A15" s="5"/>
      <c r="B15" s="6"/>
      <c r="C15" s="103" t="s">
        <v>107</v>
      </c>
      <c r="D15" s="58"/>
      <c r="E15" s="58"/>
      <c r="F15" s="104">
        <f ca="1">EDATE(F3,60)</f>
        <v>46313</v>
      </c>
      <c r="G15" s="11"/>
      <c r="H15" s="116"/>
      <c r="I15" s="68"/>
      <c r="J15" s="68"/>
      <c r="K15" s="117"/>
      <c r="L15" s="11"/>
      <c r="M15" s="12"/>
    </row>
    <row r="16" spans="1:17" hidden="1" x14ac:dyDescent="0.35">
      <c r="A16" s="5"/>
      <c r="B16" s="6"/>
      <c r="C16" s="103" t="s">
        <v>110</v>
      </c>
      <c r="D16" s="58"/>
      <c r="E16" s="58"/>
      <c r="F16" s="105">
        <v>0.1588</v>
      </c>
      <c r="G16" s="11"/>
      <c r="H16" s="116"/>
      <c r="I16" s="68"/>
      <c r="J16" s="68"/>
      <c r="K16" s="117"/>
      <c r="L16" s="11"/>
      <c r="M16" s="12"/>
    </row>
    <row r="17" spans="1:15" hidden="1" x14ac:dyDescent="0.35">
      <c r="A17" s="5"/>
      <c r="B17" s="5"/>
      <c r="C17" s="103" t="s">
        <v>108</v>
      </c>
      <c r="D17" s="58"/>
      <c r="E17" s="58"/>
      <c r="F17" s="105">
        <v>7.0000000000000007E-2</v>
      </c>
      <c r="G17" s="68"/>
      <c r="H17" s="116"/>
      <c r="I17" s="68"/>
      <c r="J17" s="68"/>
      <c r="K17" s="117"/>
      <c r="L17" s="11"/>
      <c r="M17" s="12"/>
    </row>
    <row r="18" spans="1:15" hidden="1" x14ac:dyDescent="0.35">
      <c r="A18" s="5"/>
      <c r="B18" s="5"/>
      <c r="C18" s="106" t="s">
        <v>109</v>
      </c>
      <c r="D18" s="6"/>
      <c r="E18" s="6"/>
      <c r="F18" s="107">
        <f>F16+F17</f>
        <v>0.2288</v>
      </c>
      <c r="G18" s="9"/>
      <c r="H18" s="114"/>
      <c r="I18" s="67"/>
      <c r="J18" s="67"/>
      <c r="K18" s="118"/>
      <c r="L18" s="9"/>
      <c r="M18" s="10"/>
    </row>
    <row r="19" spans="1:15" hidden="1" x14ac:dyDescent="0.35">
      <c r="A19" s="5"/>
      <c r="B19" s="5"/>
      <c r="C19" s="106"/>
      <c r="D19" s="6"/>
      <c r="E19" s="6"/>
      <c r="F19" s="100">
        <f>-PMT(F18/12,F8,F7)</f>
        <v>38547.690907232281</v>
      </c>
      <c r="G19" s="11"/>
      <c r="H19" s="116"/>
      <c r="I19" s="68"/>
      <c r="J19" s="68"/>
      <c r="K19" s="117"/>
      <c r="L19" s="11"/>
      <c r="M19" s="12"/>
    </row>
    <row r="20" spans="1:15" hidden="1" x14ac:dyDescent="0.35">
      <c r="A20" s="5"/>
      <c r="B20" s="5"/>
      <c r="C20" s="106"/>
      <c r="D20" s="6"/>
      <c r="E20" s="6"/>
      <c r="F20" s="100">
        <f>-F7*0.2%</f>
        <v>-4000</v>
      </c>
      <c r="G20" s="11"/>
      <c r="H20" s="116"/>
      <c r="I20" s="68"/>
      <c r="J20" s="68"/>
      <c r="K20" s="117"/>
      <c r="L20" s="11"/>
      <c r="M20" s="12"/>
    </row>
    <row r="21" spans="1:15" hidden="1" x14ac:dyDescent="0.35">
      <c r="A21" s="5"/>
      <c r="B21" s="5"/>
      <c r="C21" s="108"/>
      <c r="D21" s="90"/>
      <c r="E21" s="90"/>
      <c r="F21" s="109">
        <f>F19+F20</f>
        <v>34547.690907232281</v>
      </c>
      <c r="G21" s="11"/>
      <c r="H21" s="119"/>
      <c r="I21" s="120"/>
      <c r="J21" s="120"/>
      <c r="K21" s="121"/>
      <c r="L21" s="11"/>
      <c r="M21" s="12"/>
    </row>
    <row r="22" spans="1:15" x14ac:dyDescent="0.35">
      <c r="A22" s="5"/>
      <c r="B22" s="5"/>
      <c r="C22" s="110"/>
      <c r="D22" s="110"/>
      <c r="E22" s="110"/>
      <c r="F22" s="111"/>
      <c r="G22" s="11"/>
      <c r="H22" s="112"/>
      <c r="I22" s="112"/>
      <c r="J22" s="113"/>
      <c r="K22" s="113"/>
      <c r="L22" s="11"/>
      <c r="M22" s="12"/>
    </row>
    <row r="23" spans="1:15" ht="48" x14ac:dyDescent="0.35">
      <c r="A23" s="87" t="s">
        <v>71</v>
      </c>
      <c r="B23" s="87" t="s">
        <v>72</v>
      </c>
      <c r="C23" s="87" t="s">
        <v>72</v>
      </c>
      <c r="D23" s="87" t="s">
        <v>73</v>
      </c>
      <c r="E23" s="87" t="s">
        <v>74</v>
      </c>
      <c r="F23" s="87" t="s">
        <v>75</v>
      </c>
      <c r="G23" s="87" t="s">
        <v>76</v>
      </c>
      <c r="H23" s="87" t="s">
        <v>77</v>
      </c>
      <c r="I23" s="87" t="s">
        <v>78</v>
      </c>
      <c r="J23" s="88" t="s">
        <v>120</v>
      </c>
      <c r="K23" s="89" t="s">
        <v>112</v>
      </c>
      <c r="L23" s="87" t="s">
        <v>113</v>
      </c>
      <c r="M23" s="12"/>
      <c r="O23" s="75"/>
    </row>
    <row r="24" spans="1:15" ht="12" customHeight="1" x14ac:dyDescent="0.35">
      <c r="A24" s="16"/>
      <c r="B24" s="14">
        <f ca="1">D3</f>
        <v>44487</v>
      </c>
      <c r="C24" s="14">
        <f t="shared" ref="C24:C28" ca="1" si="1">IF(A24&gt;$D$8,"",B24)</f>
        <v>44487</v>
      </c>
      <c r="D24" s="16"/>
      <c r="E24" s="15">
        <f>IF(L8="кредит",D7+J8,D7)</f>
        <v>2000000</v>
      </c>
      <c r="F24" s="16"/>
      <c r="G24" s="16"/>
      <c r="H24" s="55">
        <f>-E24+I24+K9</f>
        <v>19998150000</v>
      </c>
      <c r="I24" s="15">
        <f>K8</f>
        <v>20000000000</v>
      </c>
      <c r="J24" s="15">
        <f>K9</f>
        <v>150000</v>
      </c>
      <c r="K24" s="17"/>
      <c r="L24" s="18"/>
      <c r="M24" s="12"/>
    </row>
    <row r="25" spans="1:15" x14ac:dyDescent="0.35">
      <c r="A25" s="13">
        <v>1</v>
      </c>
      <c r="B25" s="50">
        <f ca="1">EDATE($B$24,1)</f>
        <v>44518</v>
      </c>
      <c r="C25" s="14">
        <f t="shared" ca="1" si="1"/>
        <v>44518</v>
      </c>
      <c r="D25" s="13">
        <f t="shared" ref="D25:D36" ca="1" si="2">B25-B24</f>
        <v>31</v>
      </c>
      <c r="E25" s="15">
        <f t="shared" ref="E25:E36" ca="1" si="3">E24-F25</f>
        <v>2000824.5835870695</v>
      </c>
      <c r="F25" s="19">
        <f ca="1">F13-G25</f>
        <v>-824.58358706946456</v>
      </c>
      <c r="G25" s="19">
        <f ca="1">E24*D25*$D$9/IF(OR(YEAR(C25)=2020,YEAR(C25)=2024),366,365)</f>
        <v>50941.917808219179</v>
      </c>
      <c r="H25" s="19">
        <f>$F$11+$F$12</f>
        <v>50117.334221149715</v>
      </c>
      <c r="I25" s="13"/>
      <c r="J25" s="13"/>
      <c r="K25" s="52" t="str">
        <f>IF(A24=$D$8,XIRR(H$24:H24,C$24:C24),"")</f>
        <v/>
      </c>
      <c r="L25" s="13"/>
    </row>
    <row r="26" spans="1:15" x14ac:dyDescent="0.35">
      <c r="A26" s="13">
        <f>IF(A25&lt;$D$8,A25+1,"")</f>
        <v>2</v>
      </c>
      <c r="B26" s="50">
        <f ca="1">EDATE($B$24,2)</f>
        <v>44548</v>
      </c>
      <c r="C26" s="14">
        <f t="shared" ca="1" si="1"/>
        <v>44548</v>
      </c>
      <c r="D26" s="13">
        <f t="shared" ca="1" si="2"/>
        <v>30</v>
      </c>
      <c r="E26" s="15">
        <f t="shared" ca="1" si="3"/>
        <v>2000026.2049235441</v>
      </c>
      <c r="F26" s="15">
        <f ca="1">IF(AND(A25="",A27=""),"",IF(A26="",SUM($F$25:F25),IF(A26=$D$8,$E$24-SUM($F$25:F25),$F$13-G26)))</f>
        <v>798.37866352542187</v>
      </c>
      <c r="G26" s="15">
        <f ca="1">IF(A25=$D$8,SUM($G$25:G25),IF(A25&gt;$D$8,"",E25*D26*$D$9/IF(OR(YEAR(C26)=2020,YEAR(C26)=2024),366,365)))</f>
        <v>49318.955557624293</v>
      </c>
      <c r="H26" s="15">
        <f ca="1">IF(A25=$D$8,SUM($H$25:H25),IF(A25="","",(G26+F26)))</f>
        <v>50117.334221149715</v>
      </c>
      <c r="I26" s="13"/>
      <c r="J26" s="13"/>
      <c r="K26" s="52" t="str">
        <f>IF(A25=$D$8,XIRR(H$24:H25,C$24:C25),"")</f>
        <v/>
      </c>
      <c r="L26" s="13"/>
    </row>
    <row r="27" spans="1:15" x14ac:dyDescent="0.35">
      <c r="A27" s="13">
        <f t="shared" ref="A27:A90" si="4">IF(A26&lt;$D$8,A26+1,"")</f>
        <v>3</v>
      </c>
      <c r="B27" s="50">
        <f ca="1">EDATE($B$24,3)</f>
        <v>44579</v>
      </c>
      <c r="C27" s="14">
        <f t="shared" ca="1" si="1"/>
        <v>44579</v>
      </c>
      <c r="D27" s="13">
        <f t="shared" ca="1" si="2"/>
        <v>31</v>
      </c>
      <c r="E27" s="15">
        <f t="shared" ca="1" si="3"/>
        <v>2000851.4559751442</v>
      </c>
      <c r="F27" s="15">
        <f ca="1">IF(AND(A26="",A28=""),"",IF(A27="",SUM($F$25:F26),IF(A27=$D$8,$E$24-SUM($F$25:F26),$F$13-G27)))</f>
        <v>-825.25105160014209</v>
      </c>
      <c r="G27" s="15">
        <f ca="1">IF(A26=$D$8,SUM($G$25:G26),IF(A26&gt;$D$8,"",E26*D27*$D$9/IF(OR(YEAR(C27)=2020,YEAR(C27)=2024),366,365)))</f>
        <v>50942.585272749857</v>
      </c>
      <c r="H27" s="15">
        <f ca="1">IF(A26=$D$8,SUM($H$25:H26),IF(A26="","",(G27+F27)))</f>
        <v>50117.334221149715</v>
      </c>
      <c r="I27" s="13"/>
      <c r="J27" s="13"/>
      <c r="K27" s="52" t="str">
        <f>IF(A26=$D$8,XIRR(H$24:H26,C$24:C26),"")</f>
        <v/>
      </c>
      <c r="L27" s="15" t="str">
        <f t="shared" ref="L27:L36" si="5">IF(A26=$D$8,G27+I27+F27,"")</f>
        <v/>
      </c>
    </row>
    <row r="28" spans="1:15" x14ac:dyDescent="0.35">
      <c r="A28" s="13">
        <f t="shared" si="4"/>
        <v>4</v>
      </c>
      <c r="B28" s="50">
        <f ca="1">EDATE($B$24,4)</f>
        <v>44610</v>
      </c>
      <c r="C28" s="14">
        <f t="shared" ca="1" si="1"/>
        <v>44610</v>
      </c>
      <c r="D28" s="13">
        <f t="shared" ca="1" si="2"/>
        <v>31</v>
      </c>
      <c r="E28" s="15">
        <f t="shared" ca="1" si="3"/>
        <v>2001697.7269623652</v>
      </c>
      <c r="F28" s="15">
        <f ca="1">IF(AND(A27="",A29=""),"",IF(A28="",SUM($F$25:F27),IF(A28=$D$8,$E$24-SUM($F$25:F27),$F$13-G28)))</f>
        <v>-846.270987221018</v>
      </c>
      <c r="G28" s="15">
        <f ca="1">IF(A27=$D$8,SUM($G$25:G27),IF(A27&gt;$D$8,"",E27*D28*$D$9/IF(OR(YEAR(C28)=2020,YEAR(C28)=2024),366,365)))</f>
        <v>50963.605208370733</v>
      </c>
      <c r="H28" s="15">
        <f ca="1">IF(A27=$D$8,SUM($H$25:H27),IF(A27="","",(G28+F28)))</f>
        <v>50117.334221149715</v>
      </c>
      <c r="I28" s="13"/>
      <c r="J28" s="13"/>
      <c r="K28" s="52" t="str">
        <f>IF(A27=$D$8,XIRR(H$24:H27,C$24:C27),"")</f>
        <v/>
      </c>
      <c r="L28" s="15" t="str">
        <f t="shared" si="5"/>
        <v/>
      </c>
    </row>
    <row r="29" spans="1:15" x14ac:dyDescent="0.35">
      <c r="A29" s="13">
        <f t="shared" si="4"/>
        <v>5</v>
      </c>
      <c r="B29" s="50">
        <f ca="1">EDATE($B$24,5)</f>
        <v>44638</v>
      </c>
      <c r="C29" s="14">
        <f t="shared" ref="C29:C47" ca="1" si="6">IF(B29&gt;$F$10,"",IF(B29=$F$10,B29-1,B29))</f>
        <v>44638</v>
      </c>
      <c r="D29" s="13">
        <f t="shared" ca="1" si="2"/>
        <v>28</v>
      </c>
      <c r="E29" s="15">
        <f t="shared" ca="1" si="3"/>
        <v>1997631.5054887454</v>
      </c>
      <c r="F29" s="15">
        <f ca="1">IF(AND(A28="",A30=""),"",IF(A29="",SUM($F$25:F28),IF(A29=$D$8,$E$24-SUM($F$25:F28),$F$13-G29)))</f>
        <v>4066.2214736199239</v>
      </c>
      <c r="G29" s="15">
        <f ca="1">IF(A28=$D$8,SUM($G$25:G28),IF(A28&gt;$D$8,"",E28*D29*$D$9/IF(OR(YEAR(C29)=2020,YEAR(C29)=2024),366,365)))</f>
        <v>46051.112747529791</v>
      </c>
      <c r="H29" s="15">
        <f ca="1">IF(A28=$D$8,SUM($H$25:H28),IF(A28="","",(G29+F29)))</f>
        <v>50117.334221149715</v>
      </c>
      <c r="I29" s="15" t="str">
        <f t="shared" ref="I29:I37" si="7">IF(A29="",$I$24,"")</f>
        <v/>
      </c>
      <c r="J29" s="15"/>
      <c r="K29" s="52" t="str">
        <f>IF(A28=$D$8,XIRR(H$24:H28,C$24:C28),"")</f>
        <v/>
      </c>
      <c r="L29" s="15" t="str">
        <f t="shared" si="5"/>
        <v/>
      </c>
    </row>
    <row r="30" spans="1:15" x14ac:dyDescent="0.35">
      <c r="A30" s="13">
        <f t="shared" si="4"/>
        <v>6</v>
      </c>
      <c r="B30" s="50">
        <f ca="1">EDATE($B$24,6)</f>
        <v>44669</v>
      </c>
      <c r="C30" s="14">
        <f t="shared" ca="1" si="6"/>
        <v>44669</v>
      </c>
      <c r="D30" s="13">
        <f t="shared" ca="1" si="2"/>
        <v>31</v>
      </c>
      <c r="E30" s="15">
        <f t="shared" ca="1" si="3"/>
        <v>1998395.761249454</v>
      </c>
      <c r="F30" s="15">
        <f ca="1">IF(AND(A29="",A31=""),"",IF(A30="",SUM($F$25:F29),IF(A30=$D$8,$E$24-SUM($F$25:F29),$F$13-G30)))</f>
        <v>-764.25576070868556</v>
      </c>
      <c r="G30" s="15">
        <f ca="1">IF(A29=$D$8,SUM($G$25:G29),IF(A29&gt;$D$8,"",E29*D30*$D$9/IF(OR(YEAR(C30)=2020,YEAR(C30)=2024),366,365)))</f>
        <v>50881.5899818584</v>
      </c>
      <c r="H30" s="15">
        <f ca="1">IF(A29=$D$8,SUM($H$25:H29),IF(A29="","",(G30+F30)))</f>
        <v>50117.334221149715</v>
      </c>
      <c r="I30" s="15" t="str">
        <f t="shared" si="7"/>
        <v/>
      </c>
      <c r="J30" s="15"/>
      <c r="K30" s="52" t="str">
        <f>IF(A29=$D$8,XIRR(H$24:H29,C$24:C29),"")</f>
        <v/>
      </c>
      <c r="L30" s="15" t="str">
        <f t="shared" si="5"/>
        <v/>
      </c>
    </row>
    <row r="31" spans="1:15" x14ac:dyDescent="0.35">
      <c r="A31" s="13">
        <f t="shared" si="4"/>
        <v>7</v>
      </c>
      <c r="B31" s="50">
        <f ca="1">EDATE($B$24,7)</f>
        <v>44699</v>
      </c>
      <c r="C31" s="14">
        <f t="shared" ca="1" si="6"/>
        <v>44699</v>
      </c>
      <c r="D31" s="13">
        <f t="shared" ca="1" si="2"/>
        <v>30</v>
      </c>
      <c r="E31" s="15">
        <f t="shared" ca="1" si="3"/>
        <v>1997537.5137788833</v>
      </c>
      <c r="F31" s="15">
        <f ca="1">IF(AND(A30="",A32=""),"",IF(A31="",SUM($F$25:F30),IF(A31=$D$8,$E$24-SUM($F$25:F30),$F$13-G31)))</f>
        <v>858.24747057069908</v>
      </c>
      <c r="G31" s="15">
        <f ca="1">IF(A30=$D$8,SUM($G$25:G30),IF(A30&gt;$D$8,"",E30*D31*$D$9/IF(OR(YEAR(C31)=2020,YEAR(C31)=2024),366,365)))</f>
        <v>49259.086750579016</v>
      </c>
      <c r="H31" s="15">
        <f ca="1">IF(A30=$D$8,SUM($H$25:H30),IF(A30="","",(G31+F31)))</f>
        <v>50117.334221149715</v>
      </c>
      <c r="I31" s="15" t="str">
        <f t="shared" si="7"/>
        <v/>
      </c>
      <c r="J31" s="15"/>
      <c r="K31" s="52" t="str">
        <f>IF(A30=$D$8,XIRR(H$24:H30,C$24:C30),"")</f>
        <v/>
      </c>
      <c r="L31" s="15" t="str">
        <f t="shared" si="5"/>
        <v/>
      </c>
    </row>
    <row r="32" spans="1:15" x14ac:dyDescent="0.35">
      <c r="A32" s="13">
        <f t="shared" si="4"/>
        <v>8</v>
      </c>
      <c r="B32" s="50">
        <f ca="1">EDATE($B$24,8)</f>
        <v>44730</v>
      </c>
      <c r="C32" s="14">
        <f t="shared" ca="1" si="6"/>
        <v>44730</v>
      </c>
      <c r="D32" s="13">
        <f t="shared" ca="1" si="2"/>
        <v>31</v>
      </c>
      <c r="E32" s="15">
        <f t="shared" ca="1" si="3"/>
        <v>1998299.3754806127</v>
      </c>
      <c r="F32" s="15">
        <f ca="1">IF(AND(A31="",A33=""),"",IF(A32="",SUM($F$25:F31),IF(A32=$D$8,$E$24-SUM($F$25:F31),$F$13-G32)))</f>
        <v>-761.86170172946731</v>
      </c>
      <c r="G32" s="15">
        <f ca="1">IF(A31=$D$8,SUM($G$25:G31),IF(A31&gt;$D$8,"",E31*D32*$D$9/IF(OR(YEAR(C32)=2020,YEAR(C32)=2024),366,365)))</f>
        <v>50879.195922879182</v>
      </c>
      <c r="H32" s="15">
        <f ca="1">IF(A31=$D$8,SUM($H$25:H31),IF(A31="","",(G32+F32)))</f>
        <v>50117.334221149715</v>
      </c>
      <c r="I32" s="15" t="str">
        <f t="shared" si="7"/>
        <v/>
      </c>
      <c r="J32" s="15"/>
      <c r="K32" s="52" t="str">
        <f>IF(A31=$D$8,XIRR(H$24:H31,C$24:C31),"")</f>
        <v/>
      </c>
      <c r="L32" s="15" t="str">
        <f t="shared" si="5"/>
        <v/>
      </c>
    </row>
    <row r="33" spans="1:12" x14ac:dyDescent="0.35">
      <c r="A33" s="13">
        <f t="shared" si="4"/>
        <v>9</v>
      </c>
      <c r="B33" s="50">
        <f ca="1">EDATE($B$24,9)</f>
        <v>44760</v>
      </c>
      <c r="C33" s="14">
        <f t="shared" ca="1" si="6"/>
        <v>44760</v>
      </c>
      <c r="D33" s="13">
        <f t="shared" ca="1" si="2"/>
        <v>30</v>
      </c>
      <c r="E33" s="15">
        <f t="shared" ca="1" si="3"/>
        <v>1997438.7521668577</v>
      </c>
      <c r="F33" s="15">
        <f ca="1">IF(AND(A32="",A34=""),"",IF(A33="",SUM($F$25:F32),IF(A33=$D$8,$E$24-SUM($F$25:F32),$F$13-G33)))</f>
        <v>860.62331375500071</v>
      </c>
      <c r="G33" s="15">
        <f ca="1">IF(A32=$D$8,SUM($G$25:G32),IF(A32&gt;$D$8,"",E32*D33*$D$9/IF(OR(YEAR(C33)=2020,YEAR(C33)=2024),366,365)))</f>
        <v>49256.710907394714</v>
      </c>
      <c r="H33" s="15">
        <f ca="1">IF(A32=$D$8,SUM($H$25:H32),IF(A32="","",(G33+F33)))</f>
        <v>50117.334221149715</v>
      </c>
      <c r="I33" s="15" t="str">
        <f t="shared" si="7"/>
        <v/>
      </c>
      <c r="J33" s="15"/>
      <c r="K33" s="52" t="str">
        <f>IF(A32=$D$8,XIRR(H$24:H32,C$24:C32),"")</f>
        <v/>
      </c>
      <c r="L33" s="15" t="str">
        <f t="shared" si="5"/>
        <v/>
      </c>
    </row>
    <row r="34" spans="1:12" x14ac:dyDescent="0.35">
      <c r="A34" s="13">
        <f t="shared" si="4"/>
        <v>10</v>
      </c>
      <c r="B34" s="50">
        <f ca="1">EDATE($B$24,10)</f>
        <v>44791</v>
      </c>
      <c r="C34" s="14">
        <f t="shared" ca="1" si="6"/>
        <v>44791</v>
      </c>
      <c r="D34" s="13">
        <f t="shared" ca="1" si="2"/>
        <v>31</v>
      </c>
      <c r="E34" s="15">
        <f t="shared" ca="1" si="3"/>
        <v>1998198.0983156259</v>
      </c>
      <c r="F34" s="15">
        <f ca="1">IF(AND(A33="",A35=""),"",IF(A34="",SUM($F$25:F33),IF(A34=$D$8,$E$24-SUM($F$25:F33),$F$13-G34)))</f>
        <v>-759.34614876825071</v>
      </c>
      <c r="G34" s="15">
        <f ca="1">IF(A33=$D$8,SUM($G$25:G33),IF(A33&gt;$D$8,"",E33*D34*$D$9/IF(OR(YEAR(C34)=2020,YEAR(C34)=2024),366,365)))</f>
        <v>50876.680369917965</v>
      </c>
      <c r="H34" s="15">
        <f ca="1">IF(A33=$D$8,SUM($H$25:H33),IF(A33="","",(G34+F34)))</f>
        <v>50117.334221149715</v>
      </c>
      <c r="I34" s="15" t="str">
        <f t="shared" si="7"/>
        <v/>
      </c>
      <c r="J34" s="15"/>
      <c r="K34" s="52" t="str">
        <f>IF(A33=$D$8,XIRR(H$24:H33,C$24:C33),"")</f>
        <v/>
      </c>
      <c r="L34" s="15" t="str">
        <f t="shared" si="5"/>
        <v/>
      </c>
    </row>
    <row r="35" spans="1:12" x14ac:dyDescent="0.35">
      <c r="A35" s="13">
        <f t="shared" si="4"/>
        <v>11</v>
      </c>
      <c r="B35" s="50">
        <f ca="1">EDATE($B$24,11)</f>
        <v>44822</v>
      </c>
      <c r="C35" s="14">
        <f t="shared" ca="1" si="6"/>
        <v>44822</v>
      </c>
      <c r="D35" s="13">
        <f t="shared" ca="1" si="2"/>
        <v>31</v>
      </c>
      <c r="E35" s="15">
        <f t="shared" ca="1" si="3"/>
        <v>1998976.7857389434</v>
      </c>
      <c r="F35" s="15">
        <f ca="1">IF(AND(A34="",A36=""),"",IF(A35="",SUM($F$25:F34),IF(A35=$D$8,$E$24-SUM($F$25:F34),$F$13-G35)))</f>
        <v>-778.68742331752583</v>
      </c>
      <c r="G35" s="15">
        <f ca="1">IF(A34=$D$8,SUM($G$25:G34),IF(A34&gt;$D$8,"",E34*D35*$D$9/IF(OR(YEAR(C35)=2020,YEAR(C35)=2024),366,365)))</f>
        <v>50896.021644467241</v>
      </c>
      <c r="H35" s="15">
        <f ca="1">IF(A34=$D$8,SUM($H$25:H34),IF(A34="","",(G35+F35)))</f>
        <v>50117.334221149715</v>
      </c>
      <c r="I35" s="15" t="str">
        <f t="shared" si="7"/>
        <v/>
      </c>
      <c r="J35" s="15"/>
      <c r="K35" s="52" t="str">
        <f>IF(A34=$D$8,XIRR(H$24:H34,C$24:C34),"")</f>
        <v/>
      </c>
      <c r="L35" s="15" t="str">
        <f t="shared" si="5"/>
        <v/>
      </c>
    </row>
    <row r="36" spans="1:12" x14ac:dyDescent="0.35">
      <c r="A36" s="13">
        <f t="shared" si="4"/>
        <v>12</v>
      </c>
      <c r="B36" s="50">
        <f ca="1">EDATE($B$24,12)</f>
        <v>44852</v>
      </c>
      <c r="C36" s="14">
        <f t="shared" ca="1" si="6"/>
        <v>44852</v>
      </c>
      <c r="D36" s="13">
        <f t="shared" ca="1" si="2"/>
        <v>30</v>
      </c>
      <c r="E36" s="15">
        <f t="shared" ca="1" si="3"/>
        <v>1998132.8601240767</v>
      </c>
      <c r="F36" s="15">
        <f ca="1">IF(AND(A35="",A37=""),"",IF(A36="",SUM($F$25:F35),IF(A36=$D$8,$E$24-SUM($F$25:F35),$F$13-G36)))</f>
        <v>843.92561486677732</v>
      </c>
      <c r="G36" s="15">
        <f ca="1">IF(A35=$D$8,SUM($G$25:G35),IF(A35&gt;$D$8,"",E35*D36*$D$9/IF(OR(YEAR(C36)=2020,YEAR(C36)=2024),366,365)))</f>
        <v>49273.408606282937</v>
      </c>
      <c r="H36" s="15">
        <f ca="1">IF(A35=$D$8,SUM($H$25:H35),IF(A35="","",(G36+F36)))</f>
        <v>50117.334221149715</v>
      </c>
      <c r="I36" s="15" t="str">
        <f t="shared" si="7"/>
        <v/>
      </c>
      <c r="J36" s="15"/>
      <c r="K36" s="52" t="str">
        <f>IF(A35=$D$8,XIRR(H$24:H35,C$24:C35),"")</f>
        <v/>
      </c>
      <c r="L36" s="15" t="str">
        <f t="shared" si="5"/>
        <v/>
      </c>
    </row>
    <row r="37" spans="1:12" x14ac:dyDescent="0.35">
      <c r="A37" s="13">
        <f t="shared" si="4"/>
        <v>13</v>
      </c>
      <c r="B37" s="50">
        <f ca="1">EDATE($B$24,13)</f>
        <v>44883</v>
      </c>
      <c r="C37" s="14">
        <f t="shared" ca="1" si="6"/>
        <v>44883</v>
      </c>
      <c r="D37" s="13">
        <f ca="1">IF(A37&gt;$D$8,"",C37-C36)</f>
        <v>31</v>
      </c>
      <c r="E37" s="15">
        <f t="shared" ref="E37:E100" ca="1" si="8">IF(A37&gt;$D$8,"",E36-F37)</f>
        <v>1998909.8858680984</v>
      </c>
      <c r="F37" s="15">
        <f ca="1">IF(AND(A36="",A38=""),"",IF(A37="",SUM($F$25:F36),IF(A37=$D$8,$E$24-SUM($F$25:F36),$F$13-G37)))</f>
        <v>-777.02574402160099</v>
      </c>
      <c r="G37" s="15">
        <f ca="1">IF(A36=$D$8,SUM($G$25:G36),IF(A36&gt;$D$8,"",E36*D37*$D$9/IF(OR(YEAR(C37)=2020,YEAR(C37)=2024),366,365)))</f>
        <v>50894.359965171316</v>
      </c>
      <c r="H37" s="15">
        <f ca="1">IF(A36=$D$8,SUM($H$25:H36),IF(A36="","",(G37+F37)))</f>
        <v>50117.334221149715</v>
      </c>
      <c r="I37" s="15" t="str">
        <f t="shared" si="7"/>
        <v/>
      </c>
      <c r="J37" s="15"/>
      <c r="K37" s="52" t="str">
        <f>IF(A36=$D$8,XIRR(H$24:H36,C$24:C36),"")</f>
        <v/>
      </c>
      <c r="L37" s="144" t="str">
        <f>IF(A36=$D$8,G37+I37+F37+$J$24,"")</f>
        <v/>
      </c>
    </row>
    <row r="38" spans="1:12" x14ac:dyDescent="0.35">
      <c r="A38" s="13">
        <f t="shared" si="4"/>
        <v>14</v>
      </c>
      <c r="B38" s="50">
        <f ca="1">EDATE($B$24,14)</f>
        <v>44913</v>
      </c>
      <c r="C38" s="14">
        <f t="shared" ca="1" si="6"/>
        <v>44913</v>
      </c>
      <c r="D38" s="13">
        <f t="shared" ref="D38:D101" ca="1" si="9">IF(A38&gt;$D$8,"",C38-C37)</f>
        <v>30</v>
      </c>
      <c r="E38" s="15">
        <f t="shared" ca="1" si="8"/>
        <v>1998064.311217237</v>
      </c>
      <c r="F38" s="15">
        <f ca="1">IF(AND(A37="",A39=""),"",IF(A38="",SUM($F$25:F37),IF(A38=$D$8,$E$24-SUM($F$25:F37),$F$13-G38)))</f>
        <v>845.57465086127195</v>
      </c>
      <c r="G38" s="15">
        <f ca="1">IF(A37=$D$8,SUM($G$25:G37),IF(A37&gt;$D$8,"",E37*D38*$D$9/IF(OR(YEAR(C38)=2020,YEAR(C38)=2024),366,365)))</f>
        <v>49271.759570288443</v>
      </c>
      <c r="H38" s="15">
        <f ca="1">IF(A37=$D$8,SUM($H$25:H37),IF(A37="","",(G38+F38)))</f>
        <v>50117.334221149715</v>
      </c>
      <c r="I38" s="15" t="str">
        <f t="shared" ref="I38:I101" si="10">IF(A37=$F$8,$I$24,"")</f>
        <v/>
      </c>
      <c r="J38" s="15"/>
      <c r="K38" s="52" t="str">
        <f>IF(A37=$D$8,XIRR(H$24:H37,C$24:C37),"")</f>
        <v/>
      </c>
      <c r="L38" s="144" t="str">
        <f t="shared" ref="L38:L85" si="11">IF(A37=$D$8,G38+I38+F38+$J$24,"")</f>
        <v/>
      </c>
    </row>
    <row r="39" spans="1:12" x14ac:dyDescent="0.35">
      <c r="A39" s="13">
        <f t="shared" si="4"/>
        <v>15</v>
      </c>
      <c r="B39" s="50">
        <f ca="1">EDATE($B$24,15)</f>
        <v>44944</v>
      </c>
      <c r="C39" s="14">
        <f t="shared" ca="1" si="6"/>
        <v>44944</v>
      </c>
      <c r="D39" s="13">
        <f t="shared" ca="1" si="9"/>
        <v>31</v>
      </c>
      <c r="E39" s="15">
        <f t="shared" ca="1" si="8"/>
        <v>1998839.5909548695</v>
      </c>
      <c r="F39" s="15">
        <f ca="1">IF(AND(A38="",A40=""),"",IF(A39="",SUM($F$25:F38),IF(A39=$D$8,$E$24-SUM($F$25:F38),$F$13-G39)))</f>
        <v>-775.27973763256887</v>
      </c>
      <c r="G39" s="15">
        <f ca="1">IF(A38=$D$8,SUM($G$25:G38),IF(A38&gt;$D$8,"",E38*D39*$D$9/IF(OR(YEAR(C39)=2020,YEAR(C39)=2024),366,365)))</f>
        <v>50892.613958782284</v>
      </c>
      <c r="H39" s="15">
        <f ca="1">IF(A38=$D$8,SUM($H$25:H38),IF(A38="","",(G39+F39)))</f>
        <v>50117.334221149715</v>
      </c>
      <c r="I39" s="15" t="str">
        <f t="shared" si="10"/>
        <v/>
      </c>
      <c r="J39" s="15"/>
      <c r="K39" s="52" t="str">
        <f>IF(A38=$D$8,XIRR(H$24:H38,C$24:C38),"")</f>
        <v/>
      </c>
      <c r="L39" s="144" t="str">
        <f t="shared" si="11"/>
        <v/>
      </c>
    </row>
    <row r="40" spans="1:12" x14ac:dyDescent="0.35">
      <c r="A40" s="13">
        <f t="shared" si="4"/>
        <v>16</v>
      </c>
      <c r="B40" s="50">
        <f ca="1">EDATE($B$24,16)</f>
        <v>44975</v>
      </c>
      <c r="C40" s="14">
        <f t="shared" ca="1" si="6"/>
        <v>44975</v>
      </c>
      <c r="D40" s="13">
        <f t="shared" ca="1" si="9"/>
        <v>31</v>
      </c>
      <c r="E40" s="15">
        <f t="shared" ca="1" si="8"/>
        <v>1999634.6178108386</v>
      </c>
      <c r="F40" s="15">
        <f ca="1">IF(AND(A39="",A41=""),"",IF(A40="",SUM($F$25:F39),IF(A40=$D$8,$E$24-SUM($F$25:F39),$F$13-G40)))</f>
        <v>-795.02685596899391</v>
      </c>
      <c r="G40" s="15">
        <f ca="1">IF(A39=$D$8,SUM($G$25:G39),IF(A39&gt;$D$8,"",E39*D40*$D$9/IF(OR(YEAR(C40)=2020,YEAR(C40)=2024),366,365)))</f>
        <v>50912.361077118709</v>
      </c>
      <c r="H40" s="15">
        <f ca="1">IF(A39=$D$8,SUM($H$25:H39),IF(A39="","",(G40+F40)))</f>
        <v>50117.334221149715</v>
      </c>
      <c r="I40" s="15" t="str">
        <f t="shared" si="10"/>
        <v/>
      </c>
      <c r="J40" s="15"/>
      <c r="K40" s="52" t="str">
        <f>IF(A39=$D$8,XIRR(H$24:H39,C$24:C39),"")</f>
        <v/>
      </c>
      <c r="L40" s="144" t="str">
        <f t="shared" si="11"/>
        <v/>
      </c>
    </row>
    <row r="41" spans="1:12" x14ac:dyDescent="0.35">
      <c r="A41" s="13">
        <f t="shared" si="4"/>
        <v>17</v>
      </c>
      <c r="B41" s="50">
        <f ca="1">EDATE($B$24,17)</f>
        <v>45003</v>
      </c>
      <c r="C41" s="14">
        <f t="shared" ca="1" si="6"/>
        <v>45003</v>
      </c>
      <c r="D41" s="13">
        <f t="shared" ca="1" si="9"/>
        <v>28</v>
      </c>
      <c r="E41" s="15">
        <f t="shared" ca="1" si="8"/>
        <v>1995520.932391555</v>
      </c>
      <c r="F41" s="15">
        <f ca="1">IF(AND(A40="",A42=""),"",IF(A41="",SUM($F$25:F40),IF(A41=$D$8,$E$24-SUM($F$25:F40),$F$13-G41)))</f>
        <v>4113.6854192834799</v>
      </c>
      <c r="G41" s="15">
        <f ca="1">IF(A40=$D$8,SUM($G$25:G40),IF(A40&gt;$D$8,"",E40*D41*$D$9/IF(OR(YEAR(C41)=2020,YEAR(C41)=2024),366,365)))</f>
        <v>46003.648801866235</v>
      </c>
      <c r="H41" s="15">
        <f ca="1">IF(A40=$D$8,SUM($H$25:H40),IF(A40="","",(G41+F41)))</f>
        <v>50117.334221149715</v>
      </c>
      <c r="I41" s="15" t="str">
        <f t="shared" si="10"/>
        <v/>
      </c>
      <c r="J41" s="15"/>
      <c r="K41" s="52" t="str">
        <f>IF(A40=$D$8,XIRR(H$24:H40,C$24:C40),"")</f>
        <v/>
      </c>
      <c r="L41" s="144" t="str">
        <f t="shared" si="11"/>
        <v/>
      </c>
    </row>
    <row r="42" spans="1:12" x14ac:dyDescent="0.35">
      <c r="A42" s="13">
        <f t="shared" si="4"/>
        <v>18</v>
      </c>
      <c r="B42" s="50">
        <f ca="1">EDATE($B$24,18)</f>
        <v>45034</v>
      </c>
      <c r="C42" s="14">
        <f t="shared" ca="1" si="6"/>
        <v>45034</v>
      </c>
      <c r="D42" s="13">
        <f t="shared" ca="1" si="9"/>
        <v>31</v>
      </c>
      <c r="E42" s="15">
        <f t="shared" ca="1" si="8"/>
        <v>1996231.429831641</v>
      </c>
      <c r="F42" s="15">
        <f ca="1">IF(AND(A41="",A43=""),"",IF(A42="",SUM($F$25:F41),IF(A42=$D$8,$E$24-SUM($F$25:F41),$F$13-G42)))</f>
        <v>-710.49744008603011</v>
      </c>
      <c r="G42" s="15">
        <f ca="1">IF(A41=$D$8,SUM($G$25:G41),IF(A41&gt;$D$8,"",E41*D42*$D$9/IF(OR(YEAR(C42)=2020,YEAR(C42)=2024),366,365)))</f>
        <v>50827.831661235745</v>
      </c>
      <c r="H42" s="15">
        <f ca="1">IF(A41=$D$8,SUM($H$25:H41),IF(A41="","",(G42+F42)))</f>
        <v>50117.334221149715</v>
      </c>
      <c r="I42" s="15" t="str">
        <f t="shared" si="10"/>
        <v/>
      </c>
      <c r="J42" s="15"/>
      <c r="K42" s="52" t="str">
        <f>IF(A41=$D$8,XIRR(H$24:H41,C$24:C41),"")</f>
        <v/>
      </c>
      <c r="L42" s="144" t="str">
        <f t="shared" si="11"/>
        <v/>
      </c>
    </row>
    <row r="43" spans="1:12" x14ac:dyDescent="0.35">
      <c r="A43" s="13">
        <f t="shared" si="4"/>
        <v>19</v>
      </c>
      <c r="B43" s="50">
        <f ca="1">EDATE($B$24,19)</f>
        <v>45064</v>
      </c>
      <c r="C43" s="14">
        <f t="shared" ca="1" si="6"/>
        <v>45064</v>
      </c>
      <c r="D43" s="13">
        <f t="shared" ca="1" si="9"/>
        <v>30</v>
      </c>
      <c r="E43" s="15">
        <f t="shared" ca="1" si="8"/>
        <v>1995319.83307404</v>
      </c>
      <c r="F43" s="15">
        <f ca="1">IF(AND(A42="",A44=""),"",IF(A43="",SUM($F$25:F42),IF(A43=$D$8,$E$24-SUM($F$25:F42),$F$13-G43)))</f>
        <v>911.59675760101527</v>
      </c>
      <c r="G43" s="15">
        <f ca="1">IF(A42=$D$8,SUM($G$25:G42),IF(A42&gt;$D$8,"",E42*D43*$D$9/IF(OR(YEAR(C43)=2020,YEAR(C43)=2024),366,365)))</f>
        <v>49205.737463548699</v>
      </c>
      <c r="H43" s="15">
        <f ca="1">IF(A42=$D$8,SUM($H$25:H42),IF(A42="","",(G43+F43)))</f>
        <v>50117.334221149715</v>
      </c>
      <c r="I43" s="15" t="str">
        <f t="shared" si="10"/>
        <v/>
      </c>
      <c r="J43" s="15"/>
      <c r="K43" s="52" t="str">
        <f>IF(A42=$D$8,XIRR(H$24:H42,C$24:C42),"")</f>
        <v/>
      </c>
      <c r="L43" s="144" t="str">
        <f t="shared" si="11"/>
        <v/>
      </c>
    </row>
    <row r="44" spans="1:12" x14ac:dyDescent="0.35">
      <c r="A44" s="13">
        <f t="shared" si="4"/>
        <v>20</v>
      </c>
      <c r="B44" s="50">
        <f ca="1">EDATE($B$24,20)</f>
        <v>45095</v>
      </c>
      <c r="C44" s="14">
        <f t="shared" ca="1" si="6"/>
        <v>45095</v>
      </c>
      <c r="D44" s="13">
        <f t="shared" ca="1" si="9"/>
        <v>31</v>
      </c>
      <c r="E44" s="15">
        <f t="shared" ca="1" si="8"/>
        <v>1996025.208321674</v>
      </c>
      <c r="F44" s="15">
        <f ca="1">IF(AND(A43="",A45=""),"",IF(A44="",SUM($F$25:F43),IF(A44=$D$8,$E$24-SUM($F$25:F43),$F$13-G44)))</f>
        <v>-705.37524763395777</v>
      </c>
      <c r="G44" s="15">
        <f ca="1">IF(A43=$D$8,SUM($G$25:G43),IF(A43&gt;$D$8,"",E43*D44*$D$9/IF(OR(YEAR(C44)=2020,YEAR(C44)=2024),366,365)))</f>
        <v>50822.709468783672</v>
      </c>
      <c r="H44" s="15">
        <f ca="1">IF(A43=$D$8,SUM($H$25:H43),IF(A43="","",(G44+F44)))</f>
        <v>50117.334221149715</v>
      </c>
      <c r="I44" s="15" t="str">
        <f t="shared" si="10"/>
        <v/>
      </c>
      <c r="J44" s="15"/>
      <c r="K44" s="52" t="str">
        <f>IF(A43=$D$8,XIRR(H$24:H43,C$24:C43),"")</f>
        <v/>
      </c>
      <c r="L44" s="144" t="str">
        <f t="shared" si="11"/>
        <v/>
      </c>
    </row>
    <row r="45" spans="1:12" x14ac:dyDescent="0.35">
      <c r="A45" s="13">
        <f t="shared" si="4"/>
        <v>21</v>
      </c>
      <c r="B45" s="50">
        <f ca="1">EDATE($B$24,21)</f>
        <v>45125</v>
      </c>
      <c r="C45" s="14">
        <f t="shared" ca="1" si="6"/>
        <v>45125</v>
      </c>
      <c r="D45" s="13">
        <f t="shared" ca="1" si="9"/>
        <v>30</v>
      </c>
      <c r="E45" s="15">
        <f t="shared" ca="1" si="8"/>
        <v>1995108.5283450999</v>
      </c>
      <c r="F45" s="15">
        <f ca="1">IF(AND(A44="",A46=""),"",IF(A45="",SUM($F$25:F44),IF(A45=$D$8,$E$24-SUM($F$25:F44),$F$13-G45)))</f>
        <v>916.67997657409433</v>
      </c>
      <c r="G45" s="15">
        <f ca="1">IF(A44=$D$8,SUM($G$25:G44),IF(A44&gt;$D$8,"",E44*D45*$D$9/IF(OR(YEAR(C45)=2020,YEAR(C45)=2024),366,365)))</f>
        <v>49200.65424457562</v>
      </c>
      <c r="H45" s="15">
        <f ca="1">IF(A44=$D$8,SUM($H$25:H44),IF(A44="","",(G45+F45)))</f>
        <v>50117.334221149715</v>
      </c>
      <c r="I45" s="15" t="str">
        <f t="shared" si="10"/>
        <v/>
      </c>
      <c r="J45" s="15"/>
      <c r="K45" s="52" t="str">
        <f>IF(A44=$D$8,XIRR(H$24:H44,C$24:C44),"")</f>
        <v/>
      </c>
      <c r="L45" s="144" t="str">
        <f t="shared" si="11"/>
        <v/>
      </c>
    </row>
    <row r="46" spans="1:12" x14ac:dyDescent="0.35">
      <c r="A46" s="13">
        <f t="shared" si="4"/>
        <v>22</v>
      </c>
      <c r="B46" s="50">
        <f ca="1">EDATE($B$24,22)</f>
        <v>45156</v>
      </c>
      <c r="C46" s="14">
        <f t="shared" ca="1" si="6"/>
        <v>45156</v>
      </c>
      <c r="D46" s="13">
        <f t="shared" ca="1" si="9"/>
        <v>31</v>
      </c>
      <c r="E46" s="15">
        <f t="shared" ca="1" si="8"/>
        <v>1995808.5214586668</v>
      </c>
      <c r="F46" s="15">
        <f ca="1">IF(AND(A45="",A47=""),"",IF(A46="",SUM($F$25:F45),IF(A46=$D$8,$E$24-SUM($F$25:F45),$F$13-G46)))</f>
        <v>-699.9931135668885</v>
      </c>
      <c r="G46" s="15">
        <f ca="1">IF(A45=$D$8,SUM($G$25:G45),IF(A45&gt;$D$8,"",E45*D46*$D$9/IF(OR(YEAR(C46)=2020,YEAR(C46)=2024),366,365)))</f>
        <v>50817.327334716603</v>
      </c>
      <c r="H46" s="15">
        <f ca="1">IF(A45=$D$8,SUM($H$25:H45),IF(A45="","",(G46+F46)))</f>
        <v>50117.334221149715</v>
      </c>
      <c r="I46" s="15" t="str">
        <f t="shared" si="10"/>
        <v/>
      </c>
      <c r="J46" s="15"/>
      <c r="K46" s="52" t="str">
        <f>IF(A45=$D$8,XIRR(H$24:H45,C$24:C45),"")</f>
        <v/>
      </c>
      <c r="L46" s="144" t="str">
        <f t="shared" si="11"/>
        <v/>
      </c>
    </row>
    <row r="47" spans="1:12" x14ac:dyDescent="0.35">
      <c r="A47" s="13">
        <f t="shared" si="4"/>
        <v>23</v>
      </c>
      <c r="B47" s="50">
        <f ca="1">EDATE($B$24,23)</f>
        <v>45187</v>
      </c>
      <c r="C47" s="14">
        <f t="shared" ca="1" si="6"/>
        <v>45187</v>
      </c>
      <c r="D47" s="13">
        <f t="shared" ca="1" si="9"/>
        <v>31</v>
      </c>
      <c r="E47" s="15">
        <f t="shared" ca="1" si="8"/>
        <v>1996526.3440680625</v>
      </c>
      <c r="F47" s="15">
        <f ca="1">IF(AND(A46="",A48=""),"",IF(A47="",SUM($F$25:F46),IF(A47=$D$8,$E$24-SUM($F$25:F46),$F$13-G47)))</f>
        <v>-717.82260939570551</v>
      </c>
      <c r="G47" s="15">
        <f ca="1">IF(A46=$D$8,SUM($G$25:G46),IF(A46&gt;$D$8,"",E46*D47*$D$9/IF(OR(YEAR(C47)=2020,YEAR(C47)=2024),366,365)))</f>
        <v>50835.15683054542</v>
      </c>
      <c r="H47" s="15">
        <f ca="1">IF(A46=$D$8,SUM($H$25:H46),IF(A46="","",(G47+F47)))</f>
        <v>50117.334221149715</v>
      </c>
      <c r="I47" s="15" t="str">
        <f t="shared" si="10"/>
        <v/>
      </c>
      <c r="J47" s="15"/>
      <c r="K47" s="52" t="str">
        <f>IF(A46=$D$8,XIRR(H$24:H46,C$24:C46),"")</f>
        <v/>
      </c>
      <c r="L47" s="144" t="str">
        <f t="shared" si="11"/>
        <v/>
      </c>
    </row>
    <row r="48" spans="1:12" x14ac:dyDescent="0.35">
      <c r="A48" s="13">
        <f t="shared" si="4"/>
        <v>24</v>
      </c>
      <c r="B48" s="50">
        <f ca="1">EDATE($B$24,24)</f>
        <v>45217</v>
      </c>
      <c r="C48" s="14">
        <f ca="1">IF(B48&gt;$F$10,"",IF(B48=$F$10,B48-1,B48))</f>
        <v>45217</v>
      </c>
      <c r="D48" s="13">
        <f t="shared" ca="1" si="9"/>
        <v>30</v>
      </c>
      <c r="E48" s="15">
        <f t="shared" ca="1" si="8"/>
        <v>1995622.0167443932</v>
      </c>
      <c r="F48" s="15">
        <f ca="1">IF(AND(A47="",A49=""),"",IF(A48="",SUM($F$25:F47),IF(A48=$D$8,$E$24-SUM($F$25:F47),$F$13-G48)))</f>
        <v>904.32732366927667</v>
      </c>
      <c r="G48" s="15">
        <f ca="1">IF(A47=$D$8,SUM($G$25:G47),IF(A47&gt;$D$8,"",E47*D48*$D$9/IF(OR(YEAR(C48)=2020,YEAR(C48)=2024),366,365)))</f>
        <v>49213.006897480438</v>
      </c>
      <c r="H48" s="15">
        <f ca="1">IF(A47=$D$8,SUM($H$25:H47),IF(A47="","",(G48+F48)))</f>
        <v>50117.334221149715</v>
      </c>
      <c r="I48" s="15" t="str">
        <f t="shared" si="10"/>
        <v/>
      </c>
      <c r="J48" s="15"/>
      <c r="K48" s="52" t="str">
        <f>IF(A47=$D$8,XIRR(H$24:H47,C$24:C47),"")</f>
        <v/>
      </c>
      <c r="L48" s="144" t="str">
        <f t="shared" si="11"/>
        <v/>
      </c>
    </row>
    <row r="49" spans="1:12" x14ac:dyDescent="0.35">
      <c r="A49" s="13">
        <f t="shared" si="4"/>
        <v>25</v>
      </c>
      <c r="B49" s="50">
        <f ca="1">EDATE($B$24,25)</f>
        <v>45248</v>
      </c>
      <c r="C49" s="14">
        <f t="shared" ref="C49:C108" ca="1" si="12">IF(B49&gt;$F$10,"",IF(B49=$F$10,B49-1,B49))</f>
        <v>45248</v>
      </c>
      <c r="D49" s="13">
        <f t="shared" ca="1" si="9"/>
        <v>31</v>
      </c>
      <c r="E49" s="15">
        <f t="shared" ca="1" si="8"/>
        <v>1996335.0888998762</v>
      </c>
      <c r="F49" s="15">
        <f ca="1">IF(AND(A48="",A50=""),"",IF(A49="",SUM($F$25:F48),IF(A49=$D$8,$E$24-SUM($F$25:F48),$F$13-G49)))</f>
        <v>-713.07215548303066</v>
      </c>
      <c r="G49" s="15">
        <f ca="1">IF(A48=$D$8,SUM($G$25:G48),IF(A48&gt;$D$8,"",E48*D49*$D$9/IF(OR(YEAR(C49)=2020,YEAR(C49)=2024),366,365)))</f>
        <v>50830.406376632745</v>
      </c>
      <c r="H49" s="15">
        <f ca="1">IF(A48=$D$8,SUM($H$25:H48),IF(A48="","",(G49+F49)))</f>
        <v>50117.334221149715</v>
      </c>
      <c r="I49" s="15" t="str">
        <f t="shared" si="10"/>
        <v/>
      </c>
      <c r="J49" s="15"/>
      <c r="K49" s="52" t="str">
        <f>IF(A48=$D$8,XIRR(H$24:H48,C$24:C48),"")</f>
        <v/>
      </c>
      <c r="L49" s="144" t="str">
        <f t="shared" si="11"/>
        <v/>
      </c>
    </row>
    <row r="50" spans="1:12" x14ac:dyDescent="0.35">
      <c r="A50" s="13">
        <f t="shared" si="4"/>
        <v>26</v>
      </c>
      <c r="B50" s="50">
        <f ca="1">EDATE($B$24,26)</f>
        <v>45278</v>
      </c>
      <c r="C50" s="14">
        <f t="shared" ca="1" si="12"/>
        <v>45278</v>
      </c>
      <c r="D50" s="13">
        <f t="shared" ca="1" si="9"/>
        <v>30</v>
      </c>
      <c r="E50" s="15">
        <f t="shared" ca="1" si="8"/>
        <v>1995426.0472673078</v>
      </c>
      <c r="F50" s="15">
        <f ca="1">IF(AND(A49="",A51=""),"",IF(A50="",SUM($F$25:F49),IF(A50=$D$8,$E$24-SUM($F$25:F49),$F$13-G50)))</f>
        <v>909.04163256838365</v>
      </c>
      <c r="G50" s="15">
        <f ca="1">IF(A49=$D$8,SUM($G$25:G49),IF(A49&gt;$D$8,"",E49*D50*$D$9/IF(OR(YEAR(C50)=2020,YEAR(C50)=2024),366,365)))</f>
        <v>49208.292588581331</v>
      </c>
      <c r="H50" s="15">
        <f ca="1">IF(A49=$D$8,SUM($H$25:H49),IF(A49="","",(G50+F50)))</f>
        <v>50117.334221149715</v>
      </c>
      <c r="I50" s="15" t="str">
        <f t="shared" si="10"/>
        <v/>
      </c>
      <c r="J50" s="15"/>
      <c r="K50" s="52" t="str">
        <f>IF(A49=$D$8,XIRR(H$24:H49,C$24:C49),"")</f>
        <v/>
      </c>
      <c r="L50" s="144" t="str">
        <f t="shared" si="11"/>
        <v/>
      </c>
    </row>
    <row r="51" spans="1:12" x14ac:dyDescent="0.35">
      <c r="A51" s="13">
        <f t="shared" si="4"/>
        <v>27</v>
      </c>
      <c r="B51" s="50">
        <f ca="1">EDATE($B$24,27)</f>
        <v>45309</v>
      </c>
      <c r="C51" s="14">
        <f t="shared" ca="1" si="12"/>
        <v>45309</v>
      </c>
      <c r="D51" s="13">
        <f t="shared" ca="1" si="9"/>
        <v>31</v>
      </c>
      <c r="E51" s="15">
        <f t="shared" ca="1" si="8"/>
        <v>1995995.2606386156</v>
      </c>
      <c r="F51" s="15">
        <f ca="1">IF(AND(A50="",A52=""),"",IF(A51="",SUM($F$25:F50),IF(A51=$D$8,$E$24-SUM($F$25:F50),$F$13-G51)))</f>
        <v>-569.21337130774918</v>
      </c>
      <c r="G51" s="15">
        <f ca="1">IF(A50=$D$8,SUM($G$25:G50),IF(A50&gt;$D$8,"",E50*D51*$D$9/IF(OR(YEAR(C51)=2020,YEAR(C51)=2024),366,365)))</f>
        <v>50686.547592457464</v>
      </c>
      <c r="H51" s="15">
        <f ca="1">IF(A50=$D$8,SUM($H$25:H50),IF(A50="","",(G51+F51)))</f>
        <v>50117.334221149715</v>
      </c>
      <c r="I51" s="15" t="str">
        <f t="shared" si="10"/>
        <v/>
      </c>
      <c r="J51" s="15"/>
      <c r="K51" s="52" t="str">
        <f>IF(A50=$D$8,XIRR(H$24:H50,C$24:C50),"")</f>
        <v/>
      </c>
      <c r="L51" s="144" t="str">
        <f t="shared" si="11"/>
        <v/>
      </c>
    </row>
    <row r="52" spans="1:12" x14ac:dyDescent="0.35">
      <c r="A52" s="13">
        <f t="shared" si="4"/>
        <v>28</v>
      </c>
      <c r="B52" s="50">
        <f ca="1">EDATE($B$24,28)</f>
        <v>45340</v>
      </c>
      <c r="C52" s="14">
        <f t="shared" ca="1" si="12"/>
        <v>45340</v>
      </c>
      <c r="D52" s="13">
        <f t="shared" ca="1" si="9"/>
        <v>31</v>
      </c>
      <c r="E52" s="15">
        <f t="shared" ca="1" si="8"/>
        <v>1996578.9328071685</v>
      </c>
      <c r="F52" s="15">
        <f ca="1">IF(AND(A51="",A53=""),"",IF(A52="",SUM($F$25:F51),IF(A52=$D$8,$E$24-SUM($F$25:F51),$F$13-G52)))</f>
        <v>-583.67216855286824</v>
      </c>
      <c r="G52" s="15">
        <f ca="1">IF(A51=$D$8,SUM($G$25:G51),IF(A51&gt;$D$8,"",E51*D52*$D$9/IF(OR(YEAR(C52)=2020,YEAR(C52)=2024),366,365)))</f>
        <v>50701.006389702583</v>
      </c>
      <c r="H52" s="15">
        <f ca="1">IF(A51=$D$8,SUM($H$25:H51),IF(A51="","",(G52+F52)))</f>
        <v>50117.334221149715</v>
      </c>
      <c r="I52" s="15" t="str">
        <f t="shared" si="10"/>
        <v/>
      </c>
      <c r="J52" s="15"/>
      <c r="K52" s="52" t="str">
        <f>IF(A51=$D$8,XIRR(H$24:H51,C$24:C51),"")</f>
        <v/>
      </c>
      <c r="L52" s="144" t="str">
        <f t="shared" si="11"/>
        <v/>
      </c>
    </row>
    <row r="53" spans="1:12" x14ac:dyDescent="0.35">
      <c r="A53" s="13">
        <f t="shared" si="4"/>
        <v>29</v>
      </c>
      <c r="B53" s="50">
        <f ca="1">EDATE($B$24,29)</f>
        <v>45369</v>
      </c>
      <c r="C53" s="14">
        <f t="shared" ca="1" si="12"/>
        <v>45369</v>
      </c>
      <c r="D53" s="13">
        <f t="shared" ca="1" si="9"/>
        <v>29</v>
      </c>
      <c r="E53" s="15">
        <f t="shared" ca="1" si="8"/>
        <v>1993905.4418551915</v>
      </c>
      <c r="F53" s="15">
        <f ca="1">IF(AND(A52="",A54=""),"",IF(A53="",SUM($F$25:F52),IF(A53=$D$8,$E$24-SUM($F$25:F52),$F$13-G53)))</f>
        <v>2673.4909519769644</v>
      </c>
      <c r="G53" s="15">
        <f ca="1">IF(A52=$D$8,SUM($G$25:G52),IF(A52&gt;$D$8,"",E52*D53*$D$9/IF(OR(YEAR(C53)=2020,YEAR(C53)=2024),366,365)))</f>
        <v>47443.84326917275</v>
      </c>
      <c r="H53" s="15">
        <f ca="1">IF(A52=$D$8,SUM($H$25:H52),IF(A52="","",(G53+F53)))</f>
        <v>50117.334221149715</v>
      </c>
      <c r="I53" s="15" t="str">
        <f t="shared" si="10"/>
        <v/>
      </c>
      <c r="J53" s="15"/>
      <c r="K53" s="52" t="str">
        <f>IF(A52=$D$8,XIRR(H$24:H52,C$24:C52),"")</f>
        <v/>
      </c>
      <c r="L53" s="144" t="str">
        <f t="shared" si="11"/>
        <v/>
      </c>
    </row>
    <row r="54" spans="1:12" x14ac:dyDescent="0.35">
      <c r="A54" s="13">
        <f t="shared" si="4"/>
        <v>30</v>
      </c>
      <c r="B54" s="50">
        <f ca="1">EDATE($B$24,30)</f>
        <v>45400</v>
      </c>
      <c r="C54" s="14">
        <f t="shared" ca="1" si="12"/>
        <v>45400</v>
      </c>
      <c r="D54" s="13">
        <f t="shared" ca="1" si="9"/>
        <v>31</v>
      </c>
      <c r="E54" s="15">
        <f t="shared" ca="1" si="8"/>
        <v>1994436.0297717017</v>
      </c>
      <c r="F54" s="15">
        <f ca="1">IF(AND(A53="",A55=""),"",IF(A54="",SUM($F$25:F53),IF(A54=$D$8,$E$24-SUM($F$25:F53),$F$13-G54)))</f>
        <v>-530.58791651020147</v>
      </c>
      <c r="G54" s="15">
        <f ca="1">IF(A53=$D$8,SUM($G$25:G53),IF(A53&gt;$D$8,"",E53*D54*$D$9/IF(OR(YEAR(C54)=2020,YEAR(C54)=2024),366,365)))</f>
        <v>50647.922137659916</v>
      </c>
      <c r="H54" s="15">
        <f ca="1">IF(A53=$D$8,SUM($H$25:H53),IF(A53="","",(G54+F54)))</f>
        <v>50117.334221149715</v>
      </c>
      <c r="I54" s="15" t="str">
        <f t="shared" si="10"/>
        <v/>
      </c>
      <c r="J54" s="15"/>
      <c r="K54" s="52" t="str">
        <f>IF(A53=$D$8,XIRR(H$24:H53,C$24:C53),"")</f>
        <v/>
      </c>
      <c r="L54" s="144" t="str">
        <f t="shared" si="11"/>
        <v/>
      </c>
    </row>
    <row r="55" spans="1:12" x14ac:dyDescent="0.35">
      <c r="A55" s="13">
        <f t="shared" si="4"/>
        <v>31</v>
      </c>
      <c r="B55" s="50">
        <f ca="1">EDATE($B$24,31)</f>
        <v>45430</v>
      </c>
      <c r="C55" s="14">
        <f t="shared" ca="1" si="12"/>
        <v>45430</v>
      </c>
      <c r="D55" s="13">
        <f t="shared" ca="1" si="9"/>
        <v>30</v>
      </c>
      <c r="E55" s="15">
        <f t="shared" ca="1" si="8"/>
        <v>1993345.8566430546</v>
      </c>
      <c r="F55" s="15">
        <f ca="1">IF(AND(A54="",A56=""),"",IF(A55="",SUM($F$25:F54),IF(A55=$D$8,$E$24-SUM($F$25:F54),$F$13-G55)))</f>
        <v>1090.1731286469803</v>
      </c>
      <c r="G55" s="15">
        <f ca="1">IF(A54=$D$8,SUM($G$25:G54),IF(A54&gt;$D$8,"",E54*D55*$D$9/IF(OR(YEAR(C55)=2020,YEAR(C55)=2024),366,365)))</f>
        <v>49027.161092502734</v>
      </c>
      <c r="H55" s="15">
        <f ca="1">IF(A54=$D$8,SUM($H$25:H54),IF(A54="","",(G55+F55)))</f>
        <v>50117.334221149715</v>
      </c>
      <c r="I55" s="15" t="str">
        <f t="shared" si="10"/>
        <v/>
      </c>
      <c r="J55" s="15"/>
      <c r="K55" s="52" t="str">
        <f>IF(A54=$D$8,XIRR(H$24:H54,C$24:C54),"")</f>
        <v/>
      </c>
      <c r="L55" s="144" t="str">
        <f t="shared" si="11"/>
        <v/>
      </c>
    </row>
    <row r="56" spans="1:12" x14ac:dyDescent="0.35">
      <c r="A56" s="13">
        <f t="shared" si="4"/>
        <v>32</v>
      </c>
      <c r="B56" s="50">
        <f ca="1">EDATE($B$24,32)</f>
        <v>45461</v>
      </c>
      <c r="C56" s="14">
        <f t="shared" ca="1" si="12"/>
        <v>45461</v>
      </c>
      <c r="D56" s="13">
        <f t="shared" ca="1" si="9"/>
        <v>31</v>
      </c>
      <c r="E56" s="15">
        <f t="shared" ca="1" si="8"/>
        <v>1993862.2303307159</v>
      </c>
      <c r="F56" s="15">
        <f ca="1">IF(AND(A55="",A57=""),"",IF(A56="",SUM($F$25:F55),IF(A56=$D$8,$E$24-SUM($F$25:F55),$F$13-G56)))</f>
        <v>-516.37368766126019</v>
      </c>
      <c r="G56" s="15">
        <f ca="1">IF(A55=$D$8,SUM($G$25:G55),IF(A55&gt;$D$8,"",E55*D56*$D$9/IF(OR(YEAR(C56)=2020,YEAR(C56)=2024),366,365)))</f>
        <v>50633.707908810975</v>
      </c>
      <c r="H56" s="15">
        <f ca="1">IF(A55=$D$8,SUM($H$25:H55),IF(A55="","",(G56+F56)))</f>
        <v>50117.334221149715</v>
      </c>
      <c r="I56" s="15" t="str">
        <f t="shared" si="10"/>
        <v/>
      </c>
      <c r="J56" s="15"/>
      <c r="K56" s="52" t="str">
        <f>IF(A55=$D$8,XIRR(H$24:H55,C$24:C55),"")</f>
        <v/>
      </c>
      <c r="L56" s="144" t="str">
        <f t="shared" si="11"/>
        <v/>
      </c>
    </row>
    <row r="57" spans="1:12" x14ac:dyDescent="0.35">
      <c r="A57" s="13">
        <f t="shared" si="4"/>
        <v>33</v>
      </c>
      <c r="B57" s="50">
        <f ca="1">EDATE($B$24,33)</f>
        <v>45491</v>
      </c>
      <c r="C57" s="14">
        <f t="shared" ca="1" si="12"/>
        <v>45491</v>
      </c>
      <c r="D57" s="13">
        <f t="shared" ca="1" si="9"/>
        <v>30</v>
      </c>
      <c r="E57" s="15">
        <f t="shared" ca="1" si="8"/>
        <v>1992757.9520830237</v>
      </c>
      <c r="F57" s="15">
        <f ca="1">IF(AND(A56="",A58=""),"",IF(A57="",SUM($F$25:F56),IF(A57=$D$8,$E$24-SUM($F$25:F56),$F$13-G57)))</f>
        <v>1104.278247692193</v>
      </c>
      <c r="G57" s="15">
        <f ca="1">IF(A56=$D$8,SUM($G$25:G56),IF(A56&gt;$D$8,"",E56*D57*$D$9/IF(OR(YEAR(C57)=2020,YEAR(C57)=2024),366,365)))</f>
        <v>49013.055973457522</v>
      </c>
      <c r="H57" s="15">
        <f ca="1">IF(A56=$D$8,SUM($H$25:H56),IF(A56="","",(G57+F57)))</f>
        <v>50117.334221149715</v>
      </c>
      <c r="I57" s="15" t="str">
        <f t="shared" si="10"/>
        <v/>
      </c>
      <c r="J57" s="15"/>
      <c r="K57" s="52" t="str">
        <f>IF(A56=$D$8,XIRR(H$24:H56,C$24:C56),"")</f>
        <v/>
      </c>
      <c r="L57" s="144" t="str">
        <f t="shared" si="11"/>
        <v/>
      </c>
    </row>
    <row r="58" spans="1:12" x14ac:dyDescent="0.35">
      <c r="A58" s="13">
        <f t="shared" si="4"/>
        <v>34</v>
      </c>
      <c r="B58" s="50">
        <f ca="1">EDATE($B$24,34)</f>
        <v>45522</v>
      </c>
      <c r="C58" s="14">
        <f t="shared" ca="1" si="12"/>
        <v>45522</v>
      </c>
      <c r="D58" s="13">
        <f t="shared" ca="1" si="9"/>
        <v>31</v>
      </c>
      <c r="E58" s="15">
        <f t="shared" ca="1" si="8"/>
        <v>1993259.3921917118</v>
      </c>
      <c r="F58" s="15">
        <f ca="1">IF(AND(A57="",A59=""),"",IF(A58="",SUM($F$25:F57),IF(A58=$D$8,$E$24-SUM($F$25:F57),$F$13-G58)))</f>
        <v>-501.44010868816258</v>
      </c>
      <c r="G58" s="15">
        <f ca="1">IF(A57=$D$8,SUM($G$25:G57),IF(A57&gt;$D$8,"",E57*D58*$D$9/IF(OR(YEAR(C58)=2020,YEAR(C58)=2024),366,365)))</f>
        <v>50618.774329837877</v>
      </c>
      <c r="H58" s="15">
        <f ca="1">IF(A57=$D$8,SUM($H$25:H57),IF(A57="","",(G58+F58)))</f>
        <v>50117.334221149715</v>
      </c>
      <c r="I58" s="15" t="str">
        <f t="shared" si="10"/>
        <v/>
      </c>
      <c r="J58" s="15"/>
      <c r="K58" s="52" t="str">
        <f>IF(A57=$D$8,XIRR(H$24:H57,C$24:C57),"")</f>
        <v/>
      </c>
      <c r="L58" s="144" t="str">
        <f t="shared" si="11"/>
        <v/>
      </c>
    </row>
    <row r="59" spans="1:12" x14ac:dyDescent="0.35">
      <c r="A59" s="13">
        <f t="shared" si="4"/>
        <v>35</v>
      </c>
      <c r="B59" s="50">
        <f ca="1">EDATE($B$24,35)</f>
        <v>45553</v>
      </c>
      <c r="C59" s="14">
        <f t="shared" ca="1" si="12"/>
        <v>45553</v>
      </c>
      <c r="D59" s="13">
        <f t="shared" ca="1" si="9"/>
        <v>31</v>
      </c>
      <c r="E59" s="15">
        <f t="shared" ca="1" si="8"/>
        <v>1993773.5695641881</v>
      </c>
      <c r="F59" s="15">
        <f ca="1">IF(AND(A58="",A60=""),"",IF(A59="",SUM($F$25:F58),IF(A59=$D$8,$E$24-SUM($F$25:F58),$F$13-G59)))</f>
        <v>-514.17737247631158</v>
      </c>
      <c r="G59" s="15">
        <f ca="1">IF(A58=$D$8,SUM($G$25:G58),IF(A58&gt;$D$8,"",E58*D59*$D$9/IF(OR(YEAR(C59)=2020,YEAR(C59)=2024),366,365)))</f>
        <v>50631.511593626026</v>
      </c>
      <c r="H59" s="15">
        <f ca="1">IF(A58=$D$8,SUM($H$25:H58),IF(A58="","",(G59+F59)))</f>
        <v>50117.334221149715</v>
      </c>
      <c r="I59" s="15" t="str">
        <f t="shared" si="10"/>
        <v/>
      </c>
      <c r="J59" s="15"/>
      <c r="K59" s="52" t="str">
        <f>IF(A58=$D$8,XIRR(H$24:H58,C$24:C58),"")</f>
        <v/>
      </c>
      <c r="L59" s="144" t="str">
        <f t="shared" si="11"/>
        <v/>
      </c>
    </row>
    <row r="60" spans="1:12" x14ac:dyDescent="0.35">
      <c r="A60" s="13">
        <f t="shared" si="4"/>
        <v>36</v>
      </c>
      <c r="B60" s="50">
        <f ca="1">EDATE($B$24,36)</f>
        <v>45583</v>
      </c>
      <c r="C60" s="14">
        <f t="shared" ca="1" si="12"/>
        <v>45583</v>
      </c>
      <c r="D60" s="13">
        <f t="shared" ca="1" si="9"/>
        <v>30</v>
      </c>
      <c r="E60" s="15">
        <f t="shared" ca="1" si="8"/>
        <v>1992667.1118604401</v>
      </c>
      <c r="F60" s="15">
        <f ca="1">IF(AND(A59="",A61=""),"",IF(A60="",SUM($F$25:F59),IF(A60=$D$8,$E$24-SUM($F$25:F59),$F$13-G60)))</f>
        <v>1106.4577037480703</v>
      </c>
      <c r="G60" s="15">
        <f ca="1">IF(A59=$D$8,SUM($G$25:G59),IF(A59&gt;$D$8,"",E59*D60*$D$9/IF(OR(YEAR(C60)=2020,YEAR(C60)=2024),366,365)))</f>
        <v>49010.876517401644</v>
      </c>
      <c r="H60" s="15">
        <f ca="1">IF(A59=$D$8,SUM($H$25:H59),IF(A59="","",(G60+F60)))</f>
        <v>50117.334221149715</v>
      </c>
      <c r="I60" s="15" t="str">
        <f t="shared" si="10"/>
        <v/>
      </c>
      <c r="J60" s="15"/>
      <c r="K60" s="52" t="str">
        <f>IF(A59=$D$8,XIRR(H$24:H59,C$24:C59),"")</f>
        <v/>
      </c>
      <c r="L60" s="144" t="str">
        <f t="shared" si="11"/>
        <v/>
      </c>
    </row>
    <row r="61" spans="1:12" x14ac:dyDescent="0.35">
      <c r="A61" s="13">
        <f t="shared" si="4"/>
        <v>37</v>
      </c>
      <c r="B61" s="50">
        <f ca="1">EDATE($B$24,37)</f>
        <v>45614</v>
      </c>
      <c r="C61" s="14">
        <f t="shared" ca="1" si="12"/>
        <v>45614</v>
      </c>
      <c r="D61" s="13">
        <f t="shared" ca="1" si="9"/>
        <v>31</v>
      </c>
      <c r="E61" s="15">
        <f t="shared" ca="1" si="8"/>
        <v>1993166.2445033761</v>
      </c>
      <c r="F61" s="15">
        <f ca="1">IF(AND(A60="",A62=""),"",IF(A61="",SUM($F$25:F60),IF(A61=$D$8,$E$24-SUM($F$25:F60),$F$13-G61)))</f>
        <v>-499.13264293587417</v>
      </c>
      <c r="G61" s="15">
        <f ca="1">IF(A60=$D$8,SUM($G$25:G60),IF(A60&gt;$D$8,"",E60*D61*$D$9/IF(OR(YEAR(C61)=2020,YEAR(C61)=2024),366,365)))</f>
        <v>50616.466864085589</v>
      </c>
      <c r="H61" s="15">
        <f ca="1">IF(A60=$D$8,SUM($H$25:H60),IF(A60="","",(G61+F61)))</f>
        <v>50117.334221149715</v>
      </c>
      <c r="I61" s="15" t="str">
        <f t="shared" si="10"/>
        <v/>
      </c>
      <c r="J61" s="15"/>
      <c r="K61" s="52" t="str">
        <f>IF(A60=$D$8,XIRR(H$24:H60,C$24:C60),"")</f>
        <v/>
      </c>
      <c r="L61" s="144" t="str">
        <f t="shared" si="11"/>
        <v/>
      </c>
    </row>
    <row r="62" spans="1:12" x14ac:dyDescent="0.35">
      <c r="A62" s="13">
        <f t="shared" si="4"/>
        <v>38</v>
      </c>
      <c r="B62" s="50">
        <f ca="1">EDATE($B$24,38)</f>
        <v>45644</v>
      </c>
      <c r="C62" s="14">
        <f t="shared" ca="1" si="12"/>
        <v>45644</v>
      </c>
      <c r="D62" s="13">
        <f t="shared" ca="1" si="9"/>
        <v>30</v>
      </c>
      <c r="E62" s="15">
        <f t="shared" ca="1" si="8"/>
        <v>1992044.8575548953</v>
      </c>
      <c r="F62" s="15">
        <f ca="1">IF(AND(A61="",A63=""),"",IF(A62="",SUM($F$25:F61),IF(A62=$D$8,$E$24-SUM($F$25:F61),$F$13-G62)))</f>
        <v>1121.3869484806564</v>
      </c>
      <c r="G62" s="15">
        <f ca="1">IF(A61=$D$8,SUM($G$25:G61),IF(A61&gt;$D$8,"",E61*D62*$D$9/IF(OR(YEAR(C62)=2020,YEAR(C62)=2024),366,365)))</f>
        <v>48995.947272669058</v>
      </c>
      <c r="H62" s="15">
        <f ca="1">IF(A61=$D$8,SUM($H$25:H61),IF(A61="","",(G62+F62)))</f>
        <v>50117.334221149715</v>
      </c>
      <c r="I62" s="15" t="str">
        <f t="shared" si="10"/>
        <v/>
      </c>
      <c r="J62" s="15"/>
      <c r="K62" s="52" t="str">
        <f>IF(A61=$D$8,XIRR(H$24:H61,C$24:C61),"")</f>
        <v/>
      </c>
      <c r="L62" s="144" t="str">
        <f t="shared" si="11"/>
        <v/>
      </c>
    </row>
    <row r="63" spans="1:12" x14ac:dyDescent="0.35">
      <c r="A63" s="13">
        <f t="shared" si="4"/>
        <v>39</v>
      </c>
      <c r="B63" s="50">
        <f ca="1">EDATE($B$24,39)</f>
        <v>45675</v>
      </c>
      <c r="C63" s="14">
        <f t="shared" ca="1" si="12"/>
        <v>45675</v>
      </c>
      <c r="D63" s="13">
        <f t="shared" ca="1" si="9"/>
        <v>31</v>
      </c>
      <c r="E63" s="15">
        <f t="shared" ca="1" si="8"/>
        <v>1992666.8160356693</v>
      </c>
      <c r="F63" s="15">
        <f ca="1">IF(AND(A62="",A64=""),"",IF(A63="",SUM($F$25:F62),IF(A63=$D$8,$E$24-SUM($F$25:F62),$F$13-G63)))</f>
        <v>-621.95848077386472</v>
      </c>
      <c r="G63" s="15">
        <f ca="1">IF(A62=$D$8,SUM($G$25:G62),IF(A62&gt;$D$8,"",E62*D63*$D$9/IF(OR(YEAR(C63)=2020,YEAR(C63)=2024),366,365)))</f>
        <v>50739.292701923579</v>
      </c>
      <c r="H63" s="15">
        <f ca="1">IF(A62=$D$8,SUM($H$25:H62),IF(A62="","",(G63+F63)))</f>
        <v>50117.334221149715</v>
      </c>
      <c r="I63" s="15" t="str">
        <f t="shared" si="10"/>
        <v/>
      </c>
      <c r="J63" s="15"/>
      <c r="K63" s="52" t="str">
        <f>IF(A62=$D$8,XIRR(H$24:H62,C$24:C62),"")</f>
        <v/>
      </c>
      <c r="L63" s="144" t="str">
        <f t="shared" si="11"/>
        <v/>
      </c>
    </row>
    <row r="64" spans="1:12" x14ac:dyDescent="0.35">
      <c r="A64" s="13">
        <f t="shared" si="4"/>
        <v>40</v>
      </c>
      <c r="B64" s="50">
        <f ca="1">EDATE($B$24,40)</f>
        <v>45706</v>
      </c>
      <c r="C64" s="14">
        <f t="shared" ca="1" si="12"/>
        <v>45706</v>
      </c>
      <c r="D64" s="13">
        <f t="shared" ca="1" si="9"/>
        <v>31</v>
      </c>
      <c r="E64" s="15">
        <f t="shared" ca="1" si="8"/>
        <v>1993304.6163953471</v>
      </c>
      <c r="F64" s="15">
        <f ca="1">IF(AND(A63="",A65=""),"",IF(A64="",SUM($F$25:F63),IF(A64=$D$8,$E$24-SUM($F$25:F63),$F$13-G64)))</f>
        <v>-637.80035967771983</v>
      </c>
      <c r="G64" s="15">
        <f ca="1">IF(A63=$D$8,SUM($G$25:G63),IF(A63&gt;$D$8,"",E63*D64*$D$9/IF(OR(YEAR(C64)=2020,YEAR(C64)=2024),366,365)))</f>
        <v>50755.134580827435</v>
      </c>
      <c r="H64" s="15">
        <f ca="1">IF(A63=$D$8,SUM($H$25:H63),IF(A63="","",(G64+F64)))</f>
        <v>50117.334221149715</v>
      </c>
      <c r="I64" s="15" t="str">
        <f t="shared" si="10"/>
        <v/>
      </c>
      <c r="J64" s="15"/>
      <c r="K64" s="52" t="str">
        <f>IF(A63=$D$8,XIRR(H$24:H63,C$24:C63),"")</f>
        <v/>
      </c>
      <c r="L64" s="144" t="str">
        <f t="shared" si="11"/>
        <v/>
      </c>
    </row>
    <row r="65" spans="1:12" x14ac:dyDescent="0.35">
      <c r="A65" s="13">
        <f t="shared" si="4"/>
        <v>41</v>
      </c>
      <c r="B65" s="50">
        <f ca="1">EDATE($B$24,41)</f>
        <v>45734</v>
      </c>
      <c r="C65" s="14">
        <f t="shared" ca="1" si="12"/>
        <v>45734</v>
      </c>
      <c r="D65" s="13">
        <f t="shared" ca="1" si="9"/>
        <v>28</v>
      </c>
      <c r="E65" s="15">
        <f t="shared" ca="1" si="8"/>
        <v>1989045.3027900741</v>
      </c>
      <c r="F65" s="15">
        <f ca="1">IF(AND(A64="",A66=""),"",IF(A65="",SUM($F$25:F64),IF(A65=$D$8,$E$24-SUM($F$25:F64),$F$13-G65)))</f>
        <v>4259.3136052729751</v>
      </c>
      <c r="G65" s="15">
        <f ca="1">IF(A64=$D$8,SUM($G$25:G64),IF(A64&gt;$D$8,"",E64*D65*$D$9/IF(OR(YEAR(C65)=2020,YEAR(C65)=2024),366,365)))</f>
        <v>45858.02061587674</v>
      </c>
      <c r="H65" s="15">
        <f ca="1">IF(A64=$D$8,SUM($H$25:H64),IF(A64="","",(G65+F65)))</f>
        <v>50117.334221149715</v>
      </c>
      <c r="I65" s="15" t="str">
        <f t="shared" si="10"/>
        <v/>
      </c>
      <c r="J65" s="15"/>
      <c r="K65" s="52" t="str">
        <f>IF(A64=$D$8,XIRR(H$24:H64,C$24:C64),"")</f>
        <v/>
      </c>
      <c r="L65" s="144" t="str">
        <f t="shared" si="11"/>
        <v/>
      </c>
    </row>
    <row r="66" spans="1:12" x14ac:dyDescent="0.35">
      <c r="A66" s="13">
        <f t="shared" si="4"/>
        <v>42</v>
      </c>
      <c r="B66" s="50">
        <f ca="1">EDATE($B$24,42)</f>
        <v>45765</v>
      </c>
      <c r="C66" s="14">
        <f t="shared" ca="1" si="12"/>
        <v>45765</v>
      </c>
      <c r="D66" s="13">
        <f t="shared" ca="1" si="9"/>
        <v>31</v>
      </c>
      <c r="E66" s="15">
        <f t="shared" ca="1" si="8"/>
        <v>1989590.8597347026</v>
      </c>
      <c r="F66" s="15">
        <f ca="1">IF(AND(A65="",A67=""),"",IF(A66="",SUM($F$25:F65),IF(A66=$D$8,$E$24-SUM($F$25:F65),$F$13-G66)))</f>
        <v>-545.55694462847896</v>
      </c>
      <c r="G66" s="15">
        <f ca="1">IF(A65=$D$8,SUM($G$25:G65),IF(A65&gt;$D$8,"",E65*D66*$D$9/IF(OR(YEAR(C66)=2020,YEAR(C66)=2024),366,365)))</f>
        <v>50662.891165778194</v>
      </c>
      <c r="H66" s="15">
        <f ca="1">IF(A65=$D$8,SUM($H$25:H65),IF(A65="","",(G66+F66)))</f>
        <v>50117.334221149715</v>
      </c>
      <c r="I66" s="15" t="str">
        <f t="shared" si="10"/>
        <v/>
      </c>
      <c r="J66" s="15"/>
      <c r="K66" s="52" t="str">
        <f>IF(A65=$D$8,XIRR(H$24:H65,C$24:C65),"")</f>
        <v/>
      </c>
      <c r="L66" s="144" t="str">
        <f t="shared" si="11"/>
        <v/>
      </c>
    </row>
    <row r="67" spans="1:12" x14ac:dyDescent="0.35">
      <c r="A67" s="13">
        <f t="shared" si="4"/>
        <v>43</v>
      </c>
      <c r="B67" s="50">
        <f ca="1">EDATE($B$24,43)</f>
        <v>45795</v>
      </c>
      <c r="C67" s="14">
        <f t="shared" ca="1" si="12"/>
        <v>45795</v>
      </c>
      <c r="D67" s="13">
        <f t="shared" ca="1" si="9"/>
        <v>30</v>
      </c>
      <c r="E67" s="15">
        <f t="shared" ca="1" si="8"/>
        <v>1988515.5774725478</v>
      </c>
      <c r="F67" s="15">
        <f ca="1">IF(AND(A66="",A68=""),"",IF(A67="",SUM($F$25:F66),IF(A67=$D$8,$E$24-SUM($F$25:F66),$F$13-G67)))</f>
        <v>1075.2822621548694</v>
      </c>
      <c r="G67" s="15">
        <f ca="1">IF(A66=$D$8,SUM($G$25:G66),IF(A66&gt;$D$8,"",E66*D67*$D$9/IF(OR(YEAR(C67)=2020,YEAR(C67)=2024),366,365)))</f>
        <v>49042.051958994845</v>
      </c>
      <c r="H67" s="15">
        <f ca="1">IF(A66=$D$8,SUM($H$25:H66),IF(A66="","",(G67+F67)))</f>
        <v>50117.334221149715</v>
      </c>
      <c r="I67" s="15" t="str">
        <f t="shared" si="10"/>
        <v/>
      </c>
      <c r="J67" s="15"/>
      <c r="K67" s="52" t="str">
        <f>IF(A66=$D$8,XIRR(H$24:H66,C$24:C66),"")</f>
        <v/>
      </c>
      <c r="L67" s="144" t="str">
        <f t="shared" si="11"/>
        <v/>
      </c>
    </row>
    <row r="68" spans="1:12" x14ac:dyDescent="0.35">
      <c r="A68" s="13">
        <f t="shared" si="4"/>
        <v>44</v>
      </c>
      <c r="B68" s="50">
        <f ca="1">EDATE($B$24,44)</f>
        <v>45826</v>
      </c>
      <c r="C68" s="14">
        <f t="shared" ca="1" si="12"/>
        <v>45826</v>
      </c>
      <c r="D68" s="13">
        <f t="shared" ca="1" si="9"/>
        <v>31</v>
      </c>
      <c r="E68" s="15">
        <f t="shared" ca="1" si="8"/>
        <v>1989047.6418053831</v>
      </c>
      <c r="F68" s="15">
        <f ca="1">IF(AND(A67="",A69=""),"",IF(A68="",SUM($F$25:F67),IF(A68=$D$8,$E$24-SUM($F$25:F67),$F$13-G68)))</f>
        <v>-532.06433283529623</v>
      </c>
      <c r="G68" s="15">
        <f ca="1">IF(A67=$D$8,SUM($G$25:G67),IF(A67&gt;$D$8,"",E67*D68*$D$9/IF(OR(YEAR(C68)=2020,YEAR(C68)=2024),366,365)))</f>
        <v>50649.398553985011</v>
      </c>
      <c r="H68" s="15">
        <f ca="1">IF(A67=$D$8,SUM($H$25:H67),IF(A67="","",(G68+F68)))</f>
        <v>50117.334221149715</v>
      </c>
      <c r="I68" s="15" t="str">
        <f t="shared" si="10"/>
        <v/>
      </c>
      <c r="J68" s="15"/>
      <c r="K68" s="52" t="str">
        <f>IF(A67=$D$8,XIRR(H$24:H67,C$24:C67),"")</f>
        <v/>
      </c>
      <c r="L68" s="144" t="str">
        <f t="shared" si="11"/>
        <v/>
      </c>
    </row>
    <row r="69" spans="1:12" x14ac:dyDescent="0.35">
      <c r="A69" s="13">
        <f t="shared" si="4"/>
        <v>45</v>
      </c>
      <c r="B69" s="50">
        <f ca="1">EDATE($B$24,45)</f>
        <v>45856</v>
      </c>
      <c r="C69" s="14">
        <f t="shared" ca="1" si="12"/>
        <v>45856</v>
      </c>
      <c r="D69" s="13">
        <f t="shared" ca="1" si="9"/>
        <v>30</v>
      </c>
      <c r="E69" s="15">
        <f t="shared" ca="1" si="8"/>
        <v>1987958.9695933377</v>
      </c>
      <c r="F69" s="15">
        <f ca="1">IF(AND(A68="",A70=""),"",IF(A69="",SUM($F$25:F68),IF(A69=$D$8,$E$24-SUM($F$25:F68),$F$13-G69)))</f>
        <v>1088.6722120455161</v>
      </c>
      <c r="G69" s="15">
        <f ca="1">IF(A68=$D$8,SUM($G$25:G68),IF(A68&gt;$D$8,"",E68*D69*$D$9/IF(OR(YEAR(C69)=2020,YEAR(C69)=2024),366,365)))</f>
        <v>49028.662009104199</v>
      </c>
      <c r="H69" s="15">
        <f ca="1">IF(A68=$D$8,SUM($H$25:H68),IF(A68="","",(G69+F69)))</f>
        <v>50117.334221149715</v>
      </c>
      <c r="I69" s="15" t="str">
        <f t="shared" si="10"/>
        <v/>
      </c>
      <c r="J69" s="15"/>
      <c r="K69" s="52" t="str">
        <f>IF(A68=$D$8,XIRR(H$24:H68,C$24:C68),"")</f>
        <v/>
      </c>
      <c r="L69" s="144" t="str">
        <f t="shared" si="11"/>
        <v/>
      </c>
    </row>
    <row r="70" spans="1:12" x14ac:dyDescent="0.35">
      <c r="A70" s="13">
        <f t="shared" si="4"/>
        <v>46</v>
      </c>
      <c r="B70" s="50">
        <f ca="1">EDATE($B$24,46)</f>
        <v>45887</v>
      </c>
      <c r="C70" s="14">
        <f t="shared" ca="1" si="12"/>
        <v>45887</v>
      </c>
      <c r="D70" s="13">
        <f t="shared" ca="1" si="9"/>
        <v>31</v>
      </c>
      <c r="E70" s="15">
        <f t="shared" ca="1" si="8"/>
        <v>1988476.856589756</v>
      </c>
      <c r="F70" s="15">
        <f ca="1">IF(AND(A69="",A71=""),"",IF(A70="",SUM($F$25:F69),IF(A70=$D$8,$E$24-SUM($F$25:F69),$F$13-G70)))</f>
        <v>-517.88699641823769</v>
      </c>
      <c r="G70" s="15">
        <f ca="1">IF(A69=$D$8,SUM($G$25:G69),IF(A69&gt;$D$8,"",E69*D70*$D$9/IF(OR(YEAR(C70)=2020,YEAR(C70)=2024),366,365)))</f>
        <v>50635.221217567952</v>
      </c>
      <c r="H70" s="15">
        <f ca="1">IF(A69=$D$8,SUM($H$25:H69),IF(A69="","",(G70+F70)))</f>
        <v>50117.334221149715</v>
      </c>
      <c r="I70" s="15" t="str">
        <f t="shared" si="10"/>
        <v/>
      </c>
      <c r="J70" s="15"/>
      <c r="K70" s="52" t="str">
        <f>IF(A69=$D$8,XIRR(H$24:H69,C$24:C69),"")</f>
        <v/>
      </c>
      <c r="L70" s="144" t="str">
        <f t="shared" si="11"/>
        <v/>
      </c>
    </row>
    <row r="71" spans="1:12" x14ac:dyDescent="0.35">
      <c r="A71" s="13">
        <f t="shared" si="4"/>
        <v>47</v>
      </c>
      <c r="B71" s="50">
        <f ca="1">EDATE($B$24,47)</f>
        <v>45918</v>
      </c>
      <c r="C71" s="14">
        <f t="shared" ca="1" si="12"/>
        <v>45918</v>
      </c>
      <c r="D71" s="13">
        <f t="shared" ca="1" si="9"/>
        <v>31</v>
      </c>
      <c r="E71" s="15">
        <f t="shared" ca="1" si="8"/>
        <v>1989007.934664577</v>
      </c>
      <c r="F71" s="15">
        <f ca="1">IF(AND(A70="",A72=""),"",IF(A71="",SUM($F$25:F70),IF(A71=$D$8,$E$24-SUM($F$25:F70),$F$13-G71)))</f>
        <v>-531.07807482097269</v>
      </c>
      <c r="G71" s="15">
        <f ca="1">IF(A70=$D$8,SUM($G$25:G70),IF(A70&gt;$D$8,"",E70*D71*$D$9/IF(OR(YEAR(C71)=2020,YEAR(C71)=2024),366,365)))</f>
        <v>50648.412295970687</v>
      </c>
      <c r="H71" s="15">
        <f ca="1">IF(A70=$D$8,SUM($H$25:H70),IF(A70="","",(G71+F71)))</f>
        <v>50117.334221149715</v>
      </c>
      <c r="I71" s="15" t="str">
        <f t="shared" si="10"/>
        <v/>
      </c>
      <c r="J71" s="15"/>
      <c r="K71" s="52" t="str">
        <f>IF(A70=$D$8,XIRR(H$24:H70,C$24:C70),"")</f>
        <v/>
      </c>
      <c r="L71" s="144" t="str">
        <f t="shared" si="11"/>
        <v/>
      </c>
    </row>
    <row r="72" spans="1:12" x14ac:dyDescent="0.35">
      <c r="A72" s="13">
        <f t="shared" si="4"/>
        <v>48</v>
      </c>
      <c r="B72" s="50">
        <f ca="1">EDATE($B$24,48)</f>
        <v>45948</v>
      </c>
      <c r="C72" s="14">
        <f t="shared" ca="1" si="12"/>
        <v>45948</v>
      </c>
      <c r="D72" s="13">
        <f t="shared" ca="1" si="9"/>
        <v>30</v>
      </c>
      <c r="E72" s="15">
        <f t="shared" ca="1" si="8"/>
        <v>1987918.2836987074</v>
      </c>
      <c r="F72" s="15">
        <f ca="1">IF(AND(A71="",A73=""),"",IF(A72="",SUM($F$25:F71),IF(A72=$D$8,$E$24-SUM($F$25:F71),$F$13-G72)))</f>
        <v>1089.650965869725</v>
      </c>
      <c r="G72" s="15">
        <f ca="1">IF(A71=$D$8,SUM($G$25:G71),IF(A71&gt;$D$8,"",E71*D72*$D$9/IF(OR(YEAR(C72)=2020,YEAR(C72)=2024),366,365)))</f>
        <v>49027.68325527999</v>
      </c>
      <c r="H72" s="15">
        <f ca="1">IF(A71=$D$8,SUM($H$25:H71),IF(A71="","",(G72+F72)))</f>
        <v>50117.334221149715</v>
      </c>
      <c r="I72" s="15" t="str">
        <f t="shared" si="10"/>
        <v/>
      </c>
      <c r="J72" s="15"/>
      <c r="K72" s="52" t="str">
        <f>IF(A71=$D$8,XIRR(H$24:H71,C$24:C71),"")</f>
        <v/>
      </c>
      <c r="L72" s="144" t="str">
        <f t="shared" si="11"/>
        <v/>
      </c>
    </row>
    <row r="73" spans="1:12" x14ac:dyDescent="0.35">
      <c r="A73" s="13">
        <f t="shared" si="4"/>
        <v>49</v>
      </c>
      <c r="B73" s="50">
        <f ca="1">EDATE($B$24,49)</f>
        <v>45979</v>
      </c>
      <c r="C73" s="14">
        <f t="shared" ca="1" si="12"/>
        <v>45979</v>
      </c>
      <c r="D73" s="13">
        <f t="shared" ca="1" si="9"/>
        <v>31</v>
      </c>
      <c r="E73" s="15">
        <f t="shared" ca="1" si="8"/>
        <v>1988435.1343863755</v>
      </c>
      <c r="F73" s="15">
        <f ca="1">IF(AND(A72="",A74=""),"",IF(A73="",SUM($F$25:F72),IF(A73=$D$8,$E$24-SUM($F$25:F72),$F$13-G73)))</f>
        <v>-516.85068766812765</v>
      </c>
      <c r="G73" s="15">
        <f ca="1">IF(A72=$D$8,SUM($G$25:G72),IF(A72&gt;$D$8,"",E72*D73*$D$9/IF(OR(YEAR(C73)=2020,YEAR(C73)=2024),366,365)))</f>
        <v>50634.184908817842</v>
      </c>
      <c r="H73" s="15">
        <f ca="1">IF(A72=$D$8,SUM($H$25:H72),IF(A72="","",(G73+F73)))</f>
        <v>50117.334221149715</v>
      </c>
      <c r="I73" s="15" t="str">
        <f t="shared" si="10"/>
        <v/>
      </c>
      <c r="J73" s="15"/>
      <c r="K73" s="52" t="str">
        <f>IF(A72=$D$8,XIRR(H$24:H72,C$24:C72),"")</f>
        <v/>
      </c>
      <c r="L73" s="144" t="str">
        <f t="shared" si="11"/>
        <v/>
      </c>
    </row>
    <row r="74" spans="1:12" x14ac:dyDescent="0.35">
      <c r="A74" s="13">
        <f t="shared" si="4"/>
        <v>50</v>
      </c>
      <c r="B74" s="50">
        <f ca="1">EDATE($B$24,50)</f>
        <v>46009</v>
      </c>
      <c r="C74" s="14">
        <f t="shared" ca="1" si="12"/>
        <v>46009</v>
      </c>
      <c r="D74" s="13">
        <f t="shared" ca="1" si="9"/>
        <v>30</v>
      </c>
      <c r="E74" s="15">
        <f t="shared" ca="1" si="8"/>
        <v>1987331.3642859771</v>
      </c>
      <c r="F74" s="15">
        <f ca="1">IF(AND(A73="",A75=""),"",IF(A74="",SUM($F$25:F73),IF(A74=$D$8,$E$24-SUM($F$25:F73),$F$13-G74)))</f>
        <v>1103.7701003984184</v>
      </c>
      <c r="G74" s="15">
        <f ca="1">IF(A73=$D$8,SUM($G$25:G73),IF(A73&gt;$D$8,"",E73*D74*$D$9/IF(OR(YEAR(C74)=2020,YEAR(C74)=2024),366,365)))</f>
        <v>49013.564120751296</v>
      </c>
      <c r="H74" s="15">
        <f ca="1">IF(A73=$D$8,SUM($H$25:H73),IF(A73="","",(G74+F74)))</f>
        <v>50117.334221149715</v>
      </c>
      <c r="I74" s="15" t="str">
        <f t="shared" si="10"/>
        <v/>
      </c>
      <c r="J74" s="15"/>
      <c r="K74" s="52" t="str">
        <f>IF(A73=$D$8,XIRR(H$24:H73,C$24:C73),"")</f>
        <v/>
      </c>
      <c r="L74" s="144" t="str">
        <f t="shared" si="11"/>
        <v/>
      </c>
    </row>
    <row r="75" spans="1:12" x14ac:dyDescent="0.35">
      <c r="A75" s="13">
        <f t="shared" si="4"/>
        <v>51</v>
      </c>
      <c r="B75" s="50">
        <f ca="1">EDATE($B$24,51)</f>
        <v>46040</v>
      </c>
      <c r="C75" s="14">
        <f t="shared" ca="1" si="12"/>
        <v>46040</v>
      </c>
      <c r="D75" s="13">
        <f t="shared" ca="1" si="9"/>
        <v>31</v>
      </c>
      <c r="E75" s="15">
        <f t="shared" ca="1" si="8"/>
        <v>1987833.2655734036</v>
      </c>
      <c r="F75" s="15">
        <f ca="1">IF(AND(A74="",A76=""),"",IF(A75="",SUM($F$25:F74),IF(A75=$D$8,$E$24-SUM($F$25:F74),$F$13-G75)))</f>
        <v>-501.90128742645174</v>
      </c>
      <c r="G75" s="15">
        <f ca="1">IF(A74=$D$8,SUM($G$25:G74),IF(A74&gt;$D$8,"",E74*D75*$D$9/IF(OR(YEAR(C75)=2020,YEAR(C75)=2024),366,365)))</f>
        <v>50619.235508576166</v>
      </c>
      <c r="H75" s="15">
        <f ca="1">IF(A74=$D$8,SUM($H$25:H74),IF(A74="","",(G75+F75)))</f>
        <v>50117.334221149715</v>
      </c>
      <c r="I75" s="15" t="str">
        <f t="shared" si="10"/>
        <v/>
      </c>
      <c r="J75" s="15"/>
      <c r="K75" s="52" t="str">
        <f>IF(A74=$D$8,XIRR(H$24:H74,C$24:C74),"")</f>
        <v/>
      </c>
      <c r="L75" s="144" t="str">
        <f t="shared" si="11"/>
        <v/>
      </c>
    </row>
    <row r="76" spans="1:12" x14ac:dyDescent="0.35">
      <c r="A76" s="13">
        <f t="shared" si="4"/>
        <v>52</v>
      </c>
      <c r="B76" s="50">
        <f ca="1">EDATE($B$24,52)</f>
        <v>46071</v>
      </c>
      <c r="C76" s="14">
        <f t="shared" ca="1" si="12"/>
        <v>46071</v>
      </c>
      <c r="D76" s="13">
        <f t="shared" ca="1" si="9"/>
        <v>31</v>
      </c>
      <c r="E76" s="15">
        <f t="shared" ca="1" si="8"/>
        <v>1988347.9507678959</v>
      </c>
      <c r="F76" s="15">
        <f ca="1">IF(AND(A75="",A77=""),"",IF(A76="",SUM($F$25:F75),IF(A76=$D$8,$E$24-SUM($F$25:F75),$F$13-G76)))</f>
        <v>-514.68519449241285</v>
      </c>
      <c r="G76" s="15">
        <f ca="1">IF(A75=$D$8,SUM($G$25:G75),IF(A75&gt;$D$8,"",E75*D76*$D$9/IF(OR(YEAR(C76)=2020,YEAR(C76)=2024),366,365)))</f>
        <v>50632.019415642128</v>
      </c>
      <c r="H76" s="15">
        <f ca="1">IF(A75=$D$8,SUM($H$25:H75),IF(A75="","",(G76+F76)))</f>
        <v>50117.334221149715</v>
      </c>
      <c r="I76" s="15" t="str">
        <f t="shared" si="10"/>
        <v/>
      </c>
      <c r="J76" s="15"/>
      <c r="K76" s="52" t="str">
        <f>IF(A75=$D$8,XIRR(H$24:H75,C$24:C75),"")</f>
        <v/>
      </c>
      <c r="L76" s="144" t="str">
        <f t="shared" si="11"/>
        <v/>
      </c>
    </row>
    <row r="77" spans="1:12" x14ac:dyDescent="0.35">
      <c r="A77" s="13">
        <f t="shared" si="4"/>
        <v>53</v>
      </c>
      <c r="B77" s="50">
        <f ca="1">EDATE($B$24,53)</f>
        <v>46099</v>
      </c>
      <c r="C77" s="14">
        <f t="shared" ca="1" si="12"/>
        <v>46099</v>
      </c>
      <c r="D77" s="13">
        <f t="shared" ca="1" si="9"/>
        <v>28</v>
      </c>
      <c r="E77" s="15">
        <f t="shared" ca="1" si="8"/>
        <v>1983974.6039773987</v>
      </c>
      <c r="F77" s="15">
        <f ca="1">IF(AND(A76="",A78=""),"",IF(A77="",SUM($F$25:F76),IF(A77=$D$8,$E$24-SUM($F$25:F76),$F$13-G77)))</f>
        <v>4373.3467904971767</v>
      </c>
      <c r="G77" s="15">
        <f ca="1">IF(A76=$D$8,SUM($G$25:G76),IF(A76&gt;$D$8,"",E76*D77*$D$9/IF(OR(YEAR(C77)=2020,YEAR(C77)=2024),366,365)))</f>
        <v>45743.987430652538</v>
      </c>
      <c r="H77" s="15">
        <f ca="1">IF(A76=$D$8,SUM($H$25:H76),IF(A76="","",(G77+F77)))</f>
        <v>50117.334221149715</v>
      </c>
      <c r="I77" s="15" t="str">
        <f t="shared" si="10"/>
        <v/>
      </c>
      <c r="J77" s="15"/>
      <c r="K77" s="52" t="str">
        <f>IF(A76=$D$8,XIRR(H$24:H76,C$24:C76),"")</f>
        <v/>
      </c>
      <c r="L77" s="144" t="str">
        <f t="shared" si="11"/>
        <v/>
      </c>
    </row>
    <row r="78" spans="1:12" x14ac:dyDescent="0.35">
      <c r="A78" s="13">
        <f t="shared" si="4"/>
        <v>54</v>
      </c>
      <c r="B78" s="50">
        <f ca="1">EDATE($B$24,54)</f>
        <v>46130</v>
      </c>
      <c r="C78" s="14">
        <f t="shared" ca="1" si="12"/>
        <v>46130</v>
      </c>
      <c r="D78" s="13">
        <f t="shared" ca="1" si="9"/>
        <v>31</v>
      </c>
      <c r="E78" s="15">
        <f t="shared" ca="1" si="8"/>
        <v>1984391.0053609544</v>
      </c>
      <c r="F78" s="15">
        <f ca="1">IF(AND(A77="",A79=""),"",IF(A78="",SUM($F$25:F77),IF(A78=$D$8,$E$24-SUM($F$25:F77),$F$13-G78)))</f>
        <v>-416.40138355570525</v>
      </c>
      <c r="G78" s="15">
        <f ca="1">IF(A77=$D$8,SUM($G$25:G77),IF(A77&gt;$D$8,"",E77*D78*$D$9/IF(OR(YEAR(C78)=2020,YEAR(C78)=2024),366,365)))</f>
        <v>50533.73560470542</v>
      </c>
      <c r="H78" s="15">
        <f ca="1">IF(A77=$D$8,SUM($H$25:H77),IF(A77="","",(G78+F78)))</f>
        <v>50117.334221149715</v>
      </c>
      <c r="I78" s="15" t="str">
        <f t="shared" si="10"/>
        <v/>
      </c>
      <c r="J78" s="15"/>
      <c r="K78" s="52" t="str">
        <f>IF(A77=$D$8,XIRR(H$24:H77,C$24:C77),"")</f>
        <v/>
      </c>
      <c r="L78" s="144" t="str">
        <f t="shared" si="11"/>
        <v/>
      </c>
    </row>
    <row r="79" spans="1:12" x14ac:dyDescent="0.35">
      <c r="A79" s="13">
        <f t="shared" si="4"/>
        <v>55</v>
      </c>
      <c r="B79" s="50">
        <f ca="1">EDATE($B$24,55)</f>
        <v>46160</v>
      </c>
      <c r="C79" s="14">
        <f t="shared" ca="1" si="12"/>
        <v>46160</v>
      </c>
      <c r="D79" s="13">
        <f t="shared" ca="1" si="9"/>
        <v>30</v>
      </c>
      <c r="E79" s="15">
        <f t="shared" ca="1" si="8"/>
        <v>1983187.5502500308</v>
      </c>
      <c r="F79" s="15">
        <f ca="1">IF(AND(A78="",A80=""),"",IF(A79="",SUM($F$25:F78),IF(A79=$D$8,$E$24-SUM($F$25:F78),$F$13-G79)))</f>
        <v>1203.4551109236709</v>
      </c>
      <c r="G79" s="15">
        <f ca="1">IF(A78=$D$8,SUM($G$25:G78),IF(A78&gt;$D$8,"",E78*D79*$D$9/IF(OR(YEAR(C79)=2020,YEAR(C79)=2024),366,365)))</f>
        <v>48913.879110226044</v>
      </c>
      <c r="H79" s="15">
        <f ca="1">IF(A78=$D$8,SUM($H$25:H78),IF(A78="","",(G79+F79)))</f>
        <v>50117.334221149715</v>
      </c>
      <c r="I79" s="15" t="str">
        <f t="shared" si="10"/>
        <v/>
      </c>
      <c r="J79" s="15"/>
      <c r="K79" s="52" t="str">
        <f>IF(A78=$D$8,XIRR(H$24:H78,C$24:C78),"")</f>
        <v/>
      </c>
      <c r="L79" s="144" t="str">
        <f t="shared" si="11"/>
        <v/>
      </c>
    </row>
    <row r="80" spans="1:12" x14ac:dyDescent="0.35">
      <c r="A80" s="13">
        <f t="shared" si="4"/>
        <v>56</v>
      </c>
      <c r="B80" s="50">
        <f ca="1">EDATE($B$24,56)</f>
        <v>46191</v>
      </c>
      <c r="C80" s="14">
        <f t="shared" ca="1" si="12"/>
        <v>46191</v>
      </c>
      <c r="D80" s="13">
        <f t="shared" ca="1" si="9"/>
        <v>31</v>
      </c>
      <c r="E80" s="15">
        <f t="shared" ca="1" si="8"/>
        <v>1983583.9046204414</v>
      </c>
      <c r="F80" s="15">
        <f ca="1">IF(AND(A79="",A81=""),"",IF(A80="",SUM($F$25:F79),IF(A80=$D$8,$E$24-SUM($F$25:F79),$F$13-G80)))</f>
        <v>-396.35437041059049</v>
      </c>
      <c r="G80" s="15">
        <f ca="1">IF(A79=$D$8,SUM($G$25:G79),IF(A79&gt;$D$8,"",E79*D80*$D$9/IF(OR(YEAR(C80)=2020,YEAR(C80)=2024),366,365)))</f>
        <v>50513.688591560305</v>
      </c>
      <c r="H80" s="15">
        <f ca="1">IF(A79=$D$8,SUM($H$25:H79),IF(A79="","",(G80+F80)))</f>
        <v>50117.334221149715</v>
      </c>
      <c r="I80" s="15" t="str">
        <f t="shared" si="10"/>
        <v/>
      </c>
      <c r="J80" s="15"/>
      <c r="K80" s="52" t="str">
        <f>IF(A79=$D$8,XIRR(H$24:H79,C$24:C79),"")</f>
        <v/>
      </c>
      <c r="L80" s="144" t="str">
        <f t="shared" si="11"/>
        <v/>
      </c>
    </row>
    <row r="81" spans="1:15" x14ac:dyDescent="0.35">
      <c r="A81" s="13">
        <f t="shared" si="4"/>
        <v>57</v>
      </c>
      <c r="B81" s="50">
        <f ca="1">EDATE($B$24,57)</f>
        <v>46221</v>
      </c>
      <c r="C81" s="14">
        <f t="shared" ca="1" si="12"/>
        <v>46221</v>
      </c>
      <c r="D81" s="13">
        <f t="shared" ca="1" si="9"/>
        <v>30</v>
      </c>
      <c r="E81" s="15">
        <f t="shared" ca="1" si="8"/>
        <v>1982360.5550290728</v>
      </c>
      <c r="F81" s="15">
        <f ca="1">IF(AND(A80="",A82=""),"",IF(A81="",SUM($F$25:F80),IF(A81=$D$8,$E$24-SUM($F$25:F80),$F$13-G81)))</f>
        <v>1223.3495913685911</v>
      </c>
      <c r="G81" s="15">
        <f ca="1">IF(A80=$D$8,SUM($G$25:G80),IF(A80&gt;$D$8,"",E80*D81*$D$9/IF(OR(YEAR(C81)=2020,YEAR(C81)=2024),366,365)))</f>
        <v>48893.984629781124</v>
      </c>
      <c r="H81" s="15">
        <f ca="1">IF(A80=$D$8,SUM($H$25:H80),IF(A80="","",(G81+F81)))</f>
        <v>50117.334221149715</v>
      </c>
      <c r="I81" s="15" t="str">
        <f t="shared" si="10"/>
        <v/>
      </c>
      <c r="J81" s="15"/>
      <c r="K81" s="52" t="str">
        <f>IF(A80=$D$8,XIRR(H$24:H80,C$24:C80),"")</f>
        <v/>
      </c>
      <c r="L81" s="144" t="str">
        <f t="shared" si="11"/>
        <v/>
      </c>
    </row>
    <row r="82" spans="1:15" x14ac:dyDescent="0.35">
      <c r="A82" s="13">
        <f t="shared" si="4"/>
        <v>58</v>
      </c>
      <c r="B82" s="50">
        <f ca="1">EDATE($B$24,58)</f>
        <v>46252</v>
      </c>
      <c r="C82" s="14">
        <f t="shared" ca="1" si="12"/>
        <v>46252</v>
      </c>
      <c r="D82" s="13">
        <f t="shared" ca="1" si="9"/>
        <v>31</v>
      </c>
      <c r="E82" s="15">
        <f t="shared" ca="1" si="8"/>
        <v>1982735.8450381965</v>
      </c>
      <c r="F82" s="15">
        <f ca="1">IF(AND(A81="",A83=""),"",IF(A82="",SUM($F$25:F81),IF(A82=$D$8,$E$24-SUM($F$25:F81),$F$13-G82)))</f>
        <v>-375.29000912368065</v>
      </c>
      <c r="G82" s="15">
        <f ca="1">IF(A81=$D$8,SUM($G$25:G81),IF(A81&gt;$D$8,"",E81*D82*$D$9/IF(OR(YEAR(C82)=2020,YEAR(C82)=2024),366,365)))</f>
        <v>50492.624230273395</v>
      </c>
      <c r="H82" s="15">
        <f ca="1">IF(A81=$D$8,SUM($H$25:H81),IF(A81="","",(G82+F82)))</f>
        <v>50117.334221149715</v>
      </c>
      <c r="I82" s="15" t="str">
        <f t="shared" si="10"/>
        <v/>
      </c>
      <c r="J82" s="15"/>
      <c r="K82" s="52" t="str">
        <f>IF(A81=$D$8,XIRR(H$24:H81,C$24:C81),"")</f>
        <v/>
      </c>
      <c r="L82" s="144" t="str">
        <f t="shared" si="11"/>
        <v/>
      </c>
    </row>
    <row r="83" spans="1:15" x14ac:dyDescent="0.35">
      <c r="A83" s="13">
        <f t="shared" si="4"/>
        <v>59</v>
      </c>
      <c r="B83" s="50">
        <f ca="1">EDATE($B$24,59)</f>
        <v>46283</v>
      </c>
      <c r="C83" s="14">
        <f t="shared" ca="1" si="12"/>
        <v>46283</v>
      </c>
      <c r="D83" s="13">
        <f t="shared" ca="1" si="9"/>
        <v>31</v>
      </c>
      <c r="E83" s="15">
        <f t="shared" ca="1" si="8"/>
        <v>1983120.6940437197</v>
      </c>
      <c r="F83" s="15">
        <f ca="1">IF(AND(A82="",A84=""),"",IF(A83="",SUM($F$25:F82),IF(A83=$D$8,$E$24-SUM($F$25:F82),$F$13-G83)))</f>
        <v>-384.8490055231814</v>
      </c>
      <c r="G83" s="15">
        <f ca="1">IF(A82=$D$8,SUM($G$25:G82),IF(A82&gt;$D$8,"",E82*D83*$D$9/IF(OR(YEAR(C83)=2020,YEAR(C83)=2024),366,365)))</f>
        <v>50502.183226672896</v>
      </c>
      <c r="H83" s="15">
        <f ca="1">IF(A82=$D$8,SUM($H$25:H82),IF(A82="","",(G83+F83)))</f>
        <v>50117.334221149715</v>
      </c>
      <c r="I83" s="15" t="str">
        <f t="shared" si="10"/>
        <v/>
      </c>
      <c r="J83" s="15"/>
      <c r="K83" s="52" t="str">
        <f>IF(A82=$D$8,XIRR(H$24:H82,C$24:C82),"")</f>
        <v/>
      </c>
      <c r="L83" s="144" t="str">
        <f t="shared" si="11"/>
        <v/>
      </c>
    </row>
    <row r="84" spans="1:15" x14ac:dyDescent="0.35">
      <c r="A84" s="13">
        <f t="shared" si="4"/>
        <v>60</v>
      </c>
      <c r="B84" s="50">
        <f ca="1">EDATE($B$24,60)</f>
        <v>46313</v>
      </c>
      <c r="C84" s="14">
        <f t="shared" ca="1" si="12"/>
        <v>46313</v>
      </c>
      <c r="D84" s="13">
        <f t="shared" ca="1" si="9"/>
        <v>30</v>
      </c>
      <c r="E84" s="15">
        <f t="shared" ca="1" si="8"/>
        <v>1981885.9266289023</v>
      </c>
      <c r="F84" s="15">
        <f ca="1">IF(AND(A83="",A85=""),"",IF(A84="",SUM($F$25:F83),IF(A84=$D$8,$E$24-SUM($F$25:F83),$F$13-G84)))</f>
        <v>1234.7674148172518</v>
      </c>
      <c r="G84" s="15">
        <f ca="1">IF(A83=$D$8,SUM($G$25:G83),IF(A83&gt;$D$8,"",E83*D84*$D$9/IF(OR(YEAR(C84)=2020,YEAR(C84)=2024),366,365)))</f>
        <v>48882.566806332463</v>
      </c>
      <c r="H84" s="15">
        <f ca="1">IF(A83=$D$8,SUM($H$25:H83),IF(A83="","",(G84+F84)))</f>
        <v>50117.334221149715</v>
      </c>
      <c r="I84" s="15" t="str">
        <f t="shared" si="10"/>
        <v/>
      </c>
      <c r="J84" s="15"/>
      <c r="K84" s="52" t="str">
        <f>IF(A83=$D$8,XIRR(H$24:H83,C$24:C83),"")</f>
        <v/>
      </c>
      <c r="L84" s="144" t="str">
        <f t="shared" si="11"/>
        <v/>
      </c>
    </row>
    <row r="85" spans="1:15" x14ac:dyDescent="0.35">
      <c r="A85" s="13">
        <f t="shared" si="4"/>
        <v>61</v>
      </c>
      <c r="B85" s="50">
        <f ca="1">EDATE($B$24,61)</f>
        <v>46344</v>
      </c>
      <c r="C85" s="14">
        <f t="shared" ca="1" si="12"/>
        <v>46344</v>
      </c>
      <c r="D85" s="13">
        <f t="shared" ca="1" si="9"/>
        <v>31</v>
      </c>
      <c r="E85" s="15">
        <f t="shared" ca="1" si="8"/>
        <v>1985850.8946268577</v>
      </c>
      <c r="F85" s="15">
        <f ca="1">IF(AND(A84="",A86=""),"",IF(A85="",SUM($F$25:F84),IF(A85=$D$8,$E$24-SUM($F$25:F84),$F$21-G85)))</f>
        <v>-3964.967997955333</v>
      </c>
      <c r="G85" s="15">
        <f ca="1">IF(A84=$D$8,SUM($G$25:G84),IF(A84&gt;$D$8,"",E84*D85*$F$18/IF(OR(YEAR(C85)=2020,YEAR(C85)=2024),366,365)))</f>
        <v>38512.658905187614</v>
      </c>
      <c r="H85" s="15">
        <f ca="1">IF(A84=$D$8,SUM($H$25:H84),IF(A84="","",(G85+F85)))</f>
        <v>34547.690907232281</v>
      </c>
      <c r="I85" s="15" t="str">
        <f t="shared" si="10"/>
        <v/>
      </c>
      <c r="J85" s="15"/>
      <c r="K85" s="52" t="str">
        <f>IF(A84=$D$8,XIRR(H$24:H84,C$24:C84),"")</f>
        <v/>
      </c>
      <c r="L85" s="144" t="str">
        <f t="shared" si="11"/>
        <v/>
      </c>
      <c r="O85" s="56"/>
    </row>
    <row r="86" spans="1:15" x14ac:dyDescent="0.35">
      <c r="A86" s="13">
        <f t="shared" si="4"/>
        <v>62</v>
      </c>
      <c r="B86" s="50">
        <f ca="1">EDATE($B$24,62)</f>
        <v>46374</v>
      </c>
      <c r="C86" s="14">
        <f t="shared" ca="1" si="12"/>
        <v>46374</v>
      </c>
      <c r="D86" s="13">
        <f t="shared" ca="1" si="9"/>
        <v>30</v>
      </c>
      <c r="E86" s="15">
        <f t="shared" ca="1" si="8"/>
        <v>1988648.0819133755</v>
      </c>
      <c r="F86" s="15">
        <f ca="1">IF(AND(A85="",A87=""),"",IF(A86="",SUM($F$25:F85),IF(A86=$D$8,$E$24-SUM($F$25:F85),$F$21-G86)))</f>
        <v>-2797.1872865177284</v>
      </c>
      <c r="G86" s="15">
        <f ca="1">IF(A85=$D$8,SUM($G$25:G85),IF(A85&gt;$D$8,"",E85*D86*$F$18/IF(OR(YEAR(C86)=2020,YEAR(C86)=2024),366,365)))</f>
        <v>37344.87819375001</v>
      </c>
      <c r="H86" s="15">
        <f ca="1">IF(A85=$D$8,SUM($H$25:H85),IF(A85="","",(G86+F86)))</f>
        <v>34547.690907232281</v>
      </c>
      <c r="I86" s="15" t="str">
        <f t="shared" si="10"/>
        <v/>
      </c>
      <c r="J86" s="15"/>
      <c r="K86" s="52" t="str">
        <f>IF(A85=$D$8,XIRR(H$24:H85,C$24:C85),"")</f>
        <v/>
      </c>
      <c r="L86" s="15" t="str">
        <f t="shared" ref="L86:L109" si="13">IF(A85=$D$8,G86+I86+F86,"")</f>
        <v/>
      </c>
    </row>
    <row r="87" spans="1:15" x14ac:dyDescent="0.35">
      <c r="A87" s="13">
        <f t="shared" si="4"/>
        <v>63</v>
      </c>
      <c r="B87" s="50">
        <f ca="1">EDATE($B$24,63)</f>
        <v>46405</v>
      </c>
      <c r="C87" s="14">
        <f t="shared" ca="1" si="12"/>
        <v>46405</v>
      </c>
      <c r="D87" s="13">
        <f t="shared" ca="1" si="9"/>
        <v>31</v>
      </c>
      <c r="E87" s="15">
        <f t="shared" ca="1" si="8"/>
        <v>1992744.4543359932</v>
      </c>
      <c r="F87" s="15">
        <f ca="1">IF(AND(A86="",A88=""),"",IF(A87="",SUM($F$25:F86),IF(A87=$D$8,$E$24-SUM($F$25:F86),$F$21-G87)))</f>
        <v>-4096.3724226175545</v>
      </c>
      <c r="G87" s="15">
        <f ca="1">IF(A86=$D$8,SUM($G$25:G86),IF(A86&gt;$D$8,"",E86*D87*$F$18/IF(OR(YEAR(C87)=2020,YEAR(C87)=2024),366,365)))</f>
        <v>38644.063329849836</v>
      </c>
      <c r="H87" s="15">
        <f ca="1">IF(A86=$D$8,SUM($H$25:H86),IF(A86="","",(G87+F87)))</f>
        <v>34547.690907232281</v>
      </c>
      <c r="I87" s="15" t="str">
        <f t="shared" si="10"/>
        <v/>
      </c>
      <c r="J87" s="15"/>
      <c r="K87" s="52" t="str">
        <f>IF(A86=$D$8,XIRR(H$24:H86,C$24:C86),"")</f>
        <v/>
      </c>
      <c r="L87" s="15" t="str">
        <f t="shared" si="13"/>
        <v/>
      </c>
    </row>
    <row r="88" spans="1:15" x14ac:dyDescent="0.35">
      <c r="A88" s="13">
        <f t="shared" si="4"/>
        <v>64</v>
      </c>
      <c r="B88" s="50">
        <f ca="1">EDATE($B$24,64)</f>
        <v>46436</v>
      </c>
      <c r="C88" s="14">
        <f t="shared" ca="1" si="12"/>
        <v>46436</v>
      </c>
      <c r="D88" s="13">
        <f t="shared" ca="1" si="9"/>
        <v>31</v>
      </c>
      <c r="E88" s="15">
        <f t="shared" ca="1" si="8"/>
        <v>1996920.4288142796</v>
      </c>
      <c r="F88" s="15">
        <f ca="1">IF(AND(A87="",A89=""),"",IF(A88="",SUM($F$25:F87),IF(A88=$D$8,$E$24-SUM($F$25:F87),$F$21-G88)))</f>
        <v>-4175.9744782864364</v>
      </c>
      <c r="G88" s="15">
        <f ca="1">IF(A87=$D$8,SUM($G$25:G87),IF(A87&gt;$D$8,"",E87*D88*$F$18/IF(OR(YEAR(C88)=2020,YEAR(C88)=2024),366,365)))</f>
        <v>38723.665385518718</v>
      </c>
      <c r="H88" s="15">
        <f ca="1">IF(A87=$D$8,SUM($H$25:H87),IF(A87="","",(G88+F88)))</f>
        <v>34547.690907232281</v>
      </c>
      <c r="I88" s="15" t="str">
        <f t="shared" si="10"/>
        <v/>
      </c>
      <c r="J88" s="15"/>
      <c r="K88" s="52" t="str">
        <f>IF(A87=$D$8,XIRR(H$24:H87,C$24:C87),"")</f>
        <v/>
      </c>
      <c r="L88" s="15" t="str">
        <f t="shared" si="13"/>
        <v/>
      </c>
    </row>
    <row r="89" spans="1:15" x14ac:dyDescent="0.35">
      <c r="A89" s="13">
        <f t="shared" si="4"/>
        <v>65</v>
      </c>
      <c r="B89" s="50">
        <f ca="1">EDATE($B$24,65)</f>
        <v>46464</v>
      </c>
      <c r="C89" s="14">
        <f t="shared" ca="1" si="12"/>
        <v>46464</v>
      </c>
      <c r="D89" s="13">
        <f t="shared" ca="1" si="9"/>
        <v>28</v>
      </c>
      <c r="E89" s="15">
        <f t="shared" ca="1" si="8"/>
        <v>1997422.2475924056</v>
      </c>
      <c r="F89" s="15">
        <f ca="1">IF(AND(A88="",A90=""),"",IF(A89="",SUM($F$25:F88),IF(A89=$D$8,$E$24-SUM($F$25:F88),$F$21-G89)))</f>
        <v>-501.81877812607854</v>
      </c>
      <c r="G89" s="15">
        <f ca="1">IF(A88=$D$8,SUM($G$25:G88),IF(A88&gt;$D$8,"",E88*D89*$F$18/IF(OR(YEAR(C89)=2020,YEAR(C89)=2024),366,365)))</f>
        <v>35049.50968535836</v>
      </c>
      <c r="H89" s="15">
        <f ca="1">IF(A88=$D$8,SUM($H$25:H88),IF(A88="","",(G89+F89)))</f>
        <v>34547.690907232281</v>
      </c>
      <c r="I89" s="15" t="str">
        <f t="shared" si="10"/>
        <v/>
      </c>
      <c r="J89" s="15"/>
      <c r="K89" s="52" t="str">
        <f>IF(A88=$D$8,XIRR(H$24:H88,C$24:C88),"")</f>
        <v/>
      </c>
      <c r="L89" s="15" t="str">
        <f t="shared" si="13"/>
        <v/>
      </c>
    </row>
    <row r="90" spans="1:15" x14ac:dyDescent="0.35">
      <c r="A90" s="13">
        <f t="shared" si="4"/>
        <v>66</v>
      </c>
      <c r="B90" s="50">
        <f ca="1">EDATE($B$24,66)</f>
        <v>46495</v>
      </c>
      <c r="C90" s="14">
        <f t="shared" ca="1" si="12"/>
        <v>46495</v>
      </c>
      <c r="D90" s="13">
        <f t="shared" ca="1" si="9"/>
        <v>31</v>
      </c>
      <c r="E90" s="15">
        <f t="shared" ca="1" si="8"/>
        <v>2001689.1224871553</v>
      </c>
      <c r="F90" s="15">
        <f ca="1">IF(AND(A89="",A91=""),"",IF(A90="",SUM($F$25:F89),IF(A90=$D$8,$E$24-SUM($F$25:F89),$F$21-G90)))</f>
        <v>-4266.8748947496788</v>
      </c>
      <c r="G90" s="15">
        <f ca="1">IF(A89=$D$8,SUM($G$25:G89),IF(A89&gt;$D$8,"",E89*D90*$F$18/IF(OR(YEAR(C90)=2020,YEAR(C90)=2024),366,365)))</f>
        <v>38814.56580198196</v>
      </c>
      <c r="H90" s="15">
        <f ca="1">IF(A89=$D$8,SUM($H$25:H89),IF(A89="","",(G90+F90)))</f>
        <v>34547.690907232281</v>
      </c>
      <c r="I90" s="15" t="str">
        <f t="shared" si="10"/>
        <v/>
      </c>
      <c r="J90" s="15"/>
      <c r="K90" s="52" t="str">
        <f>IF(A89=$D$8,XIRR(H$24:H89,C$24:C89),"")</f>
        <v/>
      </c>
      <c r="L90" s="15" t="str">
        <f t="shared" si="13"/>
        <v/>
      </c>
    </row>
    <row r="91" spans="1:15" x14ac:dyDescent="0.35">
      <c r="A91" s="13">
        <f t="shared" ref="A91:A112" si="14">IF(A90&lt;$D$8,A90+1,"")</f>
        <v>67</v>
      </c>
      <c r="B91" s="50">
        <f ca="1">EDATE($B$24,67)</f>
        <v>46525</v>
      </c>
      <c r="C91" s="14">
        <f t="shared" ca="1" si="12"/>
        <v>46525</v>
      </c>
      <c r="D91" s="13">
        <f t="shared" ca="1" si="9"/>
        <v>30</v>
      </c>
      <c r="E91" s="15">
        <f t="shared" ca="1" si="8"/>
        <v>2004784.1552422568</v>
      </c>
      <c r="F91" s="15">
        <f ca="1">IF(AND(A90="",A92=""),"",IF(A91="",SUM($F$25:F90),IF(A91=$D$8,$E$24-SUM($F$25:F90),$F$21-G91)))</f>
        <v>-3095.0327551015143</v>
      </c>
      <c r="G91" s="15">
        <f ca="1">IF(A90=$D$8,SUM($G$25:G90),IF(A90&gt;$D$8,"",E90*D91*$F$18/IF(OR(YEAR(C91)=2020,YEAR(C91)=2024),366,365)))</f>
        <v>37642.723662333796</v>
      </c>
      <c r="H91" s="15">
        <f ca="1">IF(A90=$D$8,SUM($H$25:H90),IF(A90="","",(G91+F91)))</f>
        <v>34547.690907232281</v>
      </c>
      <c r="I91" s="15" t="str">
        <f t="shared" si="10"/>
        <v/>
      </c>
      <c r="J91" s="15"/>
      <c r="K91" s="52" t="str">
        <f>IF(A90=$D$8,XIRR(H$24:H90,C$24:C90),"")</f>
        <v/>
      </c>
      <c r="L91" s="15" t="str">
        <f t="shared" si="13"/>
        <v/>
      </c>
    </row>
    <row r="92" spans="1:15" x14ac:dyDescent="0.35">
      <c r="A92" s="13">
        <f t="shared" si="14"/>
        <v>68</v>
      </c>
      <c r="B92" s="50">
        <f ca="1">EDATE($B$24,68)</f>
        <v>46556</v>
      </c>
      <c r="C92" s="14">
        <f t="shared" ca="1" si="12"/>
        <v>46556</v>
      </c>
      <c r="D92" s="13">
        <f t="shared" ca="1" si="9"/>
        <v>31</v>
      </c>
      <c r="E92" s="15">
        <f t="shared" ca="1" si="8"/>
        <v>2009194.0891468115</v>
      </c>
      <c r="F92" s="15">
        <f ca="1">IF(AND(A91="",A93=""),"",IF(A92="",SUM($F$25:F91),IF(A92=$D$8,$E$24-SUM($F$25:F91),$F$21-G92)))</f>
        <v>-4409.9339045547822</v>
      </c>
      <c r="G92" s="15">
        <f ca="1">IF(A91=$D$8,SUM($G$25:G91),IF(A91&gt;$D$8,"",E91*D92*$F$18/IF(OR(YEAR(C92)=2020,YEAR(C92)=2024),366,365)))</f>
        <v>38957.624811787064</v>
      </c>
      <c r="H92" s="15">
        <f ca="1">IF(A91=$D$8,SUM($H$25:H91),IF(A91="","",(G92+F92)))</f>
        <v>34547.690907232281</v>
      </c>
      <c r="I92" s="15" t="str">
        <f t="shared" si="10"/>
        <v/>
      </c>
      <c r="J92" s="15"/>
      <c r="K92" s="52" t="str">
        <f>IF(A91=$D$8,XIRR(H$24:H91,C$24:C91),"")</f>
        <v/>
      </c>
      <c r="L92" s="15" t="str">
        <f t="shared" si="13"/>
        <v/>
      </c>
    </row>
    <row r="93" spans="1:15" x14ac:dyDescent="0.35">
      <c r="A93" s="13">
        <f t="shared" si="14"/>
        <v>69</v>
      </c>
      <c r="B93" s="50">
        <f ca="1">EDATE($B$24,69)</f>
        <v>46586</v>
      </c>
      <c r="C93" s="14">
        <f t="shared" ca="1" si="12"/>
        <v>46586</v>
      </c>
      <c r="D93" s="13">
        <f t="shared" ca="1" si="9"/>
        <v>30</v>
      </c>
      <c r="E93" s="15">
        <f t="shared" ca="1" si="8"/>
        <v>2012430.2563982196</v>
      </c>
      <c r="F93" s="15">
        <f ca="1">IF(AND(A92="",A94=""),"",IF(A93="",SUM($F$25:F92),IF(A93=$D$8,$E$24-SUM($F$25:F92),$F$21-G93)))</f>
        <v>-3236.1672514080346</v>
      </c>
      <c r="G93" s="15">
        <f ca="1">IF(A92=$D$8,SUM($G$25:G92),IF(A92&gt;$D$8,"",E92*D93*$F$18/IF(OR(YEAR(C93)=2020,YEAR(C93)=2024),366,365)))</f>
        <v>37783.858158640316</v>
      </c>
      <c r="H93" s="15">
        <f ca="1">IF(A92=$D$8,SUM($H$25:H92),IF(A92="","",(G93+F93)))</f>
        <v>34547.690907232281</v>
      </c>
      <c r="I93" s="15" t="str">
        <f t="shared" si="10"/>
        <v/>
      </c>
      <c r="J93" s="15"/>
      <c r="K93" s="52" t="str">
        <f>IF(A92=$D$8,XIRR(H$24:H92,C$24:C92),"")</f>
        <v/>
      </c>
      <c r="L93" s="15" t="str">
        <f t="shared" si="13"/>
        <v/>
      </c>
    </row>
    <row r="94" spans="1:15" x14ac:dyDescent="0.35">
      <c r="A94" s="13">
        <f t="shared" si="14"/>
        <v>70</v>
      </c>
      <c r="B94" s="50">
        <f ca="1">EDATE($B$24,70)</f>
        <v>46617</v>
      </c>
      <c r="C94" s="14">
        <f t="shared" ca="1" si="12"/>
        <v>46617</v>
      </c>
      <c r="D94" s="13">
        <f t="shared" ca="1" si="9"/>
        <v>31</v>
      </c>
      <c r="E94" s="15">
        <f t="shared" ca="1" si="8"/>
        <v>2016988.7718542237</v>
      </c>
      <c r="F94" s="15">
        <f ca="1">IF(AND(A93="",A95=""),"",IF(A94="",SUM($F$25:F93),IF(A94=$D$8,$E$24-SUM($F$25:F93),$F$21-G94)))</f>
        <v>-4558.515456004141</v>
      </c>
      <c r="G94" s="15">
        <f ca="1">IF(A93=$D$8,SUM($G$25:G93),IF(A93&gt;$D$8,"",E93*D94*$F$18/IF(OR(YEAR(C94)=2020,YEAR(C94)=2024),366,365)))</f>
        <v>39106.206363236422</v>
      </c>
      <c r="H94" s="15">
        <f ca="1">IF(A93=$D$8,SUM($H$25:H93),IF(A93="","",(G94+F94)))</f>
        <v>34547.690907232281</v>
      </c>
      <c r="I94" s="15" t="str">
        <f t="shared" si="10"/>
        <v/>
      </c>
      <c r="J94" s="15"/>
      <c r="K94" s="52" t="str">
        <f>IF(A93=$D$8,XIRR(H$24:H93,C$24:C93),"")</f>
        <v/>
      </c>
      <c r="L94" s="15" t="str">
        <f t="shared" si="13"/>
        <v/>
      </c>
    </row>
    <row r="95" spans="1:15" x14ac:dyDescent="0.35">
      <c r="A95" s="13">
        <f t="shared" si="14"/>
        <v>71</v>
      </c>
      <c r="B95" s="50">
        <f ca="1">EDATE($B$24,71)</f>
        <v>46648</v>
      </c>
      <c r="C95" s="14">
        <f t="shared" ca="1" si="12"/>
        <v>46648</v>
      </c>
      <c r="D95" s="13">
        <f t="shared" ca="1" si="9"/>
        <v>31</v>
      </c>
      <c r="E95" s="15">
        <f t="shared" ca="1" si="8"/>
        <v>2021635.8698812588</v>
      </c>
      <c r="F95" s="15">
        <f ca="1">IF(AND(A94="",A96=""),"",IF(A95="",SUM($F$25:F94),IF(A95=$D$8,$E$24-SUM($F$25:F94),$F$21-G95)))</f>
        <v>-4647.0980270352229</v>
      </c>
      <c r="G95" s="15">
        <f ca="1">IF(A94=$D$8,SUM($G$25:G94),IF(A94&gt;$D$8,"",E94*D95*$F$18/IF(OR(YEAR(C95)=2020,YEAR(C95)=2024),366,365)))</f>
        <v>39194.788934267504</v>
      </c>
      <c r="H95" s="15">
        <f ca="1">IF(A94=$D$8,SUM($H$25:H94),IF(A94="","",(G95+F95)))</f>
        <v>34547.690907232281</v>
      </c>
      <c r="I95" s="15" t="str">
        <f t="shared" si="10"/>
        <v/>
      </c>
      <c r="J95" s="15"/>
      <c r="K95" s="52" t="str">
        <f>IF(A94=$D$8,XIRR(H$24:H94,C$24:C94),"")</f>
        <v/>
      </c>
      <c r="L95" s="15" t="str">
        <f t="shared" si="13"/>
        <v/>
      </c>
    </row>
    <row r="96" spans="1:15" x14ac:dyDescent="0.35">
      <c r="A96" s="13">
        <f t="shared" si="14"/>
        <v>72</v>
      </c>
      <c r="B96" s="50">
        <f ca="1">EDATE($B$24,72)</f>
        <v>46678</v>
      </c>
      <c r="C96" s="14">
        <f t="shared" ca="1" si="12"/>
        <v>46678</v>
      </c>
      <c r="D96" s="13">
        <f t="shared" ca="1" si="9"/>
        <v>30</v>
      </c>
      <c r="E96" s="15">
        <f t="shared" ca="1" si="8"/>
        <v>2025106.0107846155</v>
      </c>
      <c r="F96" s="15">
        <f ca="1">IF(AND(A95="",A97=""),"",IF(A96="",SUM($F$25:F95),IF(A96=$D$8,$E$24-SUM($F$25:F95),$F$21-G96)))</f>
        <v>-3470.1409033566524</v>
      </c>
      <c r="G96" s="15">
        <f ca="1">IF(A95=$D$8,SUM($G$25:G95),IF(A95&gt;$D$8,"",E95*D96*$F$18/IF(OR(YEAR(C96)=2020,YEAR(C96)=2024),366,365)))</f>
        <v>38017.831810588934</v>
      </c>
      <c r="H96" s="15">
        <f ca="1">IF(A95=$D$8,SUM($H$25:H95),IF(A95="","",(G96+F96)))</f>
        <v>34547.690907232281</v>
      </c>
      <c r="I96" s="15" t="str">
        <f t="shared" si="10"/>
        <v/>
      </c>
      <c r="J96" s="15"/>
      <c r="K96" s="52" t="str">
        <f>IF(A95=$D$8,XIRR(H$24:H95,C$24:C95),"")</f>
        <v/>
      </c>
      <c r="L96" s="15" t="str">
        <f t="shared" si="13"/>
        <v/>
      </c>
    </row>
    <row r="97" spans="1:12" x14ac:dyDescent="0.35">
      <c r="A97" s="13">
        <f t="shared" si="14"/>
        <v>73</v>
      </c>
      <c r="B97" s="50">
        <f ca="1">EDATE($B$24,73)</f>
        <v>46709</v>
      </c>
      <c r="C97" s="14">
        <f t="shared" ca="1" si="12"/>
        <v>46709</v>
      </c>
      <c r="D97" s="13">
        <f t="shared" ca="1" si="9"/>
        <v>31</v>
      </c>
      <c r="E97" s="15">
        <f t="shared" ca="1" si="8"/>
        <v>2029910.8456672274</v>
      </c>
      <c r="F97" s="15">
        <f ca="1">IF(AND(A96="",A98=""),"",IF(A97="",SUM($F$25:F96),IF(A97=$D$8,$E$24-SUM($F$25:F96),$F$21-G97)))</f>
        <v>-4804.834882611889</v>
      </c>
      <c r="G97" s="15">
        <f ca="1">IF(A96=$D$8,SUM($G$25:G96),IF(A96&gt;$D$8,"",E96*D97*$F$18/IF(OR(YEAR(C97)=2020,YEAR(C97)=2024),366,365)))</f>
        <v>39352.525789844171</v>
      </c>
      <c r="H97" s="15">
        <f ca="1">IF(A96=$D$8,SUM($H$25:H96),IF(A96="","",(G97+F97)))</f>
        <v>34547.690907232281</v>
      </c>
      <c r="I97" s="15" t="str">
        <f t="shared" si="10"/>
        <v/>
      </c>
      <c r="J97" s="15"/>
      <c r="K97" s="52" t="str">
        <f>IF(A96=$D$8,XIRR(H$24:H96,C$24:C96),"")</f>
        <v/>
      </c>
      <c r="L97" s="15" t="str">
        <f t="shared" si="13"/>
        <v/>
      </c>
    </row>
    <row r="98" spans="1:12" x14ac:dyDescent="0.35">
      <c r="A98" s="13">
        <f t="shared" si="14"/>
        <v>74</v>
      </c>
      <c r="B98" s="50">
        <f ca="1">EDATE($B$24,74)</f>
        <v>46739</v>
      </c>
      <c r="C98" s="14">
        <f t="shared" ca="1" si="12"/>
        <v>46739</v>
      </c>
      <c r="D98" s="13">
        <f t="shared" ca="1" si="9"/>
        <v>30</v>
      </c>
      <c r="E98" s="15">
        <f t="shared" ca="1" si="8"/>
        <v>2033536.6014576934</v>
      </c>
      <c r="F98" s="15">
        <f ca="1">IF(AND(A97="",A99=""),"",IF(A98="",SUM($F$25:F97),IF(A98=$D$8,$E$24-SUM($F$25:F97),$F$21-G98)))</f>
        <v>-3625.7557904659334</v>
      </c>
      <c r="G98" s="15">
        <f ca="1">IF(A97=$D$8,SUM($G$25:G97),IF(A97&gt;$D$8,"",E97*D98*$F$18/IF(OR(YEAR(C98)=2020,YEAR(C98)=2024),366,365)))</f>
        <v>38173.446697698215</v>
      </c>
      <c r="H98" s="15">
        <f ca="1">IF(A97=$D$8,SUM($H$25:H97),IF(A97="","",(G98+F98)))</f>
        <v>34547.690907232281</v>
      </c>
      <c r="I98" s="15" t="str">
        <f t="shared" si="10"/>
        <v/>
      </c>
      <c r="J98" s="15"/>
      <c r="K98" s="52" t="str">
        <f>IF(A97=$D$8,XIRR(H$24:H97,C$24:C97),"")</f>
        <v/>
      </c>
      <c r="L98" s="15" t="str">
        <f t="shared" si="13"/>
        <v/>
      </c>
    </row>
    <row r="99" spans="1:12" x14ac:dyDescent="0.35">
      <c r="A99" s="13">
        <f t="shared" si="14"/>
        <v>75</v>
      </c>
      <c r="B99" s="50">
        <f ca="1">EDATE($B$24,75)</f>
        <v>46770</v>
      </c>
      <c r="C99" s="14">
        <f t="shared" ca="1" si="12"/>
        <v>46770</v>
      </c>
      <c r="D99" s="13">
        <f t="shared" ca="1" si="9"/>
        <v>31</v>
      </c>
      <c r="E99" s="15">
        <f t="shared" ca="1" si="8"/>
        <v>2038505.2623499655</v>
      </c>
      <c r="F99" s="15">
        <f ca="1">IF(AND(A98="",A100=""),"",IF(A99="",SUM($F$25:F98),IF(A99=$D$8,$E$24-SUM($F$25:F98),$F$21-G99)))</f>
        <v>-4968.6608922721789</v>
      </c>
      <c r="G99" s="15">
        <f ca="1">IF(A98=$D$8,SUM($G$25:G98),IF(A98&gt;$D$8,"",E98*D99*$F$18/IF(OR(YEAR(C99)=2020,YEAR(C99)=2024),366,365)))</f>
        <v>39516.35179950446</v>
      </c>
      <c r="H99" s="15">
        <f ca="1">IF(A98=$D$8,SUM($H$25:H98),IF(A98="","",(G99+F99)))</f>
        <v>34547.690907232281</v>
      </c>
      <c r="I99" s="15" t="str">
        <f t="shared" si="10"/>
        <v/>
      </c>
      <c r="J99" s="15"/>
      <c r="K99" s="52" t="str">
        <f>IF(A98=$D$8,XIRR(H$24:H98,C$24:C98),"")</f>
        <v/>
      </c>
      <c r="L99" s="15" t="str">
        <f t="shared" si="13"/>
        <v/>
      </c>
    </row>
    <row r="100" spans="1:12" x14ac:dyDescent="0.35">
      <c r="A100" s="13">
        <f t="shared" si="14"/>
        <v>76</v>
      </c>
      <c r="B100" s="50">
        <f ca="1">EDATE($B$24,76)</f>
        <v>46801</v>
      </c>
      <c r="C100" s="14">
        <f t="shared" ca="1" si="12"/>
        <v>46801</v>
      </c>
      <c r="D100" s="13">
        <f t="shared" ca="1" si="9"/>
        <v>31</v>
      </c>
      <c r="E100" s="15">
        <f t="shared" ca="1" si="8"/>
        <v>2043570.4758942286</v>
      </c>
      <c r="F100" s="15">
        <f ca="1">IF(AND(A99="",A101=""),"",IF(A100="",SUM($F$25:F99),IF(A100=$D$8,$E$24-SUM($F$25:F99),$F$21-G100)))</f>
        <v>-5065.2135442631552</v>
      </c>
      <c r="G100" s="15">
        <f ca="1">IF(A99=$D$8,SUM($G$25:G99),IF(A99&gt;$D$8,"",E99*D100*$F$18/IF(OR(YEAR(C100)=2020,YEAR(C100)=2024),366,365)))</f>
        <v>39612.904451495437</v>
      </c>
      <c r="H100" s="15">
        <f ca="1">IF(A99=$D$8,SUM($H$25:H99),IF(A99="","",(G100+F100)))</f>
        <v>34547.690907232281</v>
      </c>
      <c r="I100" s="15" t="str">
        <f t="shared" si="10"/>
        <v/>
      </c>
      <c r="J100" s="15"/>
      <c r="K100" s="52" t="str">
        <f>IF(A99=$D$8,XIRR(H$24:H99,C$24:C99),"")</f>
        <v/>
      </c>
      <c r="L100" s="15" t="str">
        <f t="shared" si="13"/>
        <v/>
      </c>
    </row>
    <row r="101" spans="1:12" x14ac:dyDescent="0.35">
      <c r="A101" s="13">
        <f t="shared" si="14"/>
        <v>77</v>
      </c>
      <c r="B101" s="50">
        <f ca="1">EDATE($B$24,77)</f>
        <v>46830</v>
      </c>
      <c r="C101" s="14">
        <f t="shared" ca="1" si="12"/>
        <v>46830</v>
      </c>
      <c r="D101" s="13">
        <f t="shared" ca="1" si="9"/>
        <v>29</v>
      </c>
      <c r="E101" s="15">
        <f t="shared" ref="E101:E108" ca="1" si="15">IF(A101&gt;$D$8,"",E100-F101)</f>
        <v>2046172.0968271426</v>
      </c>
      <c r="F101" s="15">
        <f ca="1">IF(AND(A100="",A102=""),"",IF(A101="",SUM($F$25:F100),IF(A101=$D$8,$E$24-SUM($F$25:F100),$F$21-G101)))</f>
        <v>-2601.620932913982</v>
      </c>
      <c r="G101" s="15">
        <f ca="1">IF(A100=$D$8,SUM($G$25:G100),IF(A100&gt;$D$8,"",E100*D101*$F$18/IF(OR(YEAR(C101)=2020,YEAR(C101)=2024),366,365)))</f>
        <v>37149.311840146263</v>
      </c>
      <c r="H101" s="15">
        <f ca="1">IF(A100=$D$8,SUM($H$25:H100),IF(A100="","",(G101+F101)))</f>
        <v>34547.690907232281</v>
      </c>
      <c r="I101" s="15" t="str">
        <f t="shared" si="10"/>
        <v/>
      </c>
      <c r="J101" s="15"/>
      <c r="K101" s="52" t="str">
        <f>IF(A100=$D$8,XIRR(H$24:H100,C$24:C100),"")</f>
        <v/>
      </c>
      <c r="L101" s="15" t="str">
        <f t="shared" si="13"/>
        <v/>
      </c>
    </row>
    <row r="102" spans="1:12" x14ac:dyDescent="0.35">
      <c r="A102" s="13">
        <f t="shared" si="14"/>
        <v>78</v>
      </c>
      <c r="B102" s="50">
        <f ca="1">EDATE($B$24,78)</f>
        <v>46861</v>
      </c>
      <c r="C102" s="14">
        <f t="shared" ca="1" si="12"/>
        <v>46861</v>
      </c>
      <c r="D102" s="13">
        <f t="shared" ref="D102:D108" ca="1" si="16">IF(A102&gt;$D$8,"",C102-C101)</f>
        <v>31</v>
      </c>
      <c r="E102" s="15">
        <f t="shared" ca="1" si="15"/>
        <v>2051386.2948195694</v>
      </c>
      <c r="F102" s="15">
        <f ca="1">IF(AND(A101="",A103=""),"",IF(A102="",SUM($F$25:F101),IF(A102=$D$8,$E$24-SUM($F$25:F101),$F$21-G102)))</f>
        <v>-5214.1979924267798</v>
      </c>
      <c r="G102" s="15">
        <f ca="1">IF(A101=$D$8,SUM($G$25:G101),IF(A101&gt;$D$8,"",E101*D102*$F$18/IF(OR(YEAR(C102)=2020,YEAR(C102)=2024),366,365)))</f>
        <v>39761.888899659061</v>
      </c>
      <c r="H102" s="15">
        <f ca="1">IF(A101=$D$8,SUM($H$25:H101),IF(A101="","",(G102+F102)))</f>
        <v>34547.690907232281</v>
      </c>
      <c r="I102" s="15" t="str">
        <f t="shared" ref="I102:I156" si="17">IF(A101=$F$8,$I$24,"")</f>
        <v/>
      </c>
      <c r="J102" s="15"/>
      <c r="K102" s="52" t="str">
        <f>IF(A101=$D$8,XIRR(H$24:H101,C$24:C101),"")</f>
        <v/>
      </c>
      <c r="L102" s="15" t="str">
        <f t="shared" si="13"/>
        <v/>
      </c>
    </row>
    <row r="103" spans="1:12" x14ac:dyDescent="0.35">
      <c r="A103" s="13">
        <f t="shared" si="14"/>
        <v>79</v>
      </c>
      <c r="B103" s="50">
        <f ca="1">EDATE($B$24,79)</f>
        <v>46891</v>
      </c>
      <c r="C103" s="14">
        <f t="shared" ca="1" si="12"/>
        <v>46891</v>
      </c>
      <c r="D103" s="13">
        <f t="shared" ca="1" si="16"/>
        <v>30</v>
      </c>
      <c r="E103" s="15">
        <f t="shared" ca="1" si="15"/>
        <v>2055415.9067277934</v>
      </c>
      <c r="F103" s="15">
        <f ca="1">IF(AND(A102="",A104=""),"",IF(A103="",SUM($F$25:F102),IF(A103=$D$8,$E$24-SUM($F$25:F102),$F$21-G103)))</f>
        <v>-4029.6119082239456</v>
      </c>
      <c r="G103" s="15">
        <f ca="1">IF(A102=$D$8,SUM($G$25:G102),IF(A102&gt;$D$8,"",E102*D103*$F$18/IF(OR(YEAR(C103)=2020,YEAR(C103)=2024),366,365)))</f>
        <v>38577.302815456227</v>
      </c>
      <c r="H103" s="15">
        <f ca="1">IF(A102=$D$8,SUM($H$25:H102),IF(A102="","",(G103+F103)))</f>
        <v>34547.690907232281</v>
      </c>
      <c r="I103" s="15" t="str">
        <f t="shared" si="17"/>
        <v/>
      </c>
      <c r="J103" s="15"/>
      <c r="K103" s="52" t="str">
        <f>IF(A102=$D$8,XIRR(H$24:H102,C$24:C102),"")</f>
        <v/>
      </c>
      <c r="L103" s="15" t="str">
        <f t="shared" si="13"/>
        <v/>
      </c>
    </row>
    <row r="104" spans="1:12" x14ac:dyDescent="0.35">
      <c r="A104" s="13">
        <f t="shared" si="14"/>
        <v>80</v>
      </c>
      <c r="B104" s="50">
        <f ca="1">EDATE($B$24,80)</f>
        <v>46922</v>
      </c>
      <c r="C104" s="14">
        <f t="shared" ca="1" si="12"/>
        <v>46922</v>
      </c>
      <c r="D104" s="13">
        <f t="shared" ca="1" si="16"/>
        <v>31</v>
      </c>
      <c r="E104" s="15">
        <f t="shared" ca="1" si="15"/>
        <v>2060809.7334732704</v>
      </c>
      <c r="F104" s="15">
        <f ca="1">IF(AND(A103="",A105=""),"",IF(A104="",SUM($F$25:F103),IF(A104=$D$8,$E$24-SUM($F$25:F103),$F$21-G104)))</f>
        <v>-5393.8267454770175</v>
      </c>
      <c r="G104" s="15">
        <f ca="1">IF(A103=$D$8,SUM($G$25:G103),IF(A103&gt;$D$8,"",E103*D104*$F$18/IF(OR(YEAR(C104)=2020,YEAR(C104)=2024),366,365)))</f>
        <v>39941.517652709299</v>
      </c>
      <c r="H104" s="15">
        <f ca="1">IF(A103=$D$8,SUM($H$25:H103),IF(A103="","",(G104+F104)))</f>
        <v>34547.690907232281</v>
      </c>
      <c r="I104" s="15" t="str">
        <f t="shared" si="17"/>
        <v/>
      </c>
      <c r="J104" s="15"/>
      <c r="K104" s="52" t="str">
        <f>IF(A103=$D$8,XIRR(H$24:H103,C$24:C103),"")</f>
        <v/>
      </c>
      <c r="L104" s="15" t="str">
        <f t="shared" si="13"/>
        <v/>
      </c>
    </row>
    <row r="105" spans="1:12" x14ac:dyDescent="0.35">
      <c r="A105" s="13">
        <f t="shared" si="14"/>
        <v>81</v>
      </c>
      <c r="B105" s="50">
        <f ca="1">EDATE($B$24,81)</f>
        <v>46952</v>
      </c>
      <c r="C105" s="14">
        <f t="shared" ca="1" si="12"/>
        <v>46952</v>
      </c>
      <c r="D105" s="13">
        <f t="shared" ca="1" si="16"/>
        <v>30</v>
      </c>
      <c r="E105" s="15">
        <f t="shared" ca="1" si="15"/>
        <v>2065016.5576634642</v>
      </c>
      <c r="F105" s="15">
        <f ca="1">IF(AND(A104="",A106=""),"",IF(A105="",SUM($F$25:F104),IF(A105=$D$8,$E$24-SUM($F$25:F104),$F$21-G105)))</f>
        <v>-4206.8241901938236</v>
      </c>
      <c r="G105" s="15">
        <f ca="1">IF(A104=$D$8,SUM($G$25:G104),IF(A104&gt;$D$8,"",E104*D105*$F$18/IF(OR(YEAR(C105)=2020,YEAR(C105)=2024),366,365)))</f>
        <v>38754.515097426105</v>
      </c>
      <c r="H105" s="15">
        <f ca="1">IF(A104=$D$8,SUM($H$25:H104),IF(A104="","",(G105+F105)))</f>
        <v>34547.690907232281</v>
      </c>
      <c r="I105" s="15" t="str">
        <f t="shared" si="17"/>
        <v/>
      </c>
      <c r="J105" s="15"/>
      <c r="K105" s="52" t="str">
        <f>IF(A104=$D$8,XIRR(H$24:H104,C$24:C104),"")</f>
        <v/>
      </c>
      <c r="L105" s="15" t="str">
        <f t="shared" si="13"/>
        <v/>
      </c>
    </row>
    <row r="106" spans="1:12" x14ac:dyDescent="0.35">
      <c r="A106" s="13">
        <f t="shared" si="14"/>
        <v>82</v>
      </c>
      <c r="B106" s="50">
        <f ca="1">EDATE($B$24,82)</f>
        <v>46983</v>
      </c>
      <c r="C106" s="14">
        <f t="shared" ca="1" si="12"/>
        <v>46983</v>
      </c>
      <c r="D106" s="13">
        <f t="shared" ca="1" si="16"/>
        <v>31</v>
      </c>
      <c r="E106" s="15">
        <f t="shared" ca="1" si="15"/>
        <v>2070596.9474143016</v>
      </c>
      <c r="F106" s="15">
        <f ca="1">IF(AND(A105="",A107=""),"",IF(A106="",SUM($F$25:F105),IF(A106=$D$8,$E$24-SUM($F$25:F105),$F$21-G106)))</f>
        <v>-5580.389750837363</v>
      </c>
      <c r="G106" s="15">
        <f ca="1">IF(A105=$D$8,SUM($G$25:G105),IF(A105&gt;$D$8,"",E105*D106*$F$18/IF(OR(YEAR(C106)=2020,YEAR(C106)=2024),366,365)))</f>
        <v>40128.080658069644</v>
      </c>
      <c r="H106" s="15">
        <f ca="1">IF(A105=$D$8,SUM($H$25:H105),IF(A105="","",(G106+F106)))</f>
        <v>34547.690907232281</v>
      </c>
      <c r="I106" s="15" t="str">
        <f t="shared" si="17"/>
        <v/>
      </c>
      <c r="J106" s="15"/>
      <c r="K106" s="52" t="str">
        <f>IF(A105=$D$8,XIRR(H$24:H105,C$24:C105),"")</f>
        <v/>
      </c>
      <c r="L106" s="15" t="str">
        <f t="shared" si="13"/>
        <v/>
      </c>
    </row>
    <row r="107" spans="1:12" x14ac:dyDescent="0.35">
      <c r="A107" s="13">
        <f t="shared" si="14"/>
        <v>83</v>
      </c>
      <c r="B107" s="50">
        <f ca="1">EDATE($B$24,83)</f>
        <v>47014</v>
      </c>
      <c r="C107" s="14">
        <f t="shared" ca="1" si="12"/>
        <v>47014</v>
      </c>
      <c r="D107" s="13">
        <f t="shared" ca="1" si="16"/>
        <v>31</v>
      </c>
      <c r="E107" s="15">
        <f t="shared" ca="1" si="15"/>
        <v>2076285.7771334259</v>
      </c>
      <c r="F107" s="15">
        <f ca="1">IF(AND(A106="",A108=""),"",IF(A107="",SUM($F$25:F106),IF(A107=$D$8,$E$24-SUM($F$25:F106),$F$21-G107)))</f>
        <v>-5688.8297191243182</v>
      </c>
      <c r="G107" s="15">
        <f ca="1">IF(A106=$D$8,SUM($G$25:G106),IF(A106&gt;$D$8,"",E106*D107*$F$18/IF(OR(YEAR(C107)=2020,YEAR(C107)=2024),366,365)))</f>
        <v>40236.5206263566</v>
      </c>
      <c r="H107" s="15">
        <f ca="1">IF(A106=$D$8,SUM($H$25:H106),IF(A106="","",(G107+F107)))</f>
        <v>34547.690907232281</v>
      </c>
      <c r="I107" s="15" t="str">
        <f t="shared" si="17"/>
        <v/>
      </c>
      <c r="J107" s="15"/>
      <c r="K107" s="52" t="str">
        <f>IF(A106=$D$8,XIRR(H$24:H106,C$24:C106),"")</f>
        <v/>
      </c>
      <c r="L107" s="15" t="str">
        <f t="shared" si="13"/>
        <v/>
      </c>
    </row>
    <row r="108" spans="1:12" x14ac:dyDescent="0.35">
      <c r="A108" s="13">
        <f t="shared" si="14"/>
        <v>84</v>
      </c>
      <c r="B108" s="50">
        <f ca="1">EDATE($B$24,84)</f>
        <v>47044</v>
      </c>
      <c r="C108" s="14">
        <f t="shared" ca="1" si="12"/>
        <v>47044</v>
      </c>
      <c r="D108" s="13">
        <f t="shared" ca="1" si="16"/>
        <v>30</v>
      </c>
      <c r="E108" s="15">
        <f t="shared" ca="1" si="15"/>
        <v>2080783.6357446699</v>
      </c>
      <c r="F108" s="15">
        <f ca="1">IF(AND(A107="",A109=""),"",IF(A108="",SUM($F$25:F107),IF(A108=$D$8,$E$24-SUM($F$25:F107),$F$21-G108)))</f>
        <v>-4497.8586112439734</v>
      </c>
      <c r="G108" s="15">
        <f ca="1">IF(A107=$D$8,SUM($G$25:G107),IF(A107&gt;$D$8,"",E107*D108*$F$18/IF(OR(YEAR(C108)=2020,YEAR(C108)=2024),366,365)))</f>
        <v>39045.549518476255</v>
      </c>
      <c r="H108" s="15">
        <f ca="1">IF(A107=$D$8,SUM($H$25:H107),IF(A107="","",(G108+F108)))</f>
        <v>34547.690907232281</v>
      </c>
      <c r="I108" s="15" t="str">
        <f t="shared" si="17"/>
        <v/>
      </c>
      <c r="J108" s="15"/>
      <c r="K108" s="52" t="str">
        <f>IF(A107=$D$8,XIRR(H$24:H107,C$24:C107),"")</f>
        <v/>
      </c>
      <c r="L108" s="15" t="str">
        <f t="shared" si="13"/>
        <v/>
      </c>
    </row>
    <row r="109" spans="1:12" x14ac:dyDescent="0.35">
      <c r="A109" s="13">
        <f t="shared" si="14"/>
        <v>85</v>
      </c>
      <c r="F109" s="15">
        <f ca="1">IF(AND(A108="",A110=""),"",IF(A109="",SUM($F$25:F108),IF(A109=$D$8,$E$24-SUM($F$25:F108),$F$19-G109)))</f>
        <v>38547.690907232281</v>
      </c>
      <c r="G109" s="15">
        <f ca="1">IF(A108=$D$8,SUM($G$25:G108),IF(A108&gt;$D$8,"",E108*D109*$D$9/IF(OR(YEAR(C109)=2020,YEAR(C109)=2024),366,365)))</f>
        <v>0</v>
      </c>
      <c r="H109" s="15">
        <f ca="1">IF(A108=$D$8,SUM($H$25:H108),IF(A108="","",(G109+F109)))</f>
        <v>38547.690907232281</v>
      </c>
      <c r="I109" s="15" t="str">
        <f t="shared" si="17"/>
        <v/>
      </c>
      <c r="J109" s="15"/>
      <c r="K109" s="52" t="str">
        <f>IF(A108=$D$8,XIRR(H$24:H108,C$24:C108),"")</f>
        <v/>
      </c>
      <c r="L109" s="15" t="str">
        <f t="shared" si="13"/>
        <v/>
      </c>
    </row>
    <row r="110" spans="1:12" x14ac:dyDescent="0.35">
      <c r="A110" s="13">
        <f t="shared" si="14"/>
        <v>86</v>
      </c>
      <c r="I110" s="15" t="str">
        <f t="shared" si="17"/>
        <v/>
      </c>
      <c r="J110" s="15"/>
    </row>
    <row r="111" spans="1:12" x14ac:dyDescent="0.35">
      <c r="A111" s="13">
        <f t="shared" si="14"/>
        <v>87</v>
      </c>
      <c r="I111" s="15" t="str">
        <f t="shared" si="17"/>
        <v/>
      </c>
      <c r="J111" s="15"/>
    </row>
    <row r="112" spans="1:12" x14ac:dyDescent="0.35">
      <c r="A112" s="13">
        <f t="shared" si="14"/>
        <v>88</v>
      </c>
      <c r="I112" s="15" t="str">
        <f t="shared" si="17"/>
        <v/>
      </c>
      <c r="J112" s="15"/>
    </row>
    <row r="113" spans="9:10" x14ac:dyDescent="0.35">
      <c r="I113" s="15" t="str">
        <f t="shared" si="17"/>
        <v/>
      </c>
      <c r="J113" s="15"/>
    </row>
    <row r="114" spans="9:10" x14ac:dyDescent="0.35">
      <c r="I114" s="15" t="str">
        <f t="shared" si="17"/>
        <v/>
      </c>
      <c r="J114" s="15"/>
    </row>
    <row r="115" spans="9:10" x14ac:dyDescent="0.35">
      <c r="I115" s="15" t="str">
        <f t="shared" si="17"/>
        <v/>
      </c>
      <c r="J115" s="15"/>
    </row>
    <row r="116" spans="9:10" x14ac:dyDescent="0.35">
      <c r="I116" s="15" t="str">
        <f t="shared" si="17"/>
        <v/>
      </c>
      <c r="J116" s="15"/>
    </row>
    <row r="117" spans="9:10" x14ac:dyDescent="0.35">
      <c r="I117" s="15" t="str">
        <f t="shared" si="17"/>
        <v/>
      </c>
      <c r="J117" s="15"/>
    </row>
    <row r="118" spans="9:10" x14ac:dyDescent="0.35">
      <c r="I118" s="15" t="str">
        <f t="shared" si="17"/>
        <v/>
      </c>
      <c r="J118" s="15"/>
    </row>
    <row r="119" spans="9:10" x14ac:dyDescent="0.35">
      <c r="I119" s="15" t="str">
        <f t="shared" si="17"/>
        <v/>
      </c>
      <c r="J119" s="15"/>
    </row>
    <row r="120" spans="9:10" x14ac:dyDescent="0.35">
      <c r="I120" s="15" t="str">
        <f t="shared" si="17"/>
        <v/>
      </c>
      <c r="J120" s="15"/>
    </row>
    <row r="121" spans="9:10" x14ac:dyDescent="0.35">
      <c r="I121" s="15" t="str">
        <f t="shared" si="17"/>
        <v/>
      </c>
      <c r="J121" s="15"/>
    </row>
    <row r="122" spans="9:10" x14ac:dyDescent="0.35">
      <c r="I122" s="15" t="str">
        <f t="shared" si="17"/>
        <v/>
      </c>
      <c r="J122" s="15"/>
    </row>
    <row r="123" spans="9:10" x14ac:dyDescent="0.35">
      <c r="I123" s="15" t="str">
        <f t="shared" si="17"/>
        <v/>
      </c>
      <c r="J123" s="15"/>
    </row>
    <row r="124" spans="9:10" x14ac:dyDescent="0.35">
      <c r="I124" s="15" t="str">
        <f t="shared" si="17"/>
        <v/>
      </c>
      <c r="J124" s="15"/>
    </row>
    <row r="125" spans="9:10" x14ac:dyDescent="0.35">
      <c r="I125" s="15" t="str">
        <f t="shared" si="17"/>
        <v/>
      </c>
      <c r="J125" s="15"/>
    </row>
    <row r="126" spans="9:10" x14ac:dyDescent="0.35">
      <c r="I126" s="15" t="str">
        <f t="shared" si="17"/>
        <v/>
      </c>
      <c r="J126" s="15"/>
    </row>
    <row r="127" spans="9:10" x14ac:dyDescent="0.35">
      <c r="I127" s="15" t="str">
        <f t="shared" si="17"/>
        <v/>
      </c>
      <c r="J127" s="15"/>
    </row>
    <row r="128" spans="9:10" x14ac:dyDescent="0.35">
      <c r="I128" s="15" t="str">
        <f t="shared" si="17"/>
        <v/>
      </c>
      <c r="J128" s="15"/>
    </row>
    <row r="129" spans="9:10" x14ac:dyDescent="0.35">
      <c r="I129" s="15" t="str">
        <f t="shared" si="17"/>
        <v/>
      </c>
      <c r="J129" s="15"/>
    </row>
    <row r="130" spans="9:10" x14ac:dyDescent="0.35">
      <c r="I130" s="15" t="str">
        <f t="shared" si="17"/>
        <v/>
      </c>
      <c r="J130" s="15"/>
    </row>
    <row r="131" spans="9:10" x14ac:dyDescent="0.35">
      <c r="I131" s="15" t="str">
        <f t="shared" si="17"/>
        <v/>
      </c>
      <c r="J131" s="15"/>
    </row>
    <row r="132" spans="9:10" x14ac:dyDescent="0.35">
      <c r="I132" s="15" t="str">
        <f t="shared" si="17"/>
        <v/>
      </c>
      <c r="J132" s="15"/>
    </row>
    <row r="133" spans="9:10" x14ac:dyDescent="0.35">
      <c r="I133" s="15" t="str">
        <f t="shared" si="17"/>
        <v/>
      </c>
      <c r="J133" s="15"/>
    </row>
    <row r="134" spans="9:10" x14ac:dyDescent="0.35">
      <c r="I134" s="15" t="str">
        <f t="shared" si="17"/>
        <v/>
      </c>
      <c r="J134" s="15"/>
    </row>
    <row r="135" spans="9:10" x14ac:dyDescent="0.35">
      <c r="I135" s="15" t="str">
        <f t="shared" si="17"/>
        <v/>
      </c>
      <c r="J135" s="15"/>
    </row>
    <row r="136" spans="9:10" x14ac:dyDescent="0.35">
      <c r="I136" s="15" t="str">
        <f t="shared" si="17"/>
        <v/>
      </c>
      <c r="J136" s="15"/>
    </row>
    <row r="137" spans="9:10" x14ac:dyDescent="0.35">
      <c r="I137" s="15" t="str">
        <f t="shared" si="17"/>
        <v/>
      </c>
      <c r="J137" s="15"/>
    </row>
    <row r="138" spans="9:10" x14ac:dyDescent="0.35">
      <c r="I138" s="15" t="str">
        <f t="shared" si="17"/>
        <v/>
      </c>
      <c r="J138" s="15"/>
    </row>
    <row r="139" spans="9:10" x14ac:dyDescent="0.35">
      <c r="I139" s="15" t="str">
        <f t="shared" si="17"/>
        <v/>
      </c>
      <c r="J139" s="15"/>
    </row>
    <row r="140" spans="9:10" x14ac:dyDescent="0.35">
      <c r="I140" s="15" t="str">
        <f t="shared" si="17"/>
        <v/>
      </c>
      <c r="J140" s="15"/>
    </row>
    <row r="141" spans="9:10" x14ac:dyDescent="0.35">
      <c r="I141" s="15" t="str">
        <f t="shared" si="17"/>
        <v/>
      </c>
      <c r="J141" s="15"/>
    </row>
    <row r="142" spans="9:10" x14ac:dyDescent="0.35">
      <c r="I142" s="15" t="str">
        <f t="shared" si="17"/>
        <v/>
      </c>
      <c r="J142" s="15"/>
    </row>
    <row r="143" spans="9:10" x14ac:dyDescent="0.35">
      <c r="I143" s="15" t="str">
        <f t="shared" si="17"/>
        <v/>
      </c>
      <c r="J143" s="15"/>
    </row>
    <row r="144" spans="9:10" x14ac:dyDescent="0.35">
      <c r="I144" s="15" t="str">
        <f t="shared" si="17"/>
        <v/>
      </c>
      <c r="J144" s="15"/>
    </row>
    <row r="145" spans="9:10" x14ac:dyDescent="0.35">
      <c r="I145" s="15" t="str">
        <f t="shared" si="17"/>
        <v/>
      </c>
      <c r="J145" s="15"/>
    </row>
    <row r="146" spans="9:10" x14ac:dyDescent="0.35">
      <c r="I146" s="15" t="str">
        <f t="shared" si="17"/>
        <v/>
      </c>
      <c r="J146" s="15"/>
    </row>
    <row r="147" spans="9:10" x14ac:dyDescent="0.35">
      <c r="I147" s="15" t="str">
        <f t="shared" si="17"/>
        <v/>
      </c>
      <c r="J147" s="15"/>
    </row>
    <row r="148" spans="9:10" x14ac:dyDescent="0.35">
      <c r="I148" s="15" t="str">
        <f t="shared" si="17"/>
        <v/>
      </c>
      <c r="J148" s="15"/>
    </row>
    <row r="149" spans="9:10" x14ac:dyDescent="0.35">
      <c r="I149" s="15" t="str">
        <f t="shared" si="17"/>
        <v/>
      </c>
      <c r="J149" s="15"/>
    </row>
    <row r="150" spans="9:10" x14ac:dyDescent="0.35">
      <c r="I150" s="15" t="str">
        <f t="shared" si="17"/>
        <v/>
      </c>
      <c r="J150" s="15"/>
    </row>
    <row r="151" spans="9:10" x14ac:dyDescent="0.35">
      <c r="I151" s="15" t="str">
        <f t="shared" si="17"/>
        <v/>
      </c>
      <c r="J151" s="15"/>
    </row>
    <row r="152" spans="9:10" x14ac:dyDescent="0.35">
      <c r="I152" s="15" t="str">
        <f t="shared" si="17"/>
        <v/>
      </c>
      <c r="J152" s="15"/>
    </row>
    <row r="153" spans="9:10" x14ac:dyDescent="0.35">
      <c r="I153" s="15" t="str">
        <f t="shared" si="17"/>
        <v/>
      </c>
      <c r="J153" s="15"/>
    </row>
    <row r="154" spans="9:10" x14ac:dyDescent="0.35">
      <c r="I154" s="15" t="str">
        <f t="shared" si="17"/>
        <v/>
      </c>
      <c r="J154" s="15"/>
    </row>
    <row r="155" spans="9:10" x14ac:dyDescent="0.35">
      <c r="I155" s="15" t="str">
        <f t="shared" si="17"/>
        <v/>
      </c>
      <c r="J155" s="15"/>
    </row>
    <row r="156" spans="9:10" x14ac:dyDescent="0.35">
      <c r="I156" s="15" t="str">
        <f t="shared" si="17"/>
        <v/>
      </c>
      <c r="J156" s="15"/>
    </row>
    <row r="157" spans="9:10" x14ac:dyDescent="0.35">
      <c r="I157" s="15" t="str">
        <f t="shared" ref="I157:I186" si="18">IF(A157=$F$8,$I$24,"")</f>
        <v/>
      </c>
      <c r="J157" s="15"/>
    </row>
    <row r="158" spans="9:10" x14ac:dyDescent="0.35">
      <c r="I158" s="15" t="str">
        <f t="shared" si="18"/>
        <v/>
      </c>
      <c r="J158" s="15"/>
    </row>
    <row r="159" spans="9:10" x14ac:dyDescent="0.35">
      <c r="I159" s="15" t="str">
        <f t="shared" si="18"/>
        <v/>
      </c>
      <c r="J159" s="15"/>
    </row>
    <row r="160" spans="9:10" x14ac:dyDescent="0.35">
      <c r="I160" s="15" t="str">
        <f t="shared" si="18"/>
        <v/>
      </c>
      <c r="J160" s="15"/>
    </row>
    <row r="161" spans="9:10" x14ac:dyDescent="0.35">
      <c r="I161" s="15" t="str">
        <f t="shared" si="18"/>
        <v/>
      </c>
      <c r="J161" s="15"/>
    </row>
    <row r="162" spans="9:10" x14ac:dyDescent="0.35">
      <c r="I162" s="15" t="str">
        <f t="shared" si="18"/>
        <v/>
      </c>
      <c r="J162" s="15"/>
    </row>
    <row r="163" spans="9:10" x14ac:dyDescent="0.35">
      <c r="I163" s="15" t="str">
        <f t="shared" si="18"/>
        <v/>
      </c>
      <c r="J163" s="15"/>
    </row>
    <row r="164" spans="9:10" x14ac:dyDescent="0.35">
      <c r="I164" s="15" t="str">
        <f t="shared" si="18"/>
        <v/>
      </c>
      <c r="J164" s="15"/>
    </row>
    <row r="165" spans="9:10" x14ac:dyDescent="0.35">
      <c r="I165" s="15" t="str">
        <f t="shared" si="18"/>
        <v/>
      </c>
      <c r="J165" s="15"/>
    </row>
    <row r="166" spans="9:10" x14ac:dyDescent="0.35">
      <c r="I166" s="15" t="str">
        <f t="shared" si="18"/>
        <v/>
      </c>
      <c r="J166" s="15"/>
    </row>
    <row r="167" spans="9:10" x14ac:dyDescent="0.35">
      <c r="I167" s="15" t="str">
        <f t="shared" si="18"/>
        <v/>
      </c>
      <c r="J167" s="15"/>
    </row>
    <row r="168" spans="9:10" x14ac:dyDescent="0.35">
      <c r="I168" s="15" t="str">
        <f t="shared" si="18"/>
        <v/>
      </c>
      <c r="J168" s="15"/>
    </row>
    <row r="169" spans="9:10" x14ac:dyDescent="0.35">
      <c r="I169" s="15" t="str">
        <f t="shared" si="18"/>
        <v/>
      </c>
      <c r="J169" s="15"/>
    </row>
    <row r="170" spans="9:10" x14ac:dyDescent="0.35">
      <c r="I170" s="15" t="str">
        <f t="shared" si="18"/>
        <v/>
      </c>
      <c r="J170" s="15"/>
    </row>
    <row r="171" spans="9:10" x14ac:dyDescent="0.35">
      <c r="I171" s="15" t="str">
        <f t="shared" si="18"/>
        <v/>
      </c>
      <c r="J171" s="15"/>
    </row>
    <row r="172" spans="9:10" x14ac:dyDescent="0.35">
      <c r="I172" s="15" t="str">
        <f t="shared" si="18"/>
        <v/>
      </c>
      <c r="J172" s="15"/>
    </row>
    <row r="173" spans="9:10" x14ac:dyDescent="0.35">
      <c r="I173" s="15" t="str">
        <f t="shared" si="18"/>
        <v/>
      </c>
      <c r="J173" s="15"/>
    </row>
    <row r="174" spans="9:10" x14ac:dyDescent="0.35">
      <c r="I174" s="15" t="str">
        <f t="shared" si="18"/>
        <v/>
      </c>
      <c r="J174" s="15"/>
    </row>
    <row r="175" spans="9:10" x14ac:dyDescent="0.35">
      <c r="I175" s="15" t="str">
        <f t="shared" si="18"/>
        <v/>
      </c>
      <c r="J175" s="15"/>
    </row>
    <row r="176" spans="9:10" x14ac:dyDescent="0.35">
      <c r="I176" s="15" t="str">
        <f t="shared" si="18"/>
        <v/>
      </c>
      <c r="J176" s="15"/>
    </row>
    <row r="177" spans="9:10" x14ac:dyDescent="0.35">
      <c r="I177" s="15" t="str">
        <f t="shared" si="18"/>
        <v/>
      </c>
      <c r="J177" s="15"/>
    </row>
    <row r="178" spans="9:10" x14ac:dyDescent="0.35">
      <c r="I178" s="15" t="str">
        <f t="shared" si="18"/>
        <v/>
      </c>
      <c r="J178" s="15"/>
    </row>
    <row r="179" spans="9:10" x14ac:dyDescent="0.35">
      <c r="I179" s="15" t="str">
        <f t="shared" si="18"/>
        <v/>
      </c>
      <c r="J179" s="15"/>
    </row>
    <row r="180" spans="9:10" x14ac:dyDescent="0.35">
      <c r="I180" s="15" t="str">
        <f t="shared" si="18"/>
        <v/>
      </c>
      <c r="J180" s="15"/>
    </row>
    <row r="181" spans="9:10" x14ac:dyDescent="0.35">
      <c r="I181" s="15" t="str">
        <f t="shared" si="18"/>
        <v/>
      </c>
      <c r="J181" s="15"/>
    </row>
    <row r="182" spans="9:10" x14ac:dyDescent="0.35">
      <c r="I182" s="15" t="str">
        <f t="shared" si="18"/>
        <v/>
      </c>
      <c r="J182" s="15"/>
    </row>
    <row r="183" spans="9:10" x14ac:dyDescent="0.35">
      <c r="I183" s="15" t="str">
        <f t="shared" si="18"/>
        <v/>
      </c>
      <c r="J183" s="15"/>
    </row>
    <row r="184" spans="9:10" x14ac:dyDescent="0.35">
      <c r="I184" s="15" t="str">
        <f t="shared" si="18"/>
        <v/>
      </c>
      <c r="J184" s="15"/>
    </row>
    <row r="185" spans="9:10" x14ac:dyDescent="0.35">
      <c r="I185" s="15" t="str">
        <f t="shared" si="18"/>
        <v/>
      </c>
      <c r="J185" s="15"/>
    </row>
    <row r="186" spans="9:10" x14ac:dyDescent="0.35">
      <c r="I186" s="15" t="str">
        <f t="shared" si="18"/>
        <v/>
      </c>
      <c r="J186" s="15"/>
    </row>
  </sheetData>
  <protectedRanges>
    <protectedRange password="C797" sqref="B25:B108" name="Диапазон1_1"/>
    <protectedRange password="C797" sqref="K23:L23" name="Диапазон1"/>
  </protectedRanges>
  <mergeCells count="8">
    <mergeCell ref="H8:J8"/>
    <mergeCell ref="H9:J9"/>
    <mergeCell ref="A1:L1"/>
    <mergeCell ref="H3:I3"/>
    <mergeCell ref="H4:I4"/>
    <mergeCell ref="H5:K5"/>
    <mergeCell ref="H6:I6"/>
    <mergeCell ref="H7:J7"/>
  </mergeCells>
  <dataValidations count="1">
    <dataValidation type="list" allowBlank="1" showInputMessage="1" showErrorMessage="1" sqref="L8">
      <formula1>$M$8:$M$9</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75"/>
  <sheetViews>
    <sheetView tabSelected="1" topLeftCell="A3" zoomScale="55" zoomScaleNormal="55" workbookViewId="0">
      <selection activeCell="G36" sqref="G36"/>
    </sheetView>
  </sheetViews>
  <sheetFormatPr defaultRowHeight="14.5" x14ac:dyDescent="0.35"/>
  <cols>
    <col min="1" max="1" width="8.7265625" style="230"/>
    <col min="2" max="2" width="24.81640625" style="230" hidden="1" customWidth="1"/>
    <col min="3" max="3" width="28.81640625" style="230" customWidth="1"/>
    <col min="4" max="4" width="12.81640625" style="230" customWidth="1"/>
    <col min="5" max="5" width="15.81640625" style="230" customWidth="1"/>
    <col min="6" max="6" width="15.453125" style="230" customWidth="1"/>
    <col min="7" max="7" width="12.453125" style="230" customWidth="1"/>
    <col min="8" max="12" width="16.453125" style="230" customWidth="1"/>
    <col min="13" max="13" width="17.26953125" style="230" customWidth="1"/>
    <col min="14" max="14" width="15.54296875" style="230" customWidth="1"/>
    <col min="15" max="15" width="13.54296875" style="230" customWidth="1"/>
    <col min="16" max="16" width="12.26953125" style="230" customWidth="1"/>
    <col min="17" max="17" width="14.81640625" style="230" customWidth="1"/>
    <col min="18" max="18" width="12" style="230" hidden="1" customWidth="1"/>
    <col min="19" max="21" width="9.1796875" style="230" hidden="1" customWidth="1"/>
    <col min="22" max="22" width="9.453125" style="230" hidden="1" customWidth="1"/>
    <col min="23" max="23" width="10.1796875" style="230" hidden="1" customWidth="1"/>
    <col min="24" max="24" width="9.1796875" style="230" hidden="1" customWidth="1"/>
    <col min="25" max="25" width="12.1796875" style="230" hidden="1" customWidth="1"/>
    <col min="26" max="26" width="9.1796875" style="230" hidden="1" customWidth="1"/>
    <col min="27" max="30" width="8.7265625" style="230" hidden="1" customWidth="1"/>
    <col min="31" max="31" width="15.90625" style="230" hidden="1" customWidth="1"/>
    <col min="32" max="33" width="0" style="230" hidden="1" customWidth="1"/>
    <col min="34" max="16384" width="8.7265625" style="230"/>
  </cols>
  <sheetData>
    <row r="1" spans="1:31" ht="15.5" x14ac:dyDescent="0.35">
      <c r="A1" s="399" t="s">
        <v>116</v>
      </c>
      <c r="B1" s="399"/>
      <c r="C1" s="399"/>
      <c r="D1" s="399"/>
      <c r="E1" s="399"/>
      <c r="F1" s="399"/>
      <c r="G1" s="399"/>
      <c r="H1" s="399"/>
      <c r="I1" s="399"/>
      <c r="J1" s="399"/>
      <c r="K1" s="399"/>
      <c r="L1" s="399"/>
      <c r="M1" s="399"/>
      <c r="N1" s="399"/>
      <c r="O1" s="399"/>
      <c r="P1" s="399"/>
      <c r="Q1" s="399"/>
      <c r="R1" s="299"/>
      <c r="Y1" s="230" t="s">
        <v>153</v>
      </c>
      <c r="Z1" s="230" t="s">
        <v>154</v>
      </c>
    </row>
    <row r="2" spans="1:31" x14ac:dyDescent="0.35">
      <c r="A2" s="231"/>
      <c r="B2" s="231"/>
      <c r="C2" s="232"/>
      <c r="D2" s="232"/>
      <c r="E2" s="232"/>
      <c r="F2" s="232"/>
      <c r="G2" s="233"/>
      <c r="H2" s="231"/>
      <c r="I2" s="231"/>
      <c r="J2" s="231"/>
      <c r="K2" s="231"/>
      <c r="L2" s="231"/>
      <c r="M2" s="231"/>
      <c r="N2" s="231"/>
      <c r="O2" s="231"/>
      <c r="P2" s="231"/>
      <c r="Q2" s="231"/>
      <c r="R2" s="231"/>
      <c r="X2" s="230">
        <v>1</v>
      </c>
      <c r="Y2" s="234">
        <f>O8+O10</f>
        <v>7500</v>
      </c>
      <c r="Z2" s="234">
        <f>Y2-O8</f>
        <v>0</v>
      </c>
      <c r="AD2" s="230">
        <v>1</v>
      </c>
      <c r="AE2" s="234">
        <v>0</v>
      </c>
    </row>
    <row r="3" spans="1:31" x14ac:dyDescent="0.35">
      <c r="A3" s="231"/>
      <c r="B3" s="235" t="s">
        <v>62</v>
      </c>
      <c r="C3" s="236" t="s">
        <v>62</v>
      </c>
      <c r="D3" s="237">
        <f ca="1">F3</f>
        <v>44487</v>
      </c>
      <c r="E3" s="238"/>
      <c r="F3" s="295">
        <f ca="1">TODAY()</f>
        <v>44487</v>
      </c>
      <c r="G3" s="239"/>
      <c r="H3" s="403" t="s">
        <v>138</v>
      </c>
      <c r="I3" s="403"/>
      <c r="J3" s="403"/>
      <c r="K3" s="403"/>
      <c r="L3" s="403"/>
      <c r="M3" s="403"/>
      <c r="N3" s="404">
        <v>5.0000000000000001E-3</v>
      </c>
      <c r="O3" s="404"/>
      <c r="P3" s="240">
        <f>N3</f>
        <v>5.0000000000000001E-3</v>
      </c>
      <c r="Q3" s="231"/>
      <c r="R3" s="231"/>
      <c r="X3" s="241">
        <v>2</v>
      </c>
      <c r="Y3" s="242">
        <f>IF($F$8&gt;12,K37,0)</f>
        <v>7500</v>
      </c>
      <c r="Z3" s="234">
        <f>IF(Y3&gt;0,$Z$2,0)</f>
        <v>0</v>
      </c>
      <c r="AD3" s="241">
        <v>2</v>
      </c>
      <c r="AE3" s="242">
        <f>IF($F$8&gt;12,N37,0)</f>
        <v>0</v>
      </c>
    </row>
    <row r="4" spans="1:31" x14ac:dyDescent="0.35">
      <c r="A4" s="231"/>
      <c r="B4" s="243" t="s">
        <v>63</v>
      </c>
      <c r="C4" s="236" t="s">
        <v>137</v>
      </c>
      <c r="D4" s="244">
        <f t="shared" ref="D4:D9" si="0">F4</f>
        <v>2500000</v>
      </c>
      <c r="E4" s="238"/>
      <c r="F4" s="221">
        <v>2500000</v>
      </c>
      <c r="G4" s="232"/>
      <c r="H4" s="405" t="s">
        <v>64</v>
      </c>
      <c r="I4" s="405"/>
      <c r="J4" s="405"/>
      <c r="K4" s="405"/>
      <c r="L4" s="405"/>
      <c r="M4" s="405"/>
      <c r="N4" s="406">
        <f>N3*F7</f>
        <v>10000</v>
      </c>
      <c r="O4" s="406"/>
      <c r="P4" s="245">
        <f>N4</f>
        <v>10000</v>
      </c>
      <c r="Q4" s="231"/>
      <c r="R4" s="231"/>
      <c r="X4" s="241">
        <v>3</v>
      </c>
      <c r="Y4" s="242">
        <f>IF($F$8&gt;24,K49,0)</f>
        <v>7500</v>
      </c>
      <c r="Z4" s="234">
        <f t="shared" ref="Z4:Z21" si="1">IF(Y4&gt;0,$Z$2,0)</f>
        <v>0</v>
      </c>
      <c r="AD4" s="241">
        <v>3</v>
      </c>
      <c r="AE4" s="242">
        <f>IF($F$8&gt;24,N49,0)</f>
        <v>0</v>
      </c>
    </row>
    <row r="5" spans="1:31" ht="15" customHeight="1" x14ac:dyDescent="0.35">
      <c r="A5" s="231"/>
      <c r="B5" s="243" t="s">
        <v>65</v>
      </c>
      <c r="C5" s="236" t="s">
        <v>65</v>
      </c>
      <c r="D5" s="244">
        <f t="shared" si="0"/>
        <v>500000</v>
      </c>
      <c r="E5" s="238"/>
      <c r="F5" s="221">
        <v>500000</v>
      </c>
      <c r="G5" s="246"/>
      <c r="H5" s="247" t="s">
        <v>133</v>
      </c>
      <c r="I5" s="248"/>
      <c r="J5" s="248"/>
      <c r="K5" s="248"/>
      <c r="L5" s="248"/>
      <c r="M5" s="248"/>
      <c r="N5" s="406">
        <v>0</v>
      </c>
      <c r="O5" s="406"/>
      <c r="P5" s="245">
        <f>N5</f>
        <v>0</v>
      </c>
      <c r="Q5" s="231"/>
      <c r="R5" s="231"/>
      <c r="V5" s="230" t="s">
        <v>82</v>
      </c>
      <c r="W5" s="230">
        <v>1700</v>
      </c>
      <c r="X5" s="241">
        <v>4</v>
      </c>
      <c r="Y5" s="242">
        <f>IF($F$8&gt;36,K61,0)</f>
        <v>7500</v>
      </c>
      <c r="Z5" s="234">
        <f t="shared" si="1"/>
        <v>0</v>
      </c>
      <c r="AD5" s="241">
        <v>4</v>
      </c>
      <c r="AE5" s="242">
        <f>IF($F$8&gt;36,N61,0)</f>
        <v>0</v>
      </c>
    </row>
    <row r="6" spans="1:31" x14ac:dyDescent="0.35">
      <c r="A6" s="231"/>
      <c r="B6" s="249" t="s">
        <v>67</v>
      </c>
      <c r="C6" s="236" t="s">
        <v>67</v>
      </c>
      <c r="D6" s="250">
        <f t="shared" si="0"/>
        <v>0.2</v>
      </c>
      <c r="E6" s="238"/>
      <c r="F6" s="251">
        <f>F5/F4</f>
        <v>0.2</v>
      </c>
      <c r="G6" s="252"/>
      <c r="H6" s="183" t="s">
        <v>141</v>
      </c>
      <c r="I6" s="400" t="s">
        <v>66</v>
      </c>
      <c r="J6" s="400"/>
      <c r="K6" s="400"/>
      <c r="L6" s="400"/>
      <c r="M6" s="400"/>
      <c r="N6" s="400"/>
      <c r="O6" s="400"/>
      <c r="P6" s="253"/>
      <c r="Q6" s="232"/>
      <c r="R6" s="232"/>
      <c r="X6" s="241">
        <v>5</v>
      </c>
      <c r="Y6" s="242">
        <f>IF($F$8&gt;48,K73,0)</f>
        <v>7500</v>
      </c>
      <c r="Z6" s="234">
        <f t="shared" si="1"/>
        <v>0</v>
      </c>
      <c r="AD6" s="241">
        <v>5</v>
      </c>
      <c r="AE6" s="242">
        <f>IF($F$8&gt;48,N73,0)</f>
        <v>0</v>
      </c>
    </row>
    <row r="7" spans="1:31" x14ac:dyDescent="0.35">
      <c r="A7" s="231"/>
      <c r="B7" s="239" t="s">
        <v>68</v>
      </c>
      <c r="C7" s="236" t="s">
        <v>68</v>
      </c>
      <c r="D7" s="244">
        <f t="shared" si="0"/>
        <v>2000000</v>
      </c>
      <c r="E7" s="238"/>
      <c r="F7" s="254">
        <f>F4-F5</f>
        <v>2000000</v>
      </c>
      <c r="G7" s="252"/>
      <c r="H7" s="184"/>
      <c r="I7" s="255" t="s">
        <v>553</v>
      </c>
      <c r="J7" s="256"/>
      <c r="K7" s="256"/>
      <c r="L7" s="256"/>
      <c r="M7" s="257" t="s">
        <v>546</v>
      </c>
      <c r="N7" s="397">
        <f>10000</f>
        <v>10000</v>
      </c>
      <c r="O7" s="398"/>
      <c r="P7" s="245">
        <f>N7</f>
        <v>10000</v>
      </c>
      <c r="Q7" s="232"/>
      <c r="R7" s="232"/>
      <c r="W7" s="230">
        <f>F4/W5</f>
        <v>1470.5882352941176</v>
      </c>
      <c r="X7" s="258">
        <v>6</v>
      </c>
      <c r="Y7" s="242">
        <f>IF($F$8&gt;60,K85,0)</f>
        <v>7500</v>
      </c>
      <c r="Z7" s="234">
        <f t="shared" si="1"/>
        <v>0</v>
      </c>
      <c r="AD7" s="258">
        <v>6</v>
      </c>
      <c r="AE7" s="242">
        <f>IF($F$8&gt;60,N85,0)</f>
        <v>0</v>
      </c>
    </row>
    <row r="8" spans="1:31" x14ac:dyDescent="0.35">
      <c r="A8" s="231"/>
      <c r="B8" s="239" t="s">
        <v>69</v>
      </c>
      <c r="C8" s="236" t="s">
        <v>69</v>
      </c>
      <c r="D8" s="259">
        <f>F8</f>
        <v>240</v>
      </c>
      <c r="E8" s="238"/>
      <c r="F8" s="222">
        <v>240</v>
      </c>
      <c r="G8" s="260">
        <f>F8/12</f>
        <v>20</v>
      </c>
      <c r="H8" s="184"/>
      <c r="I8" s="255" t="s">
        <v>146</v>
      </c>
      <c r="J8" s="256"/>
      <c r="K8" s="256"/>
      <c r="L8" s="256"/>
      <c r="M8" s="257" t="s">
        <v>547</v>
      </c>
      <c r="N8" s="307">
        <v>3.0000000000000001E-3</v>
      </c>
      <c r="O8" s="300">
        <f>N8*F4</f>
        <v>7500</v>
      </c>
      <c r="P8" s="245">
        <f>O8</f>
        <v>7500</v>
      </c>
      <c r="Q8" s="232"/>
      <c r="R8" s="232"/>
      <c r="S8" s="230" t="s">
        <v>103</v>
      </c>
      <c r="W8" s="230" t="str">
        <f>IF(W7&lt;165,"3%",IF(W7&gt;290,"5%","4%"))</f>
        <v>5%</v>
      </c>
      <c r="X8" s="241">
        <v>7</v>
      </c>
      <c r="Y8" s="242">
        <f>IF($F$8&gt;72,K97,0)</f>
        <v>7500</v>
      </c>
      <c r="Z8" s="234">
        <f t="shared" si="1"/>
        <v>0</v>
      </c>
      <c r="AD8" s="241">
        <v>7</v>
      </c>
      <c r="AE8" s="242">
        <f>IF($F$8&gt;72,N97,0)</f>
        <v>0</v>
      </c>
    </row>
    <row r="9" spans="1:31" x14ac:dyDescent="0.35">
      <c r="A9" s="231"/>
      <c r="B9" s="239" t="s">
        <v>70</v>
      </c>
      <c r="C9" s="236" t="s">
        <v>550</v>
      </c>
      <c r="D9" s="250">
        <f t="shared" si="0"/>
        <v>0.12859999999999999</v>
      </c>
      <c r="E9" s="238"/>
      <c r="F9" s="251">
        <f>F16+F17</f>
        <v>0.12859999999999999</v>
      </c>
      <c r="G9" s="252"/>
      <c r="H9" s="184"/>
      <c r="I9" s="395" t="s">
        <v>147</v>
      </c>
      <c r="J9" s="396"/>
      <c r="K9" s="396"/>
      <c r="L9" s="396"/>
      <c r="M9" s="396"/>
      <c r="N9" s="401">
        <f>Y22-Z22</f>
        <v>150000</v>
      </c>
      <c r="O9" s="402"/>
      <c r="P9" s="245">
        <f>N9</f>
        <v>150000</v>
      </c>
      <c r="Q9" s="232"/>
      <c r="R9" s="232"/>
      <c r="S9" s="230" t="s">
        <v>102</v>
      </c>
      <c r="T9" s="261"/>
      <c r="X9" s="241">
        <v>8</v>
      </c>
      <c r="Y9" s="242">
        <f>IF($F$8&gt;84,K109,0)</f>
        <v>7500</v>
      </c>
      <c r="Z9" s="234">
        <f t="shared" si="1"/>
        <v>0</v>
      </c>
      <c r="AD9" s="241">
        <v>8</v>
      </c>
      <c r="AE9" s="242">
        <f>IF($F$8&gt;84,N109,0)</f>
        <v>0</v>
      </c>
    </row>
    <row r="10" spans="1:31" ht="17.25" customHeight="1" x14ac:dyDescent="0.35">
      <c r="A10" s="231"/>
      <c r="B10" s="232"/>
      <c r="C10" s="236" t="s">
        <v>551</v>
      </c>
      <c r="D10" s="259"/>
      <c r="E10" s="262"/>
      <c r="F10" s="263">
        <f ca="1">EDATE(F3,F8)-1</f>
        <v>51791</v>
      </c>
      <c r="G10" s="9"/>
      <c r="H10" s="184"/>
      <c r="I10" s="395" t="s">
        <v>148</v>
      </c>
      <c r="J10" s="396"/>
      <c r="K10" s="396"/>
      <c r="L10" s="396"/>
      <c r="M10" s="396"/>
      <c r="N10" s="307">
        <v>0</v>
      </c>
      <c r="O10" s="300">
        <f>N10*F7</f>
        <v>0</v>
      </c>
      <c r="P10" s="245">
        <f>O10</f>
        <v>0</v>
      </c>
      <c r="Q10" s="67"/>
      <c r="R10" s="67"/>
      <c r="S10" s="10"/>
      <c r="X10" s="241">
        <v>9</v>
      </c>
      <c r="Y10" s="242">
        <f>IF($F$8&gt;96,K121,0)</f>
        <v>7500</v>
      </c>
      <c r="Z10" s="234">
        <f t="shared" si="1"/>
        <v>0</v>
      </c>
      <c r="AD10" s="241">
        <v>9</v>
      </c>
      <c r="AE10" s="242">
        <f>IF($F$8&gt;96,N121,0)</f>
        <v>0</v>
      </c>
    </row>
    <row r="11" spans="1:31" ht="18.75" customHeight="1" x14ac:dyDescent="0.35">
      <c r="A11" s="231"/>
      <c r="B11" s="232"/>
      <c r="C11" s="264"/>
      <c r="D11" s="264"/>
      <c r="E11" s="264" t="s">
        <v>545</v>
      </c>
      <c r="F11" s="265">
        <f>-PMT(F9/11.99987,F8,E24)</f>
        <v>23232.527337695603</v>
      </c>
      <c r="G11" s="9"/>
      <c r="H11" s="184"/>
      <c r="I11" s="395" t="s">
        <v>149</v>
      </c>
      <c r="J11" s="396"/>
      <c r="K11" s="396"/>
      <c r="L11" s="396"/>
      <c r="M11" s="396"/>
      <c r="N11" s="397">
        <f>Z22</f>
        <v>0</v>
      </c>
      <c r="O11" s="398"/>
      <c r="P11" s="245">
        <f>N11</f>
        <v>0</v>
      </c>
      <c r="Q11" s="67"/>
      <c r="R11" s="67"/>
      <c r="S11" s="10"/>
      <c r="X11" s="241">
        <v>10</v>
      </c>
      <c r="Y11" s="242">
        <f>IF($F$8&gt;108,K133,0)</f>
        <v>7500</v>
      </c>
      <c r="Z11" s="234">
        <f t="shared" si="1"/>
        <v>0</v>
      </c>
      <c r="AD11" s="241">
        <v>10</v>
      </c>
      <c r="AE11" s="242">
        <f>IF($F$8&gt;108,N133,0)</f>
        <v>0</v>
      </c>
    </row>
    <row r="12" spans="1:31" ht="15.75" customHeight="1" x14ac:dyDescent="0.35">
      <c r="A12" s="231"/>
      <c r="B12" s="232"/>
      <c r="C12" s="264"/>
      <c r="D12" s="264"/>
      <c r="E12" s="264"/>
      <c r="F12" s="264">
        <v>0</v>
      </c>
      <c r="G12" s="11"/>
      <c r="H12" s="184"/>
      <c r="I12" s="255" t="s">
        <v>150</v>
      </c>
      <c r="J12" s="256"/>
      <c r="K12" s="256"/>
      <c r="L12" s="256"/>
      <c r="M12" s="257" t="s">
        <v>546</v>
      </c>
      <c r="N12" s="397">
        <v>2000</v>
      </c>
      <c r="O12" s="398"/>
      <c r="P12" s="245">
        <f>N12</f>
        <v>2000</v>
      </c>
      <c r="Q12" s="68"/>
      <c r="R12" s="68"/>
      <c r="S12" s="12"/>
      <c r="X12" s="241">
        <v>11</v>
      </c>
      <c r="Y12" s="242">
        <f>IF($F$8&gt;120,K145,0)</f>
        <v>7500</v>
      </c>
      <c r="Z12" s="234">
        <f t="shared" si="1"/>
        <v>0</v>
      </c>
      <c r="AD12" s="241">
        <v>11</v>
      </c>
      <c r="AE12" s="242">
        <f>IF($F$8&gt;120,N145,0)</f>
        <v>0</v>
      </c>
    </row>
    <row r="13" spans="1:31" ht="35.5" customHeight="1" x14ac:dyDescent="0.35">
      <c r="A13" s="231"/>
      <c r="B13" s="232"/>
      <c r="C13" s="264"/>
      <c r="D13" s="264"/>
      <c r="E13" s="264"/>
      <c r="F13" s="265">
        <f>F11+F12</f>
        <v>23232.527337695603</v>
      </c>
      <c r="G13" s="11"/>
      <c r="H13" s="184"/>
      <c r="I13" s="414" t="s">
        <v>559</v>
      </c>
      <c r="J13" s="415"/>
      <c r="K13" s="415"/>
      <c r="L13" s="415"/>
      <c r="M13" s="257" t="s">
        <v>546</v>
      </c>
      <c r="N13" s="397">
        <f>F4*1%</f>
        <v>25000</v>
      </c>
      <c r="O13" s="398"/>
      <c r="P13" s="245">
        <f>N13</f>
        <v>25000</v>
      </c>
      <c r="Q13" s="68"/>
      <c r="R13" s="68"/>
      <c r="S13" s="12"/>
      <c r="T13" s="266"/>
      <c r="X13" s="241">
        <v>12</v>
      </c>
      <c r="Y13" s="242">
        <f>IF($F$8&gt;132,K157,0)</f>
        <v>7500</v>
      </c>
      <c r="Z13" s="234">
        <f t="shared" si="1"/>
        <v>0</v>
      </c>
      <c r="AD13" s="241">
        <v>12</v>
      </c>
      <c r="AE13" s="242">
        <f>IF($F$8&gt;132,N157,0)</f>
        <v>0</v>
      </c>
    </row>
    <row r="14" spans="1:31" x14ac:dyDescent="0.35">
      <c r="A14" s="231"/>
      <c r="B14" s="232"/>
      <c r="C14" s="264" t="s">
        <v>176</v>
      </c>
      <c r="D14" s="267">
        <f>F14</f>
        <v>0.12859999999999999</v>
      </c>
      <c r="E14" s="264"/>
      <c r="F14" s="267">
        <f>F9</f>
        <v>0.12859999999999999</v>
      </c>
      <c r="G14" s="11"/>
      <c r="H14" s="407" t="s">
        <v>151</v>
      </c>
      <c r="I14" s="416" t="s">
        <v>564</v>
      </c>
      <c r="J14" s="417"/>
      <c r="K14" s="417"/>
      <c r="L14" s="417"/>
      <c r="M14" s="418"/>
      <c r="N14" s="406">
        <v>0</v>
      </c>
      <c r="O14" s="406"/>
      <c r="P14" s="245">
        <f>N14</f>
        <v>0</v>
      </c>
      <c r="Q14" s="68"/>
      <c r="R14" s="68"/>
      <c r="S14" s="12"/>
      <c r="X14" s="241">
        <v>13</v>
      </c>
      <c r="Y14" s="242">
        <f>IF($F$8&gt;144,K169,0)</f>
        <v>7500</v>
      </c>
      <c r="Z14" s="234">
        <f t="shared" si="1"/>
        <v>0</v>
      </c>
      <c r="AD14" s="241">
        <v>13</v>
      </c>
      <c r="AE14" s="242">
        <f>IF($F$8&gt;144,N169,0)</f>
        <v>0</v>
      </c>
    </row>
    <row r="15" spans="1:31" ht="15" customHeight="1" x14ac:dyDescent="0.35">
      <c r="A15" s="231"/>
      <c r="B15" s="232"/>
      <c r="C15" s="268" t="s">
        <v>107</v>
      </c>
      <c r="D15" s="264"/>
      <c r="E15" s="264"/>
      <c r="F15" s="269">
        <f ca="1">EDATE(F3,60)</f>
        <v>46313</v>
      </c>
      <c r="G15" s="11"/>
      <c r="H15" s="408"/>
      <c r="I15" s="416" t="s">
        <v>564</v>
      </c>
      <c r="J15" s="417"/>
      <c r="K15" s="417"/>
      <c r="L15" s="417"/>
      <c r="M15" s="418"/>
      <c r="N15" s="406">
        <f>AE22</f>
        <v>0</v>
      </c>
      <c r="O15" s="406"/>
      <c r="P15" s="68"/>
      <c r="Q15" s="68"/>
      <c r="R15" s="68"/>
      <c r="S15" s="12"/>
      <c r="X15" s="241">
        <v>14</v>
      </c>
      <c r="Y15" s="242">
        <f>IF($F$8&gt;156,K181,0)</f>
        <v>7500</v>
      </c>
      <c r="Z15" s="234">
        <f t="shared" si="1"/>
        <v>0</v>
      </c>
      <c r="AD15" s="241">
        <v>14</v>
      </c>
      <c r="AE15" s="242">
        <f>IF($F$8&gt;156,N181,0)</f>
        <v>0</v>
      </c>
    </row>
    <row r="16" spans="1:31" ht="27" customHeight="1" x14ac:dyDescent="0.35">
      <c r="A16" s="231"/>
      <c r="B16" s="232"/>
      <c r="C16" s="270" t="s">
        <v>140</v>
      </c>
      <c r="D16" s="250">
        <v>0.1699</v>
      </c>
      <c r="E16" s="238"/>
      <c r="F16" s="298">
        <v>8.3599999999999994E-2</v>
      </c>
      <c r="G16" s="11"/>
      <c r="H16" s="169"/>
      <c r="I16" s="68"/>
      <c r="J16" s="68"/>
      <c r="K16" s="68"/>
      <c r="L16" s="68"/>
      <c r="M16" s="68"/>
      <c r="N16" s="68"/>
      <c r="O16" s="68"/>
      <c r="P16" s="176"/>
      <c r="Q16" s="11"/>
      <c r="R16" s="11"/>
      <c r="S16" s="12"/>
      <c r="X16" s="241">
        <v>15</v>
      </c>
      <c r="Y16" s="242">
        <f>IF($F$8&gt;168,K193,0)</f>
        <v>7500</v>
      </c>
      <c r="Z16" s="234">
        <f t="shared" si="1"/>
        <v>0</v>
      </c>
      <c r="AD16" s="241">
        <v>15</v>
      </c>
      <c r="AE16" s="242">
        <f>IF($F$8&gt;168,N193,0)</f>
        <v>0</v>
      </c>
    </row>
    <row r="17" spans="1:31" x14ac:dyDescent="0.35">
      <c r="A17" s="231"/>
      <c r="B17" s="231"/>
      <c r="C17" s="236" t="s">
        <v>108</v>
      </c>
      <c r="D17" s="238"/>
      <c r="E17" s="238"/>
      <c r="F17" s="251">
        <v>4.4999999999999998E-2</v>
      </c>
      <c r="G17" s="68"/>
      <c r="H17" s="171"/>
      <c r="I17" s="172"/>
      <c r="J17" s="172"/>
      <c r="K17" s="172"/>
      <c r="L17" s="172"/>
      <c r="M17" s="172"/>
      <c r="N17" s="172"/>
      <c r="O17" s="172"/>
      <c r="P17" s="173"/>
      <c r="Q17" s="173"/>
      <c r="R17" s="68"/>
      <c r="S17" s="12"/>
      <c r="X17" s="241">
        <v>16</v>
      </c>
      <c r="Y17" s="242">
        <f>IF($F$8&gt;180,K205,0)</f>
        <v>7500</v>
      </c>
      <c r="Z17" s="234">
        <f t="shared" si="1"/>
        <v>0</v>
      </c>
      <c r="AD17" s="241">
        <v>16</v>
      </c>
      <c r="AE17" s="242">
        <f>IF($F$8&gt;180,N205,0)</f>
        <v>0</v>
      </c>
    </row>
    <row r="18" spans="1:31" hidden="1" x14ac:dyDescent="0.35">
      <c r="A18" s="231"/>
      <c r="B18" s="231"/>
      <c r="C18" s="271" t="s">
        <v>109</v>
      </c>
      <c r="D18" s="267">
        <f>F18</f>
        <v>0.12859999999999999</v>
      </c>
      <c r="E18" s="232"/>
      <c r="F18" s="272">
        <f>F16+F17</f>
        <v>0.12859999999999999</v>
      </c>
      <c r="G18" s="9"/>
      <c r="H18" s="174"/>
      <c r="I18" s="67"/>
      <c r="J18" s="67"/>
      <c r="K18" s="67"/>
      <c r="L18" s="67"/>
      <c r="M18" s="67"/>
      <c r="N18" s="67"/>
      <c r="O18" s="67"/>
      <c r="P18" s="177"/>
      <c r="Q18" s="175"/>
      <c r="R18" s="67"/>
      <c r="S18" s="10"/>
      <c r="X18" s="241">
        <v>17</v>
      </c>
      <c r="Y18" s="242">
        <f>IF($F$8&gt;192,K217,0)</f>
        <v>7500</v>
      </c>
      <c r="Z18" s="234">
        <f t="shared" si="1"/>
        <v>0</v>
      </c>
      <c r="AD18" s="241">
        <v>17</v>
      </c>
      <c r="AE18" s="242">
        <f>IF($F$8&gt;192,N217,0)</f>
        <v>0</v>
      </c>
    </row>
    <row r="19" spans="1:31" hidden="1" x14ac:dyDescent="0.35">
      <c r="A19" s="231"/>
      <c r="B19" s="231"/>
      <c r="C19" s="271"/>
      <c r="D19" s="232"/>
      <c r="E19" s="273">
        <f ca="1">-PMT(F14/12,(F8-60),(F7-(SUM(F25:F48))))</f>
        <v>24505.989307428048</v>
      </c>
      <c r="F19" s="274">
        <f ca="1">-PMT(F18/12,(F8-60),(F7-(SUM(F25:F84))))</f>
        <v>23232.373371318241</v>
      </c>
      <c r="G19" s="11"/>
      <c r="H19" s="169"/>
      <c r="I19" s="68"/>
      <c r="J19" s="68"/>
      <c r="K19" s="68"/>
      <c r="L19" s="68"/>
      <c r="M19" s="68"/>
      <c r="N19" s="68"/>
      <c r="O19" s="68"/>
      <c r="P19" s="176"/>
      <c r="Q19" s="176"/>
      <c r="R19" s="68"/>
      <c r="S19" s="12"/>
      <c r="X19" s="241">
        <v>18</v>
      </c>
      <c r="Y19" s="242">
        <f>IF($F$8&gt;204,K229,0)</f>
        <v>7500</v>
      </c>
      <c r="Z19" s="234">
        <f t="shared" si="1"/>
        <v>0</v>
      </c>
      <c r="AD19" s="241">
        <v>18</v>
      </c>
      <c r="AE19" s="242">
        <f>IF($F$8&gt;204,N229,0)</f>
        <v>0</v>
      </c>
    </row>
    <row r="20" spans="1:31" hidden="1" x14ac:dyDescent="0.35">
      <c r="A20" s="231"/>
      <c r="B20" s="231"/>
      <c r="C20" s="271"/>
      <c r="D20" s="232"/>
      <c r="E20" s="269">
        <f ca="1">EDATE(F3,F8)</f>
        <v>51792</v>
      </c>
      <c r="F20" s="274">
        <v>0</v>
      </c>
      <c r="G20" s="168"/>
      <c r="H20" s="169"/>
      <c r="I20" s="68"/>
      <c r="J20" s="68"/>
      <c r="K20" s="68"/>
      <c r="L20" s="68"/>
      <c r="M20" s="68"/>
      <c r="N20" s="68"/>
      <c r="O20" s="68"/>
      <c r="P20" s="176"/>
      <c r="Q20" s="176"/>
      <c r="R20" s="68"/>
      <c r="S20" s="12"/>
      <c r="X20" s="241">
        <v>19</v>
      </c>
      <c r="Y20" s="242">
        <f>IF($F$8&gt;216,K241,0)</f>
        <v>7500</v>
      </c>
      <c r="Z20" s="234">
        <f t="shared" si="1"/>
        <v>0</v>
      </c>
      <c r="AD20" s="241">
        <v>19</v>
      </c>
      <c r="AE20" s="242">
        <f>IF($F$8&gt;216,N241,0)</f>
        <v>0</v>
      </c>
    </row>
    <row r="21" spans="1:31" hidden="1" x14ac:dyDescent="0.35">
      <c r="A21" s="231"/>
      <c r="B21" s="231"/>
      <c r="C21" s="271"/>
      <c r="D21" s="232"/>
      <c r="E21" s="275" t="s">
        <v>544</v>
      </c>
      <c r="F21" s="276">
        <f ca="1">F19+F20</f>
        <v>23232.373371318241</v>
      </c>
      <c r="G21" s="11"/>
      <c r="H21" s="169"/>
      <c r="I21" s="170"/>
      <c r="J21" s="170"/>
      <c r="K21" s="170"/>
      <c r="L21" s="170"/>
      <c r="M21" s="68"/>
      <c r="N21" s="170"/>
      <c r="O21" s="68"/>
      <c r="P21" s="176"/>
      <c r="Q21" s="176"/>
      <c r="R21" s="68"/>
      <c r="S21" s="12"/>
      <c r="X21" s="241">
        <v>20</v>
      </c>
      <c r="Y21" s="242">
        <f>IF($F$8&gt;228,K253,0)</f>
        <v>7500</v>
      </c>
      <c r="Z21" s="234">
        <f t="shared" si="1"/>
        <v>0</v>
      </c>
      <c r="AD21" s="241">
        <v>20</v>
      </c>
      <c r="AE21" s="242">
        <f>IF($F$8&gt;228,N253,0)</f>
        <v>0</v>
      </c>
    </row>
    <row r="22" spans="1:31" ht="72" x14ac:dyDescent="0.35">
      <c r="A22" s="185" t="s">
        <v>71</v>
      </c>
      <c r="B22" s="192" t="s">
        <v>72</v>
      </c>
      <c r="C22" s="301" t="s">
        <v>72</v>
      </c>
      <c r="D22" s="186" t="s">
        <v>73</v>
      </c>
      <c r="E22" s="301" t="s">
        <v>74</v>
      </c>
      <c r="F22" s="186" t="s">
        <v>75</v>
      </c>
      <c r="G22" s="301" t="s">
        <v>76</v>
      </c>
      <c r="H22" s="191" t="s">
        <v>77</v>
      </c>
      <c r="I22" s="411" t="s">
        <v>141</v>
      </c>
      <c r="J22" s="412"/>
      <c r="K22" s="412"/>
      <c r="L22" s="413"/>
      <c r="M22" s="301" t="s">
        <v>78</v>
      </c>
      <c r="N22" s="409" t="s">
        <v>152</v>
      </c>
      <c r="O22" s="190" t="s">
        <v>120</v>
      </c>
      <c r="P22" s="301" t="s">
        <v>112</v>
      </c>
      <c r="Q22" s="191" t="s">
        <v>113</v>
      </c>
      <c r="R22" s="409" t="s">
        <v>155</v>
      </c>
      <c r="S22" s="12"/>
      <c r="U22" s="277"/>
      <c r="Y22" s="234">
        <f>SUM(Y2:Y21)</f>
        <v>150000</v>
      </c>
      <c r="Z22" s="234">
        <f>SUM(Z2:Z21)</f>
        <v>0</v>
      </c>
      <c r="AE22" s="234">
        <f>SUM(AE2:AE21)</f>
        <v>0</v>
      </c>
    </row>
    <row r="23" spans="1:31" ht="24.5" x14ac:dyDescent="0.35">
      <c r="A23" s="187"/>
      <c r="B23" s="188"/>
      <c r="C23" s="302"/>
      <c r="D23" s="188"/>
      <c r="E23" s="302"/>
      <c r="F23" s="188"/>
      <c r="G23" s="302"/>
      <c r="H23" s="189"/>
      <c r="I23" s="182" t="s">
        <v>142</v>
      </c>
      <c r="J23" s="182" t="s">
        <v>143</v>
      </c>
      <c r="K23" s="182" t="s">
        <v>144</v>
      </c>
      <c r="L23" s="182" t="s">
        <v>145</v>
      </c>
      <c r="M23" s="302"/>
      <c r="N23" s="410"/>
      <c r="O23" s="187"/>
      <c r="P23" s="302"/>
      <c r="Q23" s="189"/>
      <c r="R23" s="410"/>
      <c r="S23" s="12"/>
      <c r="U23" s="278"/>
    </row>
    <row r="24" spans="1:31" ht="12" customHeight="1" x14ac:dyDescent="0.35">
      <c r="A24" s="16"/>
      <c r="B24" s="279">
        <f ca="1">D3</f>
        <v>44487</v>
      </c>
      <c r="C24" s="279">
        <f t="shared" ref="C24:C27" ca="1" si="2">IF(A24&gt;$D$8,"",B24)</f>
        <v>44487</v>
      </c>
      <c r="D24" s="16"/>
      <c r="E24" s="280">
        <f>IF(Q8="кредит",D7+O8,D7)</f>
        <v>2000000</v>
      </c>
      <c r="F24" s="16"/>
      <c r="G24" s="16"/>
      <c r="H24" s="281">
        <f>-E24+I24+J24+K24+L24+M24+N24+O24</f>
        <v>-1945500</v>
      </c>
      <c r="I24" s="282">
        <f>P7</f>
        <v>10000</v>
      </c>
      <c r="J24" s="282">
        <f>P12</f>
        <v>2000</v>
      </c>
      <c r="K24" s="282">
        <f>O8+O10</f>
        <v>7500</v>
      </c>
      <c r="L24" s="282">
        <f>P13</f>
        <v>25000</v>
      </c>
      <c r="M24" s="280">
        <f>P4</f>
        <v>10000</v>
      </c>
      <c r="N24" s="283">
        <f>N14</f>
        <v>0</v>
      </c>
      <c r="O24" s="280">
        <f>P5</f>
        <v>0</v>
      </c>
      <c r="P24" s="17"/>
      <c r="Q24" s="18"/>
      <c r="R24" s="283">
        <f>H24</f>
        <v>-1945500</v>
      </c>
      <c r="S24" s="167"/>
      <c r="T24" s="284">
        <f ca="1">T25</f>
        <v>365</v>
      </c>
    </row>
    <row r="25" spans="1:31" x14ac:dyDescent="0.35">
      <c r="A25" s="285">
        <v>1</v>
      </c>
      <c r="B25" s="286">
        <f ca="1">EDATE($B$24,A25)</f>
        <v>44518</v>
      </c>
      <c r="C25" s="279">
        <f t="shared" ca="1" si="2"/>
        <v>44518</v>
      </c>
      <c r="D25" s="285">
        <f t="shared" ref="D25:D36" ca="1" si="3">B25-B24</f>
        <v>31</v>
      </c>
      <c r="E25" s="280">
        <f t="shared" ref="E25:E36" ca="1" si="4">E24-F25</f>
        <v>1998611.8562239483</v>
      </c>
      <c r="F25" s="287">
        <f ca="1">F13-G25</f>
        <v>1388.1437760517692</v>
      </c>
      <c r="G25" s="280">
        <f ca="1">IF(A24=$D$8,SUM($G24:G$25),IF(A24&gt;$D$8,"",E24*D25*$F$18/T24))</f>
        <v>21844.383561643834</v>
      </c>
      <c r="H25" s="287">
        <f>$F$11+$F$12</f>
        <v>23232.527337695603</v>
      </c>
      <c r="I25" s="287"/>
      <c r="J25" s="287"/>
      <c r="K25" s="287"/>
      <c r="L25" s="287"/>
      <c r="M25" s="285"/>
      <c r="N25" s="288"/>
      <c r="O25" s="285"/>
      <c r="P25" s="289" t="str">
        <f>IF(A24=$D$8,XIRR(H$24:H24,C$24:C24),"")</f>
        <v/>
      </c>
      <c r="Q25" s="285"/>
      <c r="R25" s="283">
        <f>SUM(H25:Q25)</f>
        <v>23232.527337695603</v>
      </c>
      <c r="S25" s="284">
        <f ca="1">IF(C25="","",YEAR(C25))</f>
        <v>2021</v>
      </c>
      <c r="T25" s="284">
        <f ca="1">IF(OR(S25=2024,S25=2028,S25=2016,S25=2020,S25=2024,S25=2028,S25=2032,S25=2036,S25=2040),366,365)</f>
        <v>365</v>
      </c>
    </row>
    <row r="26" spans="1:31" x14ac:dyDescent="0.35">
      <c r="A26" s="285">
        <f>IF(A25&lt;$D$8,A25+1,"")</f>
        <v>2</v>
      </c>
      <c r="B26" s="286">
        <f t="shared" ref="B26:B89" ca="1" si="5">EDATE($B$24,A26)</f>
        <v>44548</v>
      </c>
      <c r="C26" s="279">
        <f t="shared" ca="1" si="2"/>
        <v>44548</v>
      </c>
      <c r="D26" s="285">
        <f t="shared" ca="1" si="3"/>
        <v>30</v>
      </c>
      <c r="E26" s="280">
        <f t="shared" ca="1" si="4"/>
        <v>1996504.3824240938</v>
      </c>
      <c r="F26" s="280">
        <f ca="1">IF(AND(A25="",A27=""),"",IF(A26="",SUM($F$25:F25),IF(A26=$D$8,$E$24-SUM($F$25:F25),$F$13-G26)))</f>
        <v>2107.4737998545279</v>
      </c>
      <c r="G26" s="280">
        <f ca="1">IF(A25=$D$8,SUM($G$25:G25),IF(A25&gt;$D$8,"",E25*D26*$F$18/T25))</f>
        <v>21125.053537841075</v>
      </c>
      <c r="H26" s="280">
        <f ca="1">IF(A25=$D$8,SUM($H$25:H25),IF(A25="","",(G26+F26)))</f>
        <v>23232.527337695603</v>
      </c>
      <c r="I26" s="280"/>
      <c r="J26" s="280"/>
      <c r="K26" s="280"/>
      <c r="L26" s="280"/>
      <c r="M26" s="285"/>
      <c r="N26" s="288"/>
      <c r="O26" s="285"/>
      <c r="P26" s="289" t="str">
        <f>IF(A25=$D$8,XIRR(R$24:R25,C$24:C25),"")</f>
        <v/>
      </c>
      <c r="Q26" s="285"/>
      <c r="R26" s="283">
        <f t="shared" ref="R26:R89" ca="1" si="6">SUM(H26:Q26)</f>
        <v>23232.527337695603</v>
      </c>
      <c r="S26" s="284">
        <f t="shared" ref="S26:S89" ca="1" si="7">IF(C26="","",YEAR(C26))</f>
        <v>2021</v>
      </c>
      <c r="T26" s="284">
        <f t="shared" ref="T26:T89" ca="1" si="8">IF(OR(S26=2024,S26=2028,S26=2016,S26=2020,S26=2024,S26=2028,S26=2032,S26=2036,S26=2040),366,365)</f>
        <v>365</v>
      </c>
    </row>
    <row r="27" spans="1:31" x14ac:dyDescent="0.35">
      <c r="A27" s="285">
        <f t="shared" ref="A27:A90" si="9">IF(A26&lt;$D$8,A26+1,"")</f>
        <v>3</v>
      </c>
      <c r="B27" s="286">
        <f t="shared" ca="1" si="5"/>
        <v>44579</v>
      </c>
      <c r="C27" s="286">
        <f t="shared" ca="1" si="2"/>
        <v>44579</v>
      </c>
      <c r="D27" s="285">
        <f t="shared" ca="1" si="3"/>
        <v>31</v>
      </c>
      <c r="E27" s="280">
        <f t="shared" ca="1" si="4"/>
        <v>1995078.0588424855</v>
      </c>
      <c r="F27" s="280">
        <f ca="1">IF(AND(A26="",A28=""),"",IF(A27="",SUM($F$25:F26),IF(A27=$D$8,$E$24-SUM($F$25:F26),$F$13-G27)))</f>
        <v>1426.323581608227</v>
      </c>
      <c r="G27" s="280">
        <f ca="1">IF(A26=$D$8,SUM($G$25:G26),IF(A26&gt;$D$8,"",E26*D27*$F$18/T26))</f>
        <v>21806.203756087376</v>
      </c>
      <c r="H27" s="280">
        <f ca="1">IF(A26=$D$8,SUM($H$25:H26),IF(A26="","",(G27+F27)))</f>
        <v>23232.527337695603</v>
      </c>
      <c r="I27" s="280"/>
      <c r="J27" s="280"/>
      <c r="K27" s="280"/>
      <c r="L27" s="280"/>
      <c r="M27" s="285"/>
      <c r="N27" s="288"/>
      <c r="O27" s="285"/>
      <c r="P27" s="289" t="str">
        <f>IF(A26=$D$8,XIRR(R$24:R26,C$24:C26),"")</f>
        <v/>
      </c>
      <c r="Q27" s="280" t="str">
        <f>IF(A26=$D$8,G27+M27+F27+I27+J27+K27+L27+N27+O27,"")</f>
        <v/>
      </c>
      <c r="R27" s="283">
        <f t="shared" ca="1" si="6"/>
        <v>23232.527337695603</v>
      </c>
      <c r="S27" s="284">
        <f t="shared" ca="1" si="7"/>
        <v>2022</v>
      </c>
      <c r="T27" s="284">
        <f t="shared" ca="1" si="8"/>
        <v>365</v>
      </c>
    </row>
    <row r="28" spans="1:31" x14ac:dyDescent="0.35">
      <c r="A28" s="285">
        <f t="shared" si="9"/>
        <v>4</v>
      </c>
      <c r="B28" s="286">
        <f t="shared" ca="1" si="5"/>
        <v>44610</v>
      </c>
      <c r="C28" s="286">
        <f ca="1">IF(B28&gt;$E$20,"",IF(B28=$E$20,B28-1,B28))</f>
        <v>44610</v>
      </c>
      <c r="D28" s="285">
        <f t="shared" ca="1" si="3"/>
        <v>31</v>
      </c>
      <c r="E28" s="280">
        <f t="shared" ca="1" si="4"/>
        <v>1993636.1566811774</v>
      </c>
      <c r="F28" s="280">
        <f ca="1">IF(AND(A27="",A29=""),"",IF(A28="",SUM($F$25:F27),IF(A28=$D$8,$E$24-SUM($F$25:F27),$F$13-G28)))</f>
        <v>1441.9021613080622</v>
      </c>
      <c r="G28" s="280">
        <f ca="1">IF(A27=$D$8,SUM($G$25:G27),IF(A27&gt;$D$8,"",E27*D28*$F$18/T27))</f>
        <v>21790.625176387541</v>
      </c>
      <c r="H28" s="280">
        <f ca="1">IF(A27=$D$8,SUM($H$25:H27),IF(A27="","",(G28+F28)))</f>
        <v>23232.527337695603</v>
      </c>
      <c r="I28" s="280"/>
      <c r="J28" s="280"/>
      <c r="K28" s="280"/>
      <c r="L28" s="280"/>
      <c r="M28" s="285"/>
      <c r="N28" s="283"/>
      <c r="O28" s="285"/>
      <c r="P28" s="289" t="str">
        <f>IF(A27=$D$8,XIRR(R$24:R27,C$24:C27),"")</f>
        <v/>
      </c>
      <c r="Q28" s="280" t="str">
        <f t="shared" ref="Q28:Q91" si="10">IF(A27=$D$8,G28+M28+F28+I28+J28+K28+L28+N28+O28,"")</f>
        <v/>
      </c>
      <c r="R28" s="283">
        <f t="shared" ca="1" si="6"/>
        <v>23232.527337695603</v>
      </c>
      <c r="S28" s="284">
        <f t="shared" ca="1" si="7"/>
        <v>2022</v>
      </c>
      <c r="T28" s="284">
        <f t="shared" ca="1" si="8"/>
        <v>365</v>
      </c>
    </row>
    <row r="29" spans="1:31" x14ac:dyDescent="0.35">
      <c r="A29" s="285">
        <f t="shared" si="9"/>
        <v>5</v>
      </c>
      <c r="B29" s="286">
        <f t="shared" ca="1" si="5"/>
        <v>44638</v>
      </c>
      <c r="C29" s="286">
        <f t="shared" ref="C29:C92" ca="1" si="11">IF(B29&gt;$E$20,"",IF(B29=$E$20,B29-1,B29))</f>
        <v>44638</v>
      </c>
      <c r="D29" s="285">
        <f t="shared" ca="1" si="3"/>
        <v>28</v>
      </c>
      <c r="E29" s="280">
        <f t="shared" ca="1" si="4"/>
        <v>1990071.2596804067</v>
      </c>
      <c r="F29" s="280">
        <f ca="1">IF(AND(A28="",A30=""),"",IF(A29="",SUM($F$25:F28),IF(A29=$D$8,$E$24-SUM($F$25:F28),$F$13-G29)))</f>
        <v>3564.8970007707176</v>
      </c>
      <c r="G29" s="280">
        <f ca="1">IF(A28=$D$8,SUM($G$25:G28),IF(A28&gt;$D$8,"",E28*D29*$F$18/T28))</f>
        <v>19667.630336924885</v>
      </c>
      <c r="H29" s="280">
        <f ca="1">IF(A28=$D$8,SUM($H$25:H28),IF(A28="","",(G29+F29)))</f>
        <v>23232.527337695603</v>
      </c>
      <c r="I29" s="280" t="str">
        <f>IF(A29="",$I$24,"")</f>
        <v/>
      </c>
      <c r="J29" s="280" t="str">
        <f>IF(A29="",$J$24,"")</f>
        <v/>
      </c>
      <c r="K29" s="280"/>
      <c r="L29" s="280" t="str">
        <f>IF(A29="",$L$29,"")</f>
        <v/>
      </c>
      <c r="M29" s="280" t="str">
        <f>IF(A29="",$M$24,"")</f>
        <v/>
      </c>
      <c r="N29" s="283" t="str">
        <f>IF(A28=$D$8,$N$24,"")</f>
        <v/>
      </c>
      <c r="O29" s="280"/>
      <c r="P29" s="289" t="str">
        <f>IF(A28=$D$8,XIRR(R$24:R28,C$24:C28),"")</f>
        <v/>
      </c>
      <c r="Q29" s="280" t="str">
        <f t="shared" si="10"/>
        <v/>
      </c>
      <c r="R29" s="283">
        <f t="shared" ca="1" si="6"/>
        <v>23232.527337695603</v>
      </c>
      <c r="S29" s="284">
        <f t="shared" ca="1" si="7"/>
        <v>2022</v>
      </c>
      <c r="T29" s="284">
        <f t="shared" ca="1" si="8"/>
        <v>365</v>
      </c>
    </row>
    <row r="30" spans="1:31" x14ac:dyDescent="0.35">
      <c r="A30" s="285">
        <f t="shared" si="9"/>
        <v>6</v>
      </c>
      <c r="B30" s="286">
        <f t="shared" ca="1" si="5"/>
        <v>44669</v>
      </c>
      <c r="C30" s="286">
        <f t="shared" ca="1" si="11"/>
        <v>44669</v>
      </c>
      <c r="D30" s="285">
        <f t="shared" ca="1" si="3"/>
        <v>31</v>
      </c>
      <c r="E30" s="280">
        <f t="shared" ca="1" si="4"/>
        <v>1988574.6722984423</v>
      </c>
      <c r="F30" s="280">
        <f ca="1">IF(AND(A29="",A31=""),"",IF(A30="",SUM($F$25:F29),IF(A30=$D$8,$E$24-SUM($F$25:F29),$F$13-G30)))</f>
        <v>1496.5873819643457</v>
      </c>
      <c r="G30" s="280">
        <f ca="1">IF(A29=$D$8,SUM($G$25:G29),IF(A29&gt;$D$8,"",E29*D30*$F$18/T29))</f>
        <v>21735.939955731257</v>
      </c>
      <c r="H30" s="280">
        <f ca="1">IF(A29=$D$8,SUM($H$25:H29),IF(A29="","",(G30+F30)))</f>
        <v>23232.527337695603</v>
      </c>
      <c r="I30" s="280" t="str">
        <f t="shared" ref="I30:I37" si="12">IF(A30="",$I$24,"")</f>
        <v/>
      </c>
      <c r="J30" s="280" t="str">
        <f t="shared" ref="J30:J37" si="13">IF(A30="",$J$24,"")</f>
        <v/>
      </c>
      <c r="K30" s="280"/>
      <c r="L30" s="280" t="str">
        <f>IF(A30="",$L$24,"")</f>
        <v/>
      </c>
      <c r="M30" s="280" t="str">
        <f t="shared" ref="M30:M37" si="14">IF(A30="",$M$24,"")</f>
        <v/>
      </c>
      <c r="N30" s="283" t="str">
        <f t="shared" ref="N30:N93" si="15">IF(A29=$D$8,$N$24,"")</f>
        <v/>
      </c>
      <c r="O30" s="280"/>
      <c r="P30" s="289" t="str">
        <f>IF(A29=$D$8,XIRR(R$24:R29,C$24:C29),"")</f>
        <v/>
      </c>
      <c r="Q30" s="280" t="str">
        <f t="shared" si="10"/>
        <v/>
      </c>
      <c r="R30" s="283">
        <f t="shared" ca="1" si="6"/>
        <v>23232.527337695603</v>
      </c>
      <c r="S30" s="284">
        <f t="shared" ca="1" si="7"/>
        <v>2022</v>
      </c>
      <c r="T30" s="284">
        <f t="shared" ca="1" si="8"/>
        <v>365</v>
      </c>
    </row>
    <row r="31" spans="1:31" x14ac:dyDescent="0.35">
      <c r="A31" s="285">
        <f t="shared" si="9"/>
        <v>7</v>
      </c>
      <c r="B31" s="286">
        <f t="shared" ca="1" si="5"/>
        <v>44699</v>
      </c>
      <c r="C31" s="286">
        <f t="shared" ca="1" si="11"/>
        <v>44699</v>
      </c>
      <c r="D31" s="285">
        <f t="shared" ca="1" si="3"/>
        <v>30</v>
      </c>
      <c r="E31" s="280">
        <f t="shared" ca="1" si="4"/>
        <v>1986361.1068394519</v>
      </c>
      <c r="F31" s="280">
        <f ca="1">IF(AND(A30="",A32=""),"",IF(A31="",SUM($F$25:F30),IF(A31=$D$8,$E$24-SUM($F$25:F30),$F$13-G31)))</f>
        <v>2213.5654589904261</v>
      </c>
      <c r="G31" s="280">
        <f ca="1">IF(A30=$D$8,SUM($G$25:G30),IF(A30&gt;$D$8,"",E30*D31*$F$18/T30))</f>
        <v>21018.961878705177</v>
      </c>
      <c r="H31" s="280">
        <f ca="1">IF(A30=$D$8,SUM($H$25:H30),IF(A30="","",(G31+F31)))</f>
        <v>23232.527337695603</v>
      </c>
      <c r="I31" s="280" t="str">
        <f t="shared" si="12"/>
        <v/>
      </c>
      <c r="J31" s="280" t="str">
        <f t="shared" si="13"/>
        <v/>
      </c>
      <c r="K31" s="280"/>
      <c r="L31" s="280" t="str">
        <f t="shared" ref="L31:L37" si="16">IF(A31="",$L$24,"")</f>
        <v/>
      </c>
      <c r="M31" s="280" t="str">
        <f t="shared" si="14"/>
        <v/>
      </c>
      <c r="N31" s="283" t="str">
        <f t="shared" si="15"/>
        <v/>
      </c>
      <c r="O31" s="280"/>
      <c r="P31" s="289" t="str">
        <f>IF(A30=$D$8,XIRR(R$24:R30,C$24:C30),"")</f>
        <v/>
      </c>
      <c r="Q31" s="280" t="str">
        <f t="shared" si="10"/>
        <v/>
      </c>
      <c r="R31" s="283">
        <f t="shared" ca="1" si="6"/>
        <v>23232.527337695603</v>
      </c>
      <c r="S31" s="284">
        <f t="shared" ca="1" si="7"/>
        <v>2022</v>
      </c>
      <c r="T31" s="284">
        <f t="shared" ca="1" si="8"/>
        <v>365</v>
      </c>
    </row>
    <row r="32" spans="1:31" x14ac:dyDescent="0.35">
      <c r="A32" s="285">
        <f t="shared" si="9"/>
        <v>8</v>
      </c>
      <c r="B32" s="286">
        <f t="shared" ca="1" si="5"/>
        <v>44730</v>
      </c>
      <c r="C32" s="286">
        <f t="shared" ca="1" si="11"/>
        <v>44730</v>
      </c>
      <c r="D32" s="285">
        <f t="shared" ca="1" si="3"/>
        <v>31</v>
      </c>
      <c r="E32" s="280">
        <f t="shared" ca="1" si="4"/>
        <v>1984823.9964566226</v>
      </c>
      <c r="F32" s="280">
        <f ca="1">IF(AND(A31="",A33=""),"",IF(A32="",SUM($F$25:F31),IF(A32=$D$8,$E$24-SUM($F$25:F31),$F$13-G32)))</f>
        <v>1537.1103828294144</v>
      </c>
      <c r="G32" s="280">
        <f ca="1">IF(A31=$D$8,SUM($G$25:G31),IF(A31&gt;$D$8,"",E31*D32*$F$18/T31))</f>
        <v>21695.416954866188</v>
      </c>
      <c r="H32" s="280">
        <f ca="1">IF(A31=$D$8,SUM($H$25:H31),IF(A31="","",(G32+F32)))</f>
        <v>23232.527337695603</v>
      </c>
      <c r="I32" s="280" t="str">
        <f t="shared" si="12"/>
        <v/>
      </c>
      <c r="J32" s="280" t="str">
        <f t="shared" si="13"/>
        <v/>
      </c>
      <c r="K32" s="280"/>
      <c r="L32" s="280" t="str">
        <f t="shared" si="16"/>
        <v/>
      </c>
      <c r="M32" s="280" t="str">
        <f t="shared" si="14"/>
        <v/>
      </c>
      <c r="N32" s="283" t="str">
        <f t="shared" si="15"/>
        <v/>
      </c>
      <c r="O32" s="280"/>
      <c r="P32" s="289" t="str">
        <f>IF(A31=$D$8,XIRR(R$24:R31,C$24:C31),"")</f>
        <v/>
      </c>
      <c r="Q32" s="280" t="str">
        <f t="shared" si="10"/>
        <v/>
      </c>
      <c r="R32" s="283">
        <f t="shared" ca="1" si="6"/>
        <v>23232.527337695603</v>
      </c>
      <c r="S32" s="284">
        <f t="shared" ca="1" si="7"/>
        <v>2022</v>
      </c>
      <c r="T32" s="284">
        <f t="shared" ca="1" si="8"/>
        <v>365</v>
      </c>
    </row>
    <row r="33" spans="1:20" x14ac:dyDescent="0.35">
      <c r="A33" s="285">
        <f t="shared" si="9"/>
        <v>9</v>
      </c>
      <c r="B33" s="286">
        <f t="shared" ca="1" si="5"/>
        <v>44760</v>
      </c>
      <c r="C33" s="286">
        <f t="shared" ca="1" si="11"/>
        <v>44760</v>
      </c>
      <c r="D33" s="285">
        <f t="shared" ca="1" si="3"/>
        <v>30</v>
      </c>
      <c r="E33" s="280">
        <f t="shared" ca="1" si="4"/>
        <v>1982570.7868677753</v>
      </c>
      <c r="F33" s="280">
        <f ca="1">IF(AND(A32="",A34=""),"",IF(A33="",SUM($F$25:F32),IF(A33=$D$8,$E$24-SUM($F$25:F32),$F$13-G33)))</f>
        <v>2253.2095888472504</v>
      </c>
      <c r="G33" s="280">
        <f ca="1">IF(A32=$D$8,SUM($G$25:G32),IF(A32&gt;$D$8,"",E32*D33*$F$18/T32))</f>
        <v>20979.317748848352</v>
      </c>
      <c r="H33" s="280">
        <f ca="1">IF(A32=$D$8,SUM($H$25:H32),IF(A32="","",(G33+F33)))</f>
        <v>23232.527337695603</v>
      </c>
      <c r="I33" s="280" t="str">
        <f t="shared" si="12"/>
        <v/>
      </c>
      <c r="J33" s="280" t="str">
        <f t="shared" si="13"/>
        <v/>
      </c>
      <c r="K33" s="280"/>
      <c r="L33" s="280" t="str">
        <f t="shared" si="16"/>
        <v/>
      </c>
      <c r="M33" s="280" t="str">
        <f t="shared" si="14"/>
        <v/>
      </c>
      <c r="N33" s="283" t="str">
        <f t="shared" si="15"/>
        <v/>
      </c>
      <c r="O33" s="280"/>
      <c r="P33" s="289" t="str">
        <f>IF(A32=$D$8,XIRR(R$24:R32,C$24:C32),"")</f>
        <v/>
      </c>
      <c r="Q33" s="280" t="str">
        <f t="shared" si="10"/>
        <v/>
      </c>
      <c r="R33" s="283">
        <f t="shared" ca="1" si="6"/>
        <v>23232.527337695603</v>
      </c>
      <c r="S33" s="284">
        <f t="shared" ca="1" si="7"/>
        <v>2022</v>
      </c>
      <c r="T33" s="284">
        <f t="shared" ca="1" si="8"/>
        <v>365</v>
      </c>
    </row>
    <row r="34" spans="1:20" x14ac:dyDescent="0.35">
      <c r="A34" s="285">
        <f t="shared" si="9"/>
        <v>10</v>
      </c>
      <c r="B34" s="286">
        <f t="shared" ca="1" si="5"/>
        <v>44791</v>
      </c>
      <c r="C34" s="286">
        <f t="shared" ca="1" si="11"/>
        <v>44791</v>
      </c>
      <c r="D34" s="285">
        <f t="shared" ca="1" si="3"/>
        <v>31</v>
      </c>
      <c r="E34" s="280">
        <f t="shared" ca="1" si="4"/>
        <v>1980992.2778833045</v>
      </c>
      <c r="F34" s="280">
        <f ca="1">IF(AND(A33="",A35=""),"",IF(A34="",SUM($F$25:F33),IF(A34=$D$8,$E$24-SUM($F$25:F33),$F$13-G34)))</f>
        <v>1578.5089844707472</v>
      </c>
      <c r="G34" s="280">
        <f ca="1">IF(A33=$D$8,SUM($G$25:G33),IF(A33&gt;$D$8,"",E33*D34*$F$18/T33))</f>
        <v>21654.018353224856</v>
      </c>
      <c r="H34" s="280">
        <f ca="1">IF(A33=$D$8,SUM($H$25:H33),IF(A33="","",(G34+F34)))</f>
        <v>23232.527337695603</v>
      </c>
      <c r="I34" s="280" t="str">
        <f t="shared" si="12"/>
        <v/>
      </c>
      <c r="J34" s="280" t="str">
        <f t="shared" si="13"/>
        <v/>
      </c>
      <c r="K34" s="280"/>
      <c r="L34" s="280" t="str">
        <f t="shared" si="16"/>
        <v/>
      </c>
      <c r="M34" s="280" t="str">
        <f t="shared" si="14"/>
        <v/>
      </c>
      <c r="N34" s="283" t="str">
        <f t="shared" si="15"/>
        <v/>
      </c>
      <c r="O34" s="280"/>
      <c r="P34" s="289" t="str">
        <f>IF(A33=$D$8,XIRR(R$24:R33,C$24:C33),"")</f>
        <v/>
      </c>
      <c r="Q34" s="280" t="str">
        <f t="shared" si="10"/>
        <v/>
      </c>
      <c r="R34" s="283">
        <f t="shared" ca="1" si="6"/>
        <v>23232.527337695603</v>
      </c>
      <c r="S34" s="284">
        <f t="shared" ca="1" si="7"/>
        <v>2022</v>
      </c>
      <c r="T34" s="284">
        <f t="shared" ca="1" si="8"/>
        <v>365</v>
      </c>
    </row>
    <row r="35" spans="1:20" x14ac:dyDescent="0.35">
      <c r="A35" s="285">
        <f t="shared" si="9"/>
        <v>11</v>
      </c>
      <c r="B35" s="286">
        <f t="shared" ca="1" si="5"/>
        <v>44822</v>
      </c>
      <c r="C35" s="286">
        <f t="shared" ca="1" si="11"/>
        <v>44822</v>
      </c>
      <c r="D35" s="285">
        <f t="shared" ca="1" si="3"/>
        <v>31</v>
      </c>
      <c r="E35" s="280">
        <f t="shared" ca="1" si="4"/>
        <v>1979396.5281209776</v>
      </c>
      <c r="F35" s="280">
        <f ca="1">IF(AND(A34="",A36=""),"",IF(A35="",SUM($F$25:F34),IF(A35=$D$8,$E$24-SUM($F$25:F34),$F$13-G35)))</f>
        <v>1595.7497623268864</v>
      </c>
      <c r="G35" s="280">
        <f ca="1">IF(A34=$D$8,SUM($G$25:G34),IF(A34&gt;$D$8,"",E34*D35*$F$18/T34))</f>
        <v>21636.777575368716</v>
      </c>
      <c r="H35" s="280">
        <f ca="1">IF(A34=$D$8,SUM($H$25:H34),IF(A34="","",(G35+F35)))</f>
        <v>23232.527337695603</v>
      </c>
      <c r="I35" s="280" t="str">
        <f t="shared" si="12"/>
        <v/>
      </c>
      <c r="J35" s="280" t="str">
        <f t="shared" si="13"/>
        <v/>
      </c>
      <c r="K35" s="280"/>
      <c r="L35" s="280" t="str">
        <f t="shared" si="16"/>
        <v/>
      </c>
      <c r="M35" s="280" t="str">
        <f t="shared" si="14"/>
        <v/>
      </c>
      <c r="N35" s="283" t="str">
        <f t="shared" si="15"/>
        <v/>
      </c>
      <c r="O35" s="280"/>
      <c r="P35" s="289" t="str">
        <f>IF(A34=$D$8,XIRR(R$24:R34,C$24:C34),"")</f>
        <v/>
      </c>
      <c r="Q35" s="280" t="str">
        <f t="shared" si="10"/>
        <v/>
      </c>
      <c r="R35" s="283">
        <f t="shared" ca="1" si="6"/>
        <v>23232.527337695603</v>
      </c>
      <c r="S35" s="284">
        <f t="shared" ca="1" si="7"/>
        <v>2022</v>
      </c>
      <c r="T35" s="284">
        <f t="shared" ca="1" si="8"/>
        <v>365</v>
      </c>
    </row>
    <row r="36" spans="1:20" x14ac:dyDescent="0.35">
      <c r="A36" s="285">
        <f t="shared" si="9"/>
        <v>12</v>
      </c>
      <c r="B36" s="286">
        <f t="shared" ca="1" si="5"/>
        <v>44852</v>
      </c>
      <c r="C36" s="286">
        <f t="shared" ca="1" si="11"/>
        <v>44852</v>
      </c>
      <c r="D36" s="285">
        <f t="shared" ca="1" si="3"/>
        <v>30</v>
      </c>
      <c r="E36" s="280">
        <f t="shared" ca="1" si="4"/>
        <v>1977085.9509353114</v>
      </c>
      <c r="F36" s="280">
        <f ca="1">IF(AND(A35="",A37=""),"",IF(A36="",SUM($F$25:F35),IF(A36=$D$8,$E$24-SUM($F$25:F35),$F$13-G36)))</f>
        <v>2310.5771856662031</v>
      </c>
      <c r="G36" s="280">
        <f ca="1">IF(A35=$D$8,SUM($G$25:G35),IF(A35&gt;$D$8,"",E35*D36*$F$18/T35))</f>
        <v>20921.9501520294</v>
      </c>
      <c r="H36" s="280">
        <f ca="1">IF(A35=$D$8,SUM($H$25:H35),IF(A35="","",(G36+F36)))</f>
        <v>23232.527337695603</v>
      </c>
      <c r="I36" s="280" t="str">
        <f t="shared" si="12"/>
        <v/>
      </c>
      <c r="J36" s="280" t="str">
        <f t="shared" si="13"/>
        <v/>
      </c>
      <c r="K36" s="280"/>
      <c r="L36" s="280" t="str">
        <f t="shared" si="16"/>
        <v/>
      </c>
      <c r="M36" s="280" t="str">
        <f t="shared" si="14"/>
        <v/>
      </c>
      <c r="N36" s="283" t="str">
        <f t="shared" si="15"/>
        <v/>
      </c>
      <c r="O36" s="280"/>
      <c r="P36" s="289" t="str">
        <f>IF(A35=$D$8,XIRR(R$24:R35,C$24:C35),"")</f>
        <v/>
      </c>
      <c r="Q36" s="280" t="str">
        <f t="shared" si="10"/>
        <v/>
      </c>
      <c r="R36" s="283">
        <f t="shared" ca="1" si="6"/>
        <v>23232.527337695603</v>
      </c>
      <c r="S36" s="284">
        <f t="shared" ca="1" si="7"/>
        <v>2022</v>
      </c>
      <c r="T36" s="284">
        <f t="shared" ca="1" si="8"/>
        <v>365</v>
      </c>
    </row>
    <row r="37" spans="1:20" x14ac:dyDescent="0.35">
      <c r="A37" s="285">
        <f t="shared" si="9"/>
        <v>13</v>
      </c>
      <c r="B37" s="286">
        <f t="shared" ca="1" si="5"/>
        <v>44883</v>
      </c>
      <c r="C37" s="286">
        <f t="shared" ca="1" si="11"/>
        <v>44883</v>
      </c>
      <c r="D37" s="285">
        <f ca="1">IF(A37&gt;$D$8,"",C37-C36)</f>
        <v>31</v>
      </c>
      <c r="E37" s="280">
        <f t="shared" ref="E37:E68" ca="1" si="17">IF(A37&gt;$D$8,"",E36-F37)</f>
        <v>1975447.5355208998</v>
      </c>
      <c r="F37" s="280">
        <f ca="1">IF(AND(A36="",A38=""),"",IF(A37="",SUM($F$25:F36),IF(A37=$D$8,$E$24-SUM($F$25:F36),$F$13-G37)))</f>
        <v>1638.4154144114618</v>
      </c>
      <c r="G37" s="280">
        <f ca="1">IF(A36=$D$8,SUM($G$25:G36),IF(A36&gt;$D$8,"",E36*D37*$F$18/T36))</f>
        <v>21594.111923284141</v>
      </c>
      <c r="H37" s="280">
        <f ca="1">IF(A36=$D$8,SUM($H$25:H36),IF(A36="","",(G37+F37)))</f>
        <v>23232.527337695603</v>
      </c>
      <c r="I37" s="280" t="str">
        <f t="shared" si="12"/>
        <v/>
      </c>
      <c r="J37" s="280" t="str">
        <f t="shared" si="13"/>
        <v/>
      </c>
      <c r="K37" s="280">
        <f>IF(F8&gt;12,(O8+O10),IF($A$36=$F$8,K24,""))</f>
        <v>7500</v>
      </c>
      <c r="L37" s="280" t="str">
        <f t="shared" si="16"/>
        <v/>
      </c>
      <c r="M37" s="280" t="str">
        <f t="shared" si="14"/>
        <v/>
      </c>
      <c r="N37" s="280">
        <f>IF($F$8&gt;12,($N$14),IF($A$36=$F$8,N24,""))</f>
        <v>0</v>
      </c>
      <c r="O37" s="280"/>
      <c r="P37" s="289" t="str">
        <f>IF(A36=$D$8,XIRR(R$24:R36,C$24:C36),"")</f>
        <v/>
      </c>
      <c r="Q37" s="280" t="str">
        <f t="shared" si="10"/>
        <v/>
      </c>
      <c r="R37" s="283">
        <f t="shared" ca="1" si="6"/>
        <v>30732.527337695603</v>
      </c>
      <c r="S37" s="284">
        <f t="shared" ca="1" si="7"/>
        <v>2022</v>
      </c>
      <c r="T37" s="284">
        <f t="shared" ca="1" si="8"/>
        <v>365</v>
      </c>
    </row>
    <row r="38" spans="1:20" x14ac:dyDescent="0.35">
      <c r="A38" s="285">
        <f t="shared" si="9"/>
        <v>14</v>
      </c>
      <c r="B38" s="286">
        <f t="shared" ca="1" si="5"/>
        <v>44913</v>
      </c>
      <c r="C38" s="286">
        <f t="shared" ca="1" si="11"/>
        <v>44913</v>
      </c>
      <c r="D38" s="285">
        <f t="shared" ref="D38:D101" ca="1" si="18">IF(A38&gt;$D$8,"",C38-C37)</f>
        <v>30</v>
      </c>
      <c r="E38" s="280">
        <f t="shared" ca="1" si="17"/>
        <v>1973095.2180244087</v>
      </c>
      <c r="F38" s="280">
        <f ca="1">IF(AND(A37="",A39=""),"",IF(A38="",SUM($F$25:F37),IF(A38=$D$8,$E$24-SUM($F$25:F37),$F$13-G38)))</f>
        <v>2352.3174964911341</v>
      </c>
      <c r="G38" s="280">
        <f ca="1">IF(A37=$D$8,SUM($G$25:G37),IF(A37&gt;$D$8,"",E37*D38*$F$18/T37))</f>
        <v>20880.209841204469</v>
      </c>
      <c r="H38" s="280">
        <f ca="1">IF(A37=$D$8,SUM($H$25:H37),IF(A37="","",(G38+F38)))</f>
        <v>23232.527337695603</v>
      </c>
      <c r="I38" s="280" t="str">
        <f t="shared" ref="I38:I101" si="19">IF(A37=$F$8,$I$24,"")</f>
        <v/>
      </c>
      <c r="J38" s="280" t="str">
        <f t="shared" ref="J38:J101" si="20">IF(A37=$F$8,$J$24,"")</f>
        <v/>
      </c>
      <c r="K38" s="280"/>
      <c r="L38" s="280" t="str">
        <f t="shared" ref="L38:L101" si="21">IF(A37=$F$8,$L$24,"")</f>
        <v/>
      </c>
      <c r="M38" s="280" t="str">
        <f t="shared" ref="M38:M101" si="22">IF(A37=$F$8,$M$24,"")</f>
        <v/>
      </c>
      <c r="N38" s="283" t="str">
        <f t="shared" si="15"/>
        <v/>
      </c>
      <c r="O38" s="280"/>
      <c r="P38" s="289" t="str">
        <f>IF(A37=$D$8,XIRR(R$24:R37,C$24:C37),"")</f>
        <v/>
      </c>
      <c r="Q38" s="280" t="str">
        <f t="shared" si="10"/>
        <v/>
      </c>
      <c r="R38" s="283">
        <f t="shared" ca="1" si="6"/>
        <v>23232.527337695603</v>
      </c>
      <c r="S38" s="284">
        <f t="shared" ca="1" si="7"/>
        <v>2022</v>
      </c>
      <c r="T38" s="284">
        <f t="shared" ca="1" si="8"/>
        <v>365</v>
      </c>
    </row>
    <row r="39" spans="1:20" x14ac:dyDescent="0.35">
      <c r="A39" s="285">
        <f t="shared" si="9"/>
        <v>15</v>
      </c>
      <c r="B39" s="286">
        <f t="shared" ca="1" si="5"/>
        <v>44944</v>
      </c>
      <c r="C39" s="286">
        <f t="shared" ca="1" si="11"/>
        <v>44944</v>
      </c>
      <c r="D39" s="285">
        <f t="shared" ca="1" si="18"/>
        <v>31</v>
      </c>
      <c r="E39" s="280">
        <f t="shared" ca="1" si="17"/>
        <v>1971413.2150597982</v>
      </c>
      <c r="F39" s="280">
        <f ca="1">IF(AND(A38="",A40=""),"",IF(A39="",SUM($F$25:F38),IF(A39=$D$8,$E$24-SUM($F$25:F38),$F$13-G39)))</f>
        <v>1682.0029646103794</v>
      </c>
      <c r="G39" s="280">
        <f ca="1">IF(A38=$D$8,SUM($G$25:G38),IF(A38&gt;$D$8,"",E38*D39*$F$18/T38))</f>
        <v>21550.524373085223</v>
      </c>
      <c r="H39" s="280">
        <f ca="1">IF(A38=$D$8,SUM($H$25:H38),IF(A38="","",(G39+F39)))</f>
        <v>23232.527337695603</v>
      </c>
      <c r="I39" s="280" t="str">
        <f t="shared" si="19"/>
        <v/>
      </c>
      <c r="J39" s="280" t="str">
        <f t="shared" si="20"/>
        <v/>
      </c>
      <c r="K39" s="280"/>
      <c r="L39" s="280" t="str">
        <f t="shared" si="21"/>
        <v/>
      </c>
      <c r="M39" s="280" t="str">
        <f t="shared" si="22"/>
        <v/>
      </c>
      <c r="N39" s="283" t="str">
        <f t="shared" si="15"/>
        <v/>
      </c>
      <c r="O39" s="280"/>
      <c r="P39" s="289" t="str">
        <f>IF(A38=$D$8,XIRR(R$24:R38,C$24:C38),"")</f>
        <v/>
      </c>
      <c r="Q39" s="280" t="str">
        <f t="shared" si="10"/>
        <v/>
      </c>
      <c r="R39" s="283">
        <f t="shared" ca="1" si="6"/>
        <v>23232.527337695603</v>
      </c>
      <c r="S39" s="284">
        <f t="shared" ca="1" si="7"/>
        <v>2023</v>
      </c>
      <c r="T39" s="284">
        <f t="shared" ca="1" si="8"/>
        <v>365</v>
      </c>
    </row>
    <row r="40" spans="1:20" x14ac:dyDescent="0.35">
      <c r="A40" s="285">
        <f t="shared" si="9"/>
        <v>16</v>
      </c>
      <c r="B40" s="286">
        <f t="shared" ca="1" si="5"/>
        <v>44975</v>
      </c>
      <c r="C40" s="286">
        <f t="shared" ca="1" si="11"/>
        <v>44975</v>
      </c>
      <c r="D40" s="285">
        <f t="shared" ca="1" si="18"/>
        <v>31</v>
      </c>
      <c r="E40" s="280">
        <f t="shared" ca="1" si="17"/>
        <v>1969712.8409362324</v>
      </c>
      <c r="F40" s="280">
        <f ca="1">IF(AND(A39="",A41=""),"",IF(A40="",SUM($F$25:F39),IF(A40=$D$8,$E$24-SUM($F$25:F39),$F$13-G40)))</f>
        <v>1700.3741235657653</v>
      </c>
      <c r="G40" s="280">
        <f ca="1">IF(A39=$D$8,SUM($G$25:G39),IF(A39&gt;$D$8,"",E39*D40*$F$18/T39))</f>
        <v>21532.153214129838</v>
      </c>
      <c r="H40" s="280">
        <f ca="1">IF(A39=$D$8,SUM($H$25:H39),IF(A39="","",(G40+F40)))</f>
        <v>23232.527337695603</v>
      </c>
      <c r="I40" s="280" t="str">
        <f t="shared" si="19"/>
        <v/>
      </c>
      <c r="J40" s="280" t="str">
        <f t="shared" si="20"/>
        <v/>
      </c>
      <c r="K40" s="280"/>
      <c r="L40" s="280" t="str">
        <f t="shared" si="21"/>
        <v/>
      </c>
      <c r="M40" s="280" t="str">
        <f t="shared" si="22"/>
        <v/>
      </c>
      <c r="N40" s="283" t="str">
        <f t="shared" si="15"/>
        <v/>
      </c>
      <c r="O40" s="280"/>
      <c r="P40" s="289" t="str">
        <f>IF(A39=$D$8,XIRR(R$24:R39,C$24:C39),"")</f>
        <v/>
      </c>
      <c r="Q40" s="280" t="str">
        <f t="shared" si="10"/>
        <v/>
      </c>
      <c r="R40" s="283">
        <f t="shared" ca="1" si="6"/>
        <v>23232.527337695603</v>
      </c>
      <c r="S40" s="284">
        <f t="shared" ca="1" si="7"/>
        <v>2023</v>
      </c>
      <c r="T40" s="284">
        <f t="shared" ca="1" si="8"/>
        <v>365</v>
      </c>
    </row>
    <row r="41" spans="1:20" x14ac:dyDescent="0.35">
      <c r="A41" s="285">
        <f t="shared" si="9"/>
        <v>17</v>
      </c>
      <c r="B41" s="286">
        <f t="shared" ca="1" si="5"/>
        <v>45003</v>
      </c>
      <c r="C41" s="286">
        <f t="shared" ca="1" si="11"/>
        <v>45003</v>
      </c>
      <c r="D41" s="285">
        <f t="shared" ca="1" si="18"/>
        <v>28</v>
      </c>
      <c r="E41" s="280">
        <f t="shared" ca="1" si="17"/>
        <v>1965911.935509888</v>
      </c>
      <c r="F41" s="280">
        <f ca="1">IF(AND(A40="",A42=""),"",IF(A41="",SUM($F$25:F40),IF(A41=$D$8,$E$24-SUM($F$25:F40),$F$13-G41)))</f>
        <v>3800.9054263444123</v>
      </c>
      <c r="G41" s="280">
        <f ca="1">IF(A40=$D$8,SUM($G$25:G40),IF(A40&gt;$D$8,"",E40*D41*$F$18/T40))</f>
        <v>19431.621911351191</v>
      </c>
      <c r="H41" s="280">
        <f ca="1">IF(A40=$D$8,SUM($H$25:H40),IF(A40="","",(G41+F41)))</f>
        <v>23232.527337695603</v>
      </c>
      <c r="I41" s="280" t="str">
        <f t="shared" si="19"/>
        <v/>
      </c>
      <c r="J41" s="280" t="str">
        <f t="shared" si="20"/>
        <v/>
      </c>
      <c r="K41" s="280"/>
      <c r="L41" s="280" t="str">
        <f t="shared" si="21"/>
        <v/>
      </c>
      <c r="M41" s="280" t="str">
        <f t="shared" si="22"/>
        <v/>
      </c>
      <c r="N41" s="283" t="str">
        <f t="shared" si="15"/>
        <v/>
      </c>
      <c r="O41" s="280"/>
      <c r="P41" s="289" t="str">
        <f>IF(A40=$D$8,XIRR(R$24:R40,C$24:C40),"")</f>
        <v/>
      </c>
      <c r="Q41" s="280" t="str">
        <f t="shared" si="10"/>
        <v/>
      </c>
      <c r="R41" s="283">
        <f t="shared" ca="1" si="6"/>
        <v>23232.527337695603</v>
      </c>
      <c r="S41" s="284">
        <f t="shared" ca="1" si="7"/>
        <v>2023</v>
      </c>
      <c r="T41" s="284">
        <f t="shared" ca="1" si="8"/>
        <v>365</v>
      </c>
    </row>
    <row r="42" spans="1:20" x14ac:dyDescent="0.35">
      <c r="A42" s="285">
        <f t="shared" si="9"/>
        <v>18</v>
      </c>
      <c r="B42" s="286">
        <f t="shared" ca="1" si="5"/>
        <v>45034</v>
      </c>
      <c r="C42" s="286">
        <f t="shared" ca="1" si="11"/>
        <v>45034</v>
      </c>
      <c r="D42" s="285">
        <f t="shared" ca="1" si="18"/>
        <v>31</v>
      </c>
      <c r="E42" s="280">
        <f t="shared" ca="1" si="17"/>
        <v>1964151.4753560382</v>
      </c>
      <c r="F42" s="280">
        <f ca="1">IF(AND(A41="",A43=""),"",IF(A42="",SUM($F$25:F41),IF(A42=$D$8,$E$24-SUM($F$25:F41),$F$13-G42)))</f>
        <v>1760.4601538497991</v>
      </c>
      <c r="G42" s="280">
        <f ca="1">IF(A41=$D$8,SUM($G$25:G41),IF(A41&gt;$D$8,"",E41*D42*$F$18/T41))</f>
        <v>21472.067183845804</v>
      </c>
      <c r="H42" s="280">
        <f ca="1">IF(A41=$D$8,SUM($H$25:H41),IF(A41="","",(G42+F42)))</f>
        <v>23232.527337695603</v>
      </c>
      <c r="I42" s="280" t="str">
        <f t="shared" si="19"/>
        <v/>
      </c>
      <c r="J42" s="280" t="str">
        <f t="shared" si="20"/>
        <v/>
      </c>
      <c r="K42" s="280"/>
      <c r="L42" s="280" t="str">
        <f t="shared" si="21"/>
        <v/>
      </c>
      <c r="M42" s="280" t="str">
        <f t="shared" si="22"/>
        <v/>
      </c>
      <c r="N42" s="283" t="str">
        <f t="shared" si="15"/>
        <v/>
      </c>
      <c r="O42" s="280"/>
      <c r="P42" s="289" t="str">
        <f>IF(A41=$D$8,XIRR(R$24:R41,C$24:C41),"")</f>
        <v/>
      </c>
      <c r="Q42" s="280" t="str">
        <f t="shared" si="10"/>
        <v/>
      </c>
      <c r="R42" s="283">
        <f t="shared" ca="1" si="6"/>
        <v>23232.527337695603</v>
      </c>
      <c r="S42" s="284">
        <f t="shared" ca="1" si="7"/>
        <v>2023</v>
      </c>
      <c r="T42" s="284">
        <f t="shared" ca="1" si="8"/>
        <v>365</v>
      </c>
    </row>
    <row r="43" spans="1:20" x14ac:dyDescent="0.35">
      <c r="A43" s="285">
        <f t="shared" si="9"/>
        <v>19</v>
      </c>
      <c r="B43" s="286">
        <f t="shared" ca="1" si="5"/>
        <v>45064</v>
      </c>
      <c r="C43" s="286">
        <f t="shared" ca="1" si="11"/>
        <v>45064</v>
      </c>
      <c r="D43" s="285">
        <f t="shared" ca="1" si="18"/>
        <v>30</v>
      </c>
      <c r="E43" s="280">
        <f t="shared" ca="1" si="17"/>
        <v>1961679.7600510099</v>
      </c>
      <c r="F43" s="280">
        <f ca="1">IF(AND(A42="",A44=""),"",IF(A43="",SUM($F$25:F42),IF(A43=$D$8,$E$24-SUM($F$25:F42),$F$13-G43)))</f>
        <v>2471.7153050282177</v>
      </c>
      <c r="G43" s="280">
        <f ca="1">IF(A42=$D$8,SUM($G$25:G42),IF(A42&gt;$D$8,"",E42*D43*$F$18/T42))</f>
        <v>20760.812032667385</v>
      </c>
      <c r="H43" s="280">
        <f ca="1">IF(A42=$D$8,SUM($H$25:H42),IF(A42="","",(G43+F43)))</f>
        <v>23232.527337695603</v>
      </c>
      <c r="I43" s="280" t="str">
        <f t="shared" si="19"/>
        <v/>
      </c>
      <c r="J43" s="280" t="str">
        <f t="shared" si="20"/>
        <v/>
      </c>
      <c r="K43" s="280"/>
      <c r="L43" s="280" t="str">
        <f t="shared" si="21"/>
        <v/>
      </c>
      <c r="M43" s="280" t="str">
        <f t="shared" si="22"/>
        <v/>
      </c>
      <c r="N43" s="283" t="str">
        <f t="shared" si="15"/>
        <v/>
      </c>
      <c r="O43" s="280"/>
      <c r="P43" s="289" t="str">
        <f>IF(A42=$D$8,XIRR(R$24:R42,C$24:C42),"")</f>
        <v/>
      </c>
      <c r="Q43" s="280" t="str">
        <f t="shared" si="10"/>
        <v/>
      </c>
      <c r="R43" s="283">
        <f t="shared" ca="1" si="6"/>
        <v>23232.527337695603</v>
      </c>
      <c r="S43" s="284">
        <f t="shared" ca="1" si="7"/>
        <v>2023</v>
      </c>
      <c r="T43" s="284">
        <f t="shared" ca="1" si="8"/>
        <v>365</v>
      </c>
    </row>
    <row r="44" spans="1:20" x14ac:dyDescent="0.35">
      <c r="A44" s="285">
        <f t="shared" si="9"/>
        <v>20</v>
      </c>
      <c r="B44" s="286">
        <f t="shared" ca="1" si="5"/>
        <v>45095</v>
      </c>
      <c r="C44" s="286">
        <f t="shared" ca="1" si="11"/>
        <v>45095</v>
      </c>
      <c r="D44" s="285">
        <f t="shared" ca="1" si="18"/>
        <v>31</v>
      </c>
      <c r="E44" s="280">
        <f t="shared" ca="1" si="17"/>
        <v>1959873.0752651482</v>
      </c>
      <c r="F44" s="280">
        <f ca="1">IF(AND(A43="",A45=""),"",IF(A44="",SUM($F$25:F43),IF(A44=$D$8,$E$24-SUM($F$25:F43),$F$13-G44)))</f>
        <v>1806.6847858617512</v>
      </c>
      <c r="G44" s="280">
        <f ca="1">IF(A43=$D$8,SUM($G$25:G43),IF(A43&gt;$D$8,"",E43*D44*$F$18/T43))</f>
        <v>21425.842551833852</v>
      </c>
      <c r="H44" s="280">
        <f ca="1">IF(A43=$D$8,SUM($H$25:H43),IF(A43="","",(G44+F44)))</f>
        <v>23232.527337695603</v>
      </c>
      <c r="I44" s="280" t="str">
        <f t="shared" si="19"/>
        <v/>
      </c>
      <c r="J44" s="280" t="str">
        <f t="shared" si="20"/>
        <v/>
      </c>
      <c r="K44" s="280"/>
      <c r="L44" s="280" t="str">
        <f t="shared" si="21"/>
        <v/>
      </c>
      <c r="M44" s="280" t="str">
        <f t="shared" si="22"/>
        <v/>
      </c>
      <c r="N44" s="283" t="str">
        <f t="shared" si="15"/>
        <v/>
      </c>
      <c r="O44" s="280"/>
      <c r="P44" s="289" t="str">
        <f>IF(A43=$D$8,XIRR(R$24:R43,C$24:C43),"")</f>
        <v/>
      </c>
      <c r="Q44" s="280" t="str">
        <f t="shared" si="10"/>
        <v/>
      </c>
      <c r="R44" s="283">
        <f t="shared" ca="1" si="6"/>
        <v>23232.527337695603</v>
      </c>
      <c r="S44" s="284">
        <f t="shared" ca="1" si="7"/>
        <v>2023</v>
      </c>
      <c r="T44" s="284">
        <f t="shared" ca="1" si="8"/>
        <v>365</v>
      </c>
    </row>
    <row r="45" spans="1:20" x14ac:dyDescent="0.35">
      <c r="A45" s="285">
        <f t="shared" si="9"/>
        <v>21</v>
      </c>
      <c r="B45" s="286">
        <f t="shared" ca="1" si="5"/>
        <v>45125</v>
      </c>
      <c r="C45" s="286">
        <f t="shared" ca="1" si="11"/>
        <v>45125</v>
      </c>
      <c r="D45" s="285">
        <f t="shared" ca="1" si="18"/>
        <v>30</v>
      </c>
      <c r="E45" s="280">
        <f t="shared" ca="1" si="17"/>
        <v>1957356.1378572416</v>
      </c>
      <c r="F45" s="280">
        <f ca="1">IF(AND(A44="",A46=""),"",IF(A45="",SUM($F$25:F44),IF(A45=$D$8,$E$24-SUM($F$25:F44),$F$13-G45)))</f>
        <v>2516.9374079067202</v>
      </c>
      <c r="G45" s="280">
        <f ca="1">IF(A44=$D$8,SUM($G$25:G44),IF(A44&gt;$D$8,"",E44*D45*$F$18/T44))</f>
        <v>20715.589929788883</v>
      </c>
      <c r="H45" s="280">
        <f ca="1">IF(A44=$D$8,SUM($H$25:H44),IF(A44="","",(G45+F45)))</f>
        <v>23232.527337695603</v>
      </c>
      <c r="I45" s="280" t="str">
        <f t="shared" si="19"/>
        <v/>
      </c>
      <c r="J45" s="280" t="str">
        <f t="shared" si="20"/>
        <v/>
      </c>
      <c r="K45" s="280"/>
      <c r="L45" s="280" t="str">
        <f t="shared" si="21"/>
        <v/>
      </c>
      <c r="M45" s="280" t="str">
        <f t="shared" si="22"/>
        <v/>
      </c>
      <c r="N45" s="283" t="str">
        <f t="shared" si="15"/>
        <v/>
      </c>
      <c r="O45" s="280"/>
      <c r="P45" s="289" t="str">
        <f>IF(A44=$D$8,XIRR(R$24:R44,C$24:C44),"")</f>
        <v/>
      </c>
      <c r="Q45" s="280" t="str">
        <f t="shared" si="10"/>
        <v/>
      </c>
      <c r="R45" s="283">
        <f t="shared" ca="1" si="6"/>
        <v>23232.527337695603</v>
      </c>
      <c r="S45" s="284">
        <f t="shared" ca="1" si="7"/>
        <v>2023</v>
      </c>
      <c r="T45" s="284">
        <f t="shared" ca="1" si="8"/>
        <v>365</v>
      </c>
    </row>
    <row r="46" spans="1:20" x14ac:dyDescent="0.35">
      <c r="A46" s="285">
        <f t="shared" si="9"/>
        <v>22</v>
      </c>
      <c r="B46" s="286">
        <f t="shared" ca="1" si="5"/>
        <v>45156</v>
      </c>
      <c r="C46" s="286">
        <f t="shared" ca="1" si="11"/>
        <v>45156</v>
      </c>
      <c r="D46" s="285">
        <f t="shared" ca="1" si="18"/>
        <v>31</v>
      </c>
      <c r="E46" s="280">
        <f t="shared" ca="1" si="17"/>
        <v>1955502.2296405917</v>
      </c>
      <c r="F46" s="280">
        <f ca="1">IF(AND(A45="",A47=""),"",IF(A46="",SUM($F$25:F45),IF(A46=$D$8,$E$24-SUM($F$25:F45),$F$13-G46)))</f>
        <v>1853.9082166499102</v>
      </c>
      <c r="G46" s="280">
        <f ca="1">IF(A45=$D$8,SUM($G$25:G45),IF(A45&gt;$D$8,"",E45*D46*$F$18/T45))</f>
        <v>21378.619121045693</v>
      </c>
      <c r="H46" s="280">
        <f ca="1">IF(A45=$D$8,SUM($H$25:H45),IF(A45="","",(G46+F46)))</f>
        <v>23232.527337695603</v>
      </c>
      <c r="I46" s="280" t="str">
        <f t="shared" si="19"/>
        <v/>
      </c>
      <c r="J46" s="280" t="str">
        <f t="shared" si="20"/>
        <v/>
      </c>
      <c r="K46" s="280"/>
      <c r="L46" s="280" t="str">
        <f t="shared" si="21"/>
        <v/>
      </c>
      <c r="M46" s="280" t="str">
        <f t="shared" si="22"/>
        <v/>
      </c>
      <c r="N46" s="283" t="str">
        <f t="shared" si="15"/>
        <v/>
      </c>
      <c r="O46" s="280"/>
      <c r="P46" s="289" t="str">
        <f>IF(A45=$D$8,XIRR(R$24:R45,C$24:C45),"")</f>
        <v/>
      </c>
      <c r="Q46" s="280" t="str">
        <f t="shared" si="10"/>
        <v/>
      </c>
      <c r="R46" s="283">
        <f t="shared" ca="1" si="6"/>
        <v>23232.527337695603</v>
      </c>
      <c r="S46" s="284">
        <f t="shared" ca="1" si="7"/>
        <v>2023</v>
      </c>
      <c r="T46" s="284">
        <f t="shared" ca="1" si="8"/>
        <v>365</v>
      </c>
    </row>
    <row r="47" spans="1:20" x14ac:dyDescent="0.35">
      <c r="A47" s="285">
        <f t="shared" si="9"/>
        <v>23</v>
      </c>
      <c r="B47" s="286">
        <f t="shared" ca="1" si="5"/>
        <v>45187</v>
      </c>
      <c r="C47" s="286">
        <f t="shared" ca="1" si="11"/>
        <v>45187</v>
      </c>
      <c r="D47" s="285">
        <f t="shared" ca="1" si="18"/>
        <v>31</v>
      </c>
      <c r="E47" s="280">
        <f t="shared" ca="1" si="17"/>
        <v>1953628.0726828554</v>
      </c>
      <c r="F47" s="280">
        <f ca="1">IF(AND(A46="",A48=""),"",IF(A47="",SUM($F$25:F46),IF(A47=$D$8,$E$24-SUM($F$25:F46),$F$13-G47)))</f>
        <v>1874.1569577361988</v>
      </c>
      <c r="G47" s="280">
        <f ca="1">IF(A46=$D$8,SUM($G$25:G46),IF(A46&gt;$D$8,"",E46*D47*$F$18/T46))</f>
        <v>21358.370379959404</v>
      </c>
      <c r="H47" s="280">
        <f ca="1">IF(A46=$D$8,SUM($H$25:H46),IF(A46="","",(G47+F47)))</f>
        <v>23232.527337695603</v>
      </c>
      <c r="I47" s="280" t="str">
        <f t="shared" si="19"/>
        <v/>
      </c>
      <c r="J47" s="280" t="str">
        <f t="shared" si="20"/>
        <v/>
      </c>
      <c r="K47" s="280"/>
      <c r="L47" s="280" t="str">
        <f t="shared" si="21"/>
        <v/>
      </c>
      <c r="M47" s="280" t="str">
        <f t="shared" si="22"/>
        <v/>
      </c>
      <c r="N47" s="283" t="str">
        <f t="shared" si="15"/>
        <v/>
      </c>
      <c r="O47" s="280"/>
      <c r="P47" s="289" t="str">
        <f>IF(A46=$D$8,XIRR(R$24:R46,C$24:C46),"")</f>
        <v/>
      </c>
      <c r="Q47" s="280" t="str">
        <f t="shared" si="10"/>
        <v/>
      </c>
      <c r="R47" s="283">
        <f t="shared" ca="1" si="6"/>
        <v>23232.527337695603</v>
      </c>
      <c r="S47" s="284">
        <f t="shared" ca="1" si="7"/>
        <v>2023</v>
      </c>
      <c r="T47" s="284">
        <f t="shared" ca="1" si="8"/>
        <v>365</v>
      </c>
    </row>
    <row r="48" spans="1:20" x14ac:dyDescent="0.35">
      <c r="A48" s="285">
        <f t="shared" si="9"/>
        <v>24</v>
      </c>
      <c r="B48" s="286">
        <f t="shared" ca="1" si="5"/>
        <v>45217</v>
      </c>
      <c r="C48" s="286">
        <f t="shared" ca="1" si="11"/>
        <v>45217</v>
      </c>
      <c r="D48" s="285">
        <f t="shared" ca="1" si="18"/>
        <v>30</v>
      </c>
      <c r="E48" s="280">
        <f t="shared" ca="1" si="17"/>
        <v>1951045.1264531338</v>
      </c>
      <c r="F48" s="280">
        <f ca="1">IF(AND(A47="",A49=""),"",IF(A48="",SUM($F$25:F47),IF(A48=$D$8,$E$24-SUM($F$25:F47),$F$13-G48)))</f>
        <v>2582.9462297217506</v>
      </c>
      <c r="G48" s="280">
        <f ca="1">IF(A47=$D$8,SUM($G$25:G47),IF(A47&gt;$D$8,"",E47*D48*$F$18/T47))</f>
        <v>20649.581107973852</v>
      </c>
      <c r="H48" s="280">
        <f ca="1">IF(A47=$D$8,SUM($H$25:H47),IF(A47="","",(G48+F48)))</f>
        <v>23232.527337695603</v>
      </c>
      <c r="I48" s="280" t="str">
        <f t="shared" si="19"/>
        <v/>
      </c>
      <c r="J48" s="280" t="str">
        <f t="shared" si="20"/>
        <v/>
      </c>
      <c r="K48" s="280"/>
      <c r="L48" s="280" t="str">
        <f t="shared" si="21"/>
        <v/>
      </c>
      <c r="M48" s="280" t="str">
        <f t="shared" si="22"/>
        <v/>
      </c>
      <c r="N48" s="283" t="str">
        <f t="shared" si="15"/>
        <v/>
      </c>
      <c r="O48" s="280"/>
      <c r="P48" s="289" t="str">
        <f>IF(A47=$D$8,XIRR(R$24:R47,C$24:C47),"")</f>
        <v/>
      </c>
      <c r="Q48" s="280" t="str">
        <f t="shared" si="10"/>
        <v/>
      </c>
      <c r="R48" s="283">
        <f t="shared" ca="1" si="6"/>
        <v>23232.527337695603</v>
      </c>
      <c r="S48" s="284">
        <f t="shared" ca="1" si="7"/>
        <v>2023</v>
      </c>
      <c r="T48" s="284">
        <f t="shared" ca="1" si="8"/>
        <v>365</v>
      </c>
    </row>
    <row r="49" spans="1:20" s="231" customFormat="1" x14ac:dyDescent="0.35">
      <c r="A49" s="290">
        <f t="shared" si="9"/>
        <v>25</v>
      </c>
      <c r="B49" s="291">
        <f t="shared" ca="1" si="5"/>
        <v>45248</v>
      </c>
      <c r="C49" s="286">
        <f t="shared" ca="1" si="11"/>
        <v>45248</v>
      </c>
      <c r="D49" s="290">
        <f t="shared" ca="1" si="18"/>
        <v>31</v>
      </c>
      <c r="E49" s="292">
        <f t="shared" ca="1" si="17"/>
        <v>1949122.2881595972</v>
      </c>
      <c r="F49" s="280">
        <f ca="1">IF(AND(A48="",A50=""),"",IF(A49="",SUM($F$25:F48),IF(A49=$D$8,$E$24-SUM($F$25:F48),$F$13-G49)))</f>
        <v>1922.8382935365262</v>
      </c>
      <c r="G49" s="280">
        <f ca="1">IF(A48=$D$8,SUM($G$25:G48),IF(A48&gt;$D$8,"",E48*D49*$F$18/T48))</f>
        <v>21309.689044159077</v>
      </c>
      <c r="H49" s="280">
        <f ca="1">IF(A48=$D$8,SUM($H$25:H48),IF(A48="","",(G49+F49)))</f>
        <v>23232.527337695603</v>
      </c>
      <c r="I49" s="292" t="str">
        <f t="shared" si="19"/>
        <v/>
      </c>
      <c r="J49" s="292" t="str">
        <f t="shared" si="20"/>
        <v/>
      </c>
      <c r="K49" s="280">
        <f>IF($F$8&gt;24,($O$8+$O$10),IF($A$48=$F$8,$K$37+$K$24,""))</f>
        <v>7500</v>
      </c>
      <c r="L49" s="292" t="str">
        <f t="shared" si="21"/>
        <v/>
      </c>
      <c r="M49" s="292" t="str">
        <f t="shared" si="22"/>
        <v/>
      </c>
      <c r="N49" s="280">
        <f>IF($F$8&gt;24,($N$14),IF(A48=$F$8,N37+N24,""))</f>
        <v>0</v>
      </c>
      <c r="O49" s="292"/>
      <c r="P49" s="293" t="str">
        <f>IF(A48=$D$8,XIRR(R$24:R48,C$24:C48),"")</f>
        <v/>
      </c>
      <c r="Q49" s="292" t="str">
        <f t="shared" si="10"/>
        <v/>
      </c>
      <c r="R49" s="292">
        <f t="shared" ca="1" si="6"/>
        <v>30732.527337695603</v>
      </c>
      <c r="S49" s="231">
        <f t="shared" ca="1" si="7"/>
        <v>2023</v>
      </c>
      <c r="T49" s="231">
        <f t="shared" ca="1" si="8"/>
        <v>365</v>
      </c>
    </row>
    <row r="50" spans="1:20" x14ac:dyDescent="0.35">
      <c r="A50" s="285">
        <f t="shared" si="9"/>
        <v>26</v>
      </c>
      <c r="B50" s="286">
        <f t="shared" ca="1" si="5"/>
        <v>45278</v>
      </c>
      <c r="C50" s="286">
        <f t="shared" ca="1" si="11"/>
        <v>45278</v>
      </c>
      <c r="D50" s="285">
        <f t="shared" ca="1" si="18"/>
        <v>30</v>
      </c>
      <c r="E50" s="280">
        <f t="shared" ca="1" si="17"/>
        <v>1946491.7164046953</v>
      </c>
      <c r="F50" s="280">
        <f ca="1">IF(AND(A49="",A51=""),"",IF(A50="",SUM($F$25:F49),IF(A50=$D$8,$E$24-SUM($F$25:F49),$F$13-G50)))</f>
        <v>2630.5717549018336</v>
      </c>
      <c r="G50" s="280">
        <f ca="1">IF(A49=$D$8,SUM($G$25:G49),IF(A49&gt;$D$8,"",E49*D50*$F$18/T49))</f>
        <v>20601.955582793769</v>
      </c>
      <c r="H50" s="280">
        <f ca="1">IF(A49=$D$8,SUM($H$25:H49),IF(A49="","",(G50+F50)))</f>
        <v>23232.527337695603</v>
      </c>
      <c r="I50" s="280" t="str">
        <f t="shared" si="19"/>
        <v/>
      </c>
      <c r="J50" s="280" t="str">
        <f t="shared" si="20"/>
        <v/>
      </c>
      <c r="K50" s="280"/>
      <c r="L50" s="280" t="str">
        <f t="shared" si="21"/>
        <v/>
      </c>
      <c r="M50" s="280" t="str">
        <f t="shared" si="22"/>
        <v/>
      </c>
      <c r="N50" s="283" t="str">
        <f t="shared" si="15"/>
        <v/>
      </c>
      <c r="O50" s="280"/>
      <c r="P50" s="289" t="str">
        <f>IF(A49=$D$8,XIRR(R$24:R49,C$24:C49),"")</f>
        <v/>
      </c>
      <c r="Q50" s="280" t="str">
        <f t="shared" si="10"/>
        <v/>
      </c>
      <c r="R50" s="283">
        <f t="shared" ca="1" si="6"/>
        <v>23232.527337695603</v>
      </c>
      <c r="S50" s="284">
        <f t="shared" ca="1" si="7"/>
        <v>2023</v>
      </c>
      <c r="T50" s="284">
        <f t="shared" ca="1" si="8"/>
        <v>365</v>
      </c>
    </row>
    <row r="51" spans="1:20" x14ac:dyDescent="0.35">
      <c r="A51" s="285">
        <f t="shared" si="9"/>
        <v>27</v>
      </c>
      <c r="B51" s="286">
        <f t="shared" ca="1" si="5"/>
        <v>45309</v>
      </c>
      <c r="C51" s="286">
        <f t="shared" ca="1" si="11"/>
        <v>45309</v>
      </c>
      <c r="D51" s="285">
        <f t="shared" ca="1" si="18"/>
        <v>31</v>
      </c>
      <c r="E51" s="280">
        <f t="shared" ca="1" si="17"/>
        <v>1944519.1448933531</v>
      </c>
      <c r="F51" s="280">
        <f ca="1">IF(AND(A50="",A52=""),"",IF(A51="",SUM($F$25:F50),IF(A51=$D$8,$E$24-SUM($F$25:F50),$F$13-G51)))</f>
        <v>1972.5715113422957</v>
      </c>
      <c r="G51" s="280">
        <f ca="1">IF(A50=$D$8,SUM($G$25:G50),IF(A50&gt;$D$8,"",E50*D51*$F$18/T50))</f>
        <v>21259.955826353307</v>
      </c>
      <c r="H51" s="280">
        <f ca="1">IF(A50=$D$8,SUM($H$25:H50),IF(A50="","",(G51+F51)))</f>
        <v>23232.527337695603</v>
      </c>
      <c r="I51" s="280" t="str">
        <f t="shared" si="19"/>
        <v/>
      </c>
      <c r="J51" s="280" t="str">
        <f t="shared" si="20"/>
        <v/>
      </c>
      <c r="K51" s="280"/>
      <c r="L51" s="280" t="str">
        <f t="shared" si="21"/>
        <v/>
      </c>
      <c r="M51" s="280" t="str">
        <f t="shared" si="22"/>
        <v/>
      </c>
      <c r="N51" s="283" t="str">
        <f t="shared" si="15"/>
        <v/>
      </c>
      <c r="O51" s="280"/>
      <c r="P51" s="289" t="str">
        <f>IF(A50=$D$8,XIRR(R$24:R50,C$24:C50),"")</f>
        <v/>
      </c>
      <c r="Q51" s="280" t="str">
        <f t="shared" si="10"/>
        <v/>
      </c>
      <c r="R51" s="283">
        <f t="shared" ca="1" si="6"/>
        <v>23232.527337695603</v>
      </c>
      <c r="S51" s="284">
        <f t="shared" ca="1" si="7"/>
        <v>2024</v>
      </c>
      <c r="T51" s="284">
        <f t="shared" ca="1" si="8"/>
        <v>366</v>
      </c>
    </row>
    <row r="52" spans="1:20" x14ac:dyDescent="0.35">
      <c r="A52" s="285">
        <f t="shared" si="9"/>
        <v>28</v>
      </c>
      <c r="B52" s="286">
        <f t="shared" ca="1" si="5"/>
        <v>45340</v>
      </c>
      <c r="C52" s="286">
        <f t="shared" ca="1" si="11"/>
        <v>45340</v>
      </c>
      <c r="D52" s="285">
        <f t="shared" ca="1" si="18"/>
        <v>31</v>
      </c>
      <c r="E52" s="280">
        <f t="shared" ca="1" si="17"/>
        <v>1942467.0001322473</v>
      </c>
      <c r="F52" s="280">
        <f ca="1">IF(AND(A51="",A53=""),"",IF(A52="",SUM($F$25:F51),IF(A52=$D$8,$E$24-SUM($F$25:F51),$F$13-G52)))</f>
        <v>2052.144761105872</v>
      </c>
      <c r="G52" s="280">
        <f ca="1">IF(A51=$D$8,SUM($G$25:G51),IF(A51&gt;$D$8,"",E51*D52*$F$18/T51))</f>
        <v>21180.382576589731</v>
      </c>
      <c r="H52" s="280">
        <f ca="1">IF(A51=$D$8,SUM($H$25:H51),IF(A51="","",(G52+F52)))</f>
        <v>23232.527337695603</v>
      </c>
      <c r="I52" s="280" t="str">
        <f t="shared" si="19"/>
        <v/>
      </c>
      <c r="J52" s="280" t="str">
        <f t="shared" si="20"/>
        <v/>
      </c>
      <c r="K52" s="280"/>
      <c r="L52" s="280" t="str">
        <f t="shared" si="21"/>
        <v/>
      </c>
      <c r="M52" s="280" t="str">
        <f t="shared" si="22"/>
        <v/>
      </c>
      <c r="N52" s="283" t="str">
        <f t="shared" si="15"/>
        <v/>
      </c>
      <c r="O52" s="280"/>
      <c r="P52" s="289" t="str">
        <f>IF(A51=$D$8,XIRR(R$24:R51,C$24:C51),"")</f>
        <v/>
      </c>
      <c r="Q52" s="280" t="str">
        <f t="shared" si="10"/>
        <v/>
      </c>
      <c r="R52" s="283">
        <f t="shared" ca="1" si="6"/>
        <v>23232.527337695603</v>
      </c>
      <c r="S52" s="284">
        <f t="shared" ca="1" si="7"/>
        <v>2024</v>
      </c>
      <c r="T52" s="284">
        <f t="shared" ca="1" si="8"/>
        <v>366</v>
      </c>
    </row>
    <row r="53" spans="1:20" x14ac:dyDescent="0.35">
      <c r="A53" s="285">
        <f t="shared" si="9"/>
        <v>29</v>
      </c>
      <c r="B53" s="286">
        <f t="shared" ca="1" si="5"/>
        <v>45369</v>
      </c>
      <c r="C53" s="286">
        <f t="shared" ca="1" si="11"/>
        <v>45369</v>
      </c>
      <c r="D53" s="285">
        <f t="shared" ca="1" si="18"/>
        <v>29</v>
      </c>
      <c r="E53" s="280">
        <f t="shared" ca="1" si="17"/>
        <v>1939027.4685057353</v>
      </c>
      <c r="F53" s="280">
        <f ca="1">IF(AND(A52="",A54=""),"",IF(A53="",SUM($F$25:F52),IF(A53=$D$8,$E$24-SUM($F$25:F52),$F$13-G53)))</f>
        <v>3439.5316265119909</v>
      </c>
      <c r="G53" s="280">
        <f ca="1">IF(A52=$D$8,SUM($G$25:G52),IF(A52&gt;$D$8,"",E52*D53*$F$18/T52))</f>
        <v>19792.995711183612</v>
      </c>
      <c r="H53" s="280">
        <f ca="1">IF(A52=$D$8,SUM($H$25:H52),IF(A52="","",(G53+F53)))</f>
        <v>23232.527337695603</v>
      </c>
      <c r="I53" s="280" t="str">
        <f t="shared" si="19"/>
        <v/>
      </c>
      <c r="J53" s="280" t="str">
        <f t="shared" si="20"/>
        <v/>
      </c>
      <c r="K53" s="280"/>
      <c r="L53" s="280" t="str">
        <f t="shared" si="21"/>
        <v/>
      </c>
      <c r="M53" s="280" t="str">
        <f t="shared" si="22"/>
        <v/>
      </c>
      <c r="N53" s="283" t="str">
        <f t="shared" si="15"/>
        <v/>
      </c>
      <c r="O53" s="280"/>
      <c r="P53" s="289" t="str">
        <f>IF(A52=$D$8,XIRR(R$24:R52,C$24:C52),"")</f>
        <v/>
      </c>
      <c r="Q53" s="280" t="str">
        <f t="shared" si="10"/>
        <v/>
      </c>
      <c r="R53" s="283">
        <f t="shared" ca="1" si="6"/>
        <v>23232.527337695603</v>
      </c>
      <c r="S53" s="284">
        <f t="shared" ca="1" si="7"/>
        <v>2024</v>
      </c>
      <c r="T53" s="284">
        <f t="shared" ca="1" si="8"/>
        <v>366</v>
      </c>
    </row>
    <row r="54" spans="1:20" x14ac:dyDescent="0.35">
      <c r="A54" s="285">
        <f t="shared" si="9"/>
        <v>30</v>
      </c>
      <c r="B54" s="286">
        <f t="shared" ca="1" si="5"/>
        <v>45400</v>
      </c>
      <c r="C54" s="286">
        <f t="shared" ca="1" si="11"/>
        <v>45400</v>
      </c>
      <c r="D54" s="285">
        <f t="shared" ca="1" si="18"/>
        <v>31</v>
      </c>
      <c r="E54" s="280">
        <f t="shared" ca="1" si="17"/>
        <v>1936915.5064848291</v>
      </c>
      <c r="F54" s="280">
        <f ca="1">IF(AND(A53="",A55=""),"",IF(A54="",SUM($F$25:F53),IF(A54=$D$8,$E$24-SUM($F$25:F53),$F$13-G54)))</f>
        <v>2111.9620209060849</v>
      </c>
      <c r="G54" s="280">
        <f ca="1">IF(A53=$D$8,SUM($G$25:G53),IF(A53&gt;$D$8,"",E53*D54*$F$18/T53))</f>
        <v>21120.565316789518</v>
      </c>
      <c r="H54" s="280">
        <f ca="1">IF(A53=$D$8,SUM($H$25:H53),IF(A53="","",(G54+F54)))</f>
        <v>23232.527337695603</v>
      </c>
      <c r="I54" s="280" t="str">
        <f t="shared" si="19"/>
        <v/>
      </c>
      <c r="J54" s="280" t="str">
        <f t="shared" si="20"/>
        <v/>
      </c>
      <c r="K54" s="280"/>
      <c r="L54" s="280" t="str">
        <f t="shared" si="21"/>
        <v/>
      </c>
      <c r="M54" s="280" t="str">
        <f t="shared" si="22"/>
        <v/>
      </c>
      <c r="N54" s="283" t="str">
        <f t="shared" si="15"/>
        <v/>
      </c>
      <c r="O54" s="280"/>
      <c r="P54" s="289" t="str">
        <f>IF(A53=$D$8,XIRR(R$24:R53,C$24:C53),"")</f>
        <v/>
      </c>
      <c r="Q54" s="280" t="str">
        <f t="shared" si="10"/>
        <v/>
      </c>
      <c r="R54" s="283">
        <f t="shared" ca="1" si="6"/>
        <v>23232.527337695603</v>
      </c>
      <c r="S54" s="284">
        <f t="shared" ca="1" si="7"/>
        <v>2024</v>
      </c>
      <c r="T54" s="284">
        <f t="shared" ca="1" si="8"/>
        <v>366</v>
      </c>
    </row>
    <row r="55" spans="1:20" x14ac:dyDescent="0.35">
      <c r="A55" s="285">
        <f t="shared" si="9"/>
        <v>31</v>
      </c>
      <c r="B55" s="286">
        <f t="shared" ca="1" si="5"/>
        <v>45430</v>
      </c>
      <c r="C55" s="286">
        <f t="shared" ca="1" si="11"/>
        <v>45430</v>
      </c>
      <c r="D55" s="285">
        <f t="shared" ca="1" si="18"/>
        <v>30</v>
      </c>
      <c r="E55" s="280">
        <f t="shared" ca="1" si="17"/>
        <v>1934099.9737482769</v>
      </c>
      <c r="F55" s="280">
        <f ca="1">IF(AND(A54="",A56=""),"",IF(A55="",SUM($F$25:F54),IF(A55=$D$8,$E$24-SUM($F$25:F54),$F$13-G55)))</f>
        <v>2815.5327365522426</v>
      </c>
      <c r="G55" s="280">
        <f ca="1">IF(A54=$D$8,SUM($G$25:G54),IF(A54&gt;$D$8,"",E54*D55*$F$18/T54))</f>
        <v>20416.99460114336</v>
      </c>
      <c r="H55" s="280">
        <f ca="1">IF(A54=$D$8,SUM($H$25:H54),IF(A54="","",(G55+F55)))</f>
        <v>23232.527337695603</v>
      </c>
      <c r="I55" s="280" t="str">
        <f t="shared" si="19"/>
        <v/>
      </c>
      <c r="J55" s="280" t="str">
        <f t="shared" si="20"/>
        <v/>
      </c>
      <c r="K55" s="280"/>
      <c r="L55" s="280" t="str">
        <f t="shared" si="21"/>
        <v/>
      </c>
      <c r="M55" s="280" t="str">
        <f t="shared" si="22"/>
        <v/>
      </c>
      <c r="N55" s="283" t="str">
        <f t="shared" si="15"/>
        <v/>
      </c>
      <c r="O55" s="280"/>
      <c r="P55" s="289" t="str">
        <f>IF(A54=$D$8,XIRR(R$24:R54,C$24:C54),"")</f>
        <v/>
      </c>
      <c r="Q55" s="280" t="str">
        <f t="shared" si="10"/>
        <v/>
      </c>
      <c r="R55" s="283">
        <f t="shared" ca="1" si="6"/>
        <v>23232.527337695603</v>
      </c>
      <c r="S55" s="284">
        <f t="shared" ca="1" si="7"/>
        <v>2024</v>
      </c>
      <c r="T55" s="284">
        <f t="shared" ca="1" si="8"/>
        <v>366</v>
      </c>
    </row>
    <row r="56" spans="1:20" x14ac:dyDescent="0.35">
      <c r="A56" s="285">
        <f t="shared" si="9"/>
        <v>32</v>
      </c>
      <c r="B56" s="286">
        <f t="shared" ca="1" si="5"/>
        <v>45461</v>
      </c>
      <c r="C56" s="286">
        <f t="shared" ca="1" si="11"/>
        <v>45461</v>
      </c>
      <c r="D56" s="285">
        <f t="shared" ca="1" si="18"/>
        <v>31</v>
      </c>
      <c r="E56" s="280">
        <f t="shared" ca="1" si="17"/>
        <v>1931934.3397311957</v>
      </c>
      <c r="F56" s="280">
        <f ca="1">IF(AND(A55="",A57=""),"",IF(A56="",SUM($F$25:F55),IF(A56=$D$8,$E$24-SUM($F$25:F55),$F$13-G56)))</f>
        <v>2165.6340170811745</v>
      </c>
      <c r="G56" s="280">
        <f ca="1">IF(A55=$D$8,SUM($G$25:G55),IF(A55&gt;$D$8,"",E55*D56*$F$18/T55))</f>
        <v>21066.893320614428</v>
      </c>
      <c r="H56" s="280">
        <f ca="1">IF(A55=$D$8,SUM($H$25:H55),IF(A55="","",(G56+F56)))</f>
        <v>23232.527337695603</v>
      </c>
      <c r="I56" s="280" t="str">
        <f t="shared" si="19"/>
        <v/>
      </c>
      <c r="J56" s="280" t="str">
        <f t="shared" si="20"/>
        <v/>
      </c>
      <c r="K56" s="280"/>
      <c r="L56" s="280" t="str">
        <f t="shared" si="21"/>
        <v/>
      </c>
      <c r="M56" s="280" t="str">
        <f t="shared" si="22"/>
        <v/>
      </c>
      <c r="N56" s="283" t="str">
        <f t="shared" si="15"/>
        <v/>
      </c>
      <c r="O56" s="280"/>
      <c r="P56" s="289" t="str">
        <f>IF(A55=$D$8,XIRR(R$24:R55,C$24:C55),"")</f>
        <v/>
      </c>
      <c r="Q56" s="280" t="str">
        <f t="shared" si="10"/>
        <v/>
      </c>
      <c r="R56" s="283">
        <f t="shared" ca="1" si="6"/>
        <v>23232.527337695603</v>
      </c>
      <c r="S56" s="284">
        <f t="shared" ca="1" si="7"/>
        <v>2024</v>
      </c>
      <c r="T56" s="284">
        <f t="shared" ca="1" si="8"/>
        <v>366</v>
      </c>
    </row>
    <row r="57" spans="1:20" x14ac:dyDescent="0.35">
      <c r="A57" s="285">
        <f t="shared" si="9"/>
        <v>33</v>
      </c>
      <c r="B57" s="286">
        <f t="shared" ca="1" si="5"/>
        <v>45491</v>
      </c>
      <c r="C57" s="286">
        <f t="shared" ca="1" si="11"/>
        <v>45491</v>
      </c>
      <c r="D57" s="285">
        <f t="shared" ca="1" si="18"/>
        <v>30</v>
      </c>
      <c r="E57" s="280">
        <f t="shared" ca="1" si="17"/>
        <v>1929066.300597552</v>
      </c>
      <c r="F57" s="280">
        <f ca="1">IF(AND(A56="",A58=""),"",IF(A57="",SUM($F$25:F56),IF(A57=$D$8,$E$24-SUM($F$25:F56),$F$13-G57)))</f>
        <v>2868.0391336438188</v>
      </c>
      <c r="G57" s="280">
        <f ca="1">IF(A56=$D$8,SUM($G$25:G56),IF(A56&gt;$D$8,"",E56*D57*$F$18/T56))</f>
        <v>20364.488204051784</v>
      </c>
      <c r="H57" s="280">
        <f ca="1">IF(A56=$D$8,SUM($H$25:H56),IF(A56="","",(G57+F57)))</f>
        <v>23232.527337695603</v>
      </c>
      <c r="I57" s="280" t="str">
        <f t="shared" si="19"/>
        <v/>
      </c>
      <c r="J57" s="280" t="str">
        <f t="shared" si="20"/>
        <v/>
      </c>
      <c r="K57" s="280"/>
      <c r="L57" s="280" t="str">
        <f t="shared" si="21"/>
        <v/>
      </c>
      <c r="M57" s="280" t="str">
        <f t="shared" si="22"/>
        <v/>
      </c>
      <c r="N57" s="283" t="str">
        <f t="shared" si="15"/>
        <v/>
      </c>
      <c r="O57" s="280"/>
      <c r="P57" s="289" t="str">
        <f>IF(A56=$D$8,XIRR(R$24:R56,C$24:C56),"")</f>
        <v/>
      </c>
      <c r="Q57" s="280" t="str">
        <f t="shared" si="10"/>
        <v/>
      </c>
      <c r="R57" s="283">
        <f t="shared" ca="1" si="6"/>
        <v>23232.527337695603</v>
      </c>
      <c r="S57" s="284">
        <f t="shared" ca="1" si="7"/>
        <v>2024</v>
      </c>
      <c r="T57" s="284">
        <f t="shared" ca="1" si="8"/>
        <v>366</v>
      </c>
    </row>
    <row r="58" spans="1:20" x14ac:dyDescent="0.35">
      <c r="A58" s="285">
        <f t="shared" si="9"/>
        <v>34</v>
      </c>
      <c r="B58" s="286">
        <f t="shared" ca="1" si="5"/>
        <v>45522</v>
      </c>
      <c r="C58" s="286">
        <f t="shared" ca="1" si="11"/>
        <v>45522</v>
      </c>
      <c r="D58" s="285">
        <f t="shared" ca="1" si="18"/>
        <v>31</v>
      </c>
      <c r="E58" s="280">
        <f t="shared" ca="1" si="17"/>
        <v>1926845.8380521028</v>
      </c>
      <c r="F58" s="280">
        <f ca="1">IF(AND(A57="",A59=""),"",IF(A58="",SUM($F$25:F57),IF(A58=$D$8,$E$24-SUM($F$25:F57),$F$13-G58)))</f>
        <v>2220.4625454491506</v>
      </c>
      <c r="G58" s="280">
        <f ca="1">IF(A57=$D$8,SUM($G$25:G57),IF(A57&gt;$D$8,"",E57*D58*$F$18/T57))</f>
        <v>21012.064792246452</v>
      </c>
      <c r="H58" s="280">
        <f ca="1">IF(A57=$D$8,SUM($H$25:H57),IF(A57="","",(G58+F58)))</f>
        <v>23232.527337695603</v>
      </c>
      <c r="I58" s="280" t="str">
        <f t="shared" si="19"/>
        <v/>
      </c>
      <c r="J58" s="280" t="str">
        <f t="shared" si="20"/>
        <v/>
      </c>
      <c r="K58" s="280"/>
      <c r="L58" s="280" t="str">
        <f t="shared" si="21"/>
        <v/>
      </c>
      <c r="M58" s="280" t="str">
        <f t="shared" si="22"/>
        <v/>
      </c>
      <c r="N58" s="283" t="str">
        <f t="shared" si="15"/>
        <v/>
      </c>
      <c r="O58" s="280"/>
      <c r="P58" s="289" t="str">
        <f>IF(A57=$D$8,XIRR(R$24:R57,C$24:C57),"")</f>
        <v/>
      </c>
      <c r="Q58" s="280" t="str">
        <f t="shared" si="10"/>
        <v/>
      </c>
      <c r="R58" s="283">
        <f t="shared" ca="1" si="6"/>
        <v>23232.527337695603</v>
      </c>
      <c r="S58" s="284">
        <f t="shared" ca="1" si="7"/>
        <v>2024</v>
      </c>
      <c r="T58" s="284">
        <f t="shared" ca="1" si="8"/>
        <v>366</v>
      </c>
    </row>
    <row r="59" spans="1:20" x14ac:dyDescent="0.35">
      <c r="A59" s="285">
        <f t="shared" si="9"/>
        <v>35</v>
      </c>
      <c r="B59" s="286">
        <f t="shared" ca="1" si="5"/>
        <v>45553</v>
      </c>
      <c r="C59" s="286">
        <f t="shared" ca="1" si="11"/>
        <v>45553</v>
      </c>
      <c r="D59" s="285">
        <f t="shared" ca="1" si="18"/>
        <v>31</v>
      </c>
      <c r="E59" s="280">
        <f t="shared" ca="1" si="17"/>
        <v>1924601.1894520535</v>
      </c>
      <c r="F59" s="280">
        <f ca="1">IF(AND(A58="",A60=""),"",IF(A59="",SUM($F$25:F58),IF(A59=$D$8,$E$24-SUM($F$25:F58),$F$13-G59)))</f>
        <v>2244.6486000493933</v>
      </c>
      <c r="G59" s="280">
        <f ca="1">IF(A58=$D$8,SUM($G$25:G58),IF(A58&gt;$D$8,"",E58*D59*$F$18/T58))</f>
        <v>20987.87873764621</v>
      </c>
      <c r="H59" s="280">
        <f ca="1">IF(A58=$D$8,SUM($H$25:H58),IF(A58="","",(G59+F59)))</f>
        <v>23232.527337695603</v>
      </c>
      <c r="I59" s="280" t="str">
        <f t="shared" si="19"/>
        <v/>
      </c>
      <c r="J59" s="280" t="str">
        <f t="shared" si="20"/>
        <v/>
      </c>
      <c r="K59" s="280"/>
      <c r="L59" s="280" t="str">
        <f t="shared" si="21"/>
        <v/>
      </c>
      <c r="M59" s="280" t="str">
        <f t="shared" si="22"/>
        <v/>
      </c>
      <c r="N59" s="283" t="str">
        <f t="shared" si="15"/>
        <v/>
      </c>
      <c r="O59" s="280"/>
      <c r="P59" s="289" t="str">
        <f>IF(A58=$D$8,XIRR(R$24:R58,C$24:C58),"")</f>
        <v/>
      </c>
      <c r="Q59" s="280" t="str">
        <f t="shared" si="10"/>
        <v/>
      </c>
      <c r="R59" s="283">
        <f t="shared" ca="1" si="6"/>
        <v>23232.527337695603</v>
      </c>
      <c r="S59" s="284">
        <f t="shared" ca="1" si="7"/>
        <v>2024</v>
      </c>
      <c r="T59" s="284">
        <f t="shared" ca="1" si="8"/>
        <v>366</v>
      </c>
    </row>
    <row r="60" spans="1:20" x14ac:dyDescent="0.35">
      <c r="A60" s="285">
        <f t="shared" si="9"/>
        <v>36</v>
      </c>
      <c r="B60" s="286">
        <f t="shared" ca="1" si="5"/>
        <v>45583</v>
      </c>
      <c r="C60" s="286">
        <f t="shared" ca="1" si="11"/>
        <v>45583</v>
      </c>
      <c r="D60" s="285">
        <f t="shared" ca="1" si="18"/>
        <v>30</v>
      </c>
      <c r="E60" s="280">
        <f t="shared" ca="1" si="17"/>
        <v>1921655.8517015327</v>
      </c>
      <c r="F60" s="280">
        <f ca="1">IF(AND(A59="",A61=""),"",IF(A60="",SUM($F$25:F59),IF(A60=$D$8,$E$24-SUM($F$25:F59),$F$13-G60)))</f>
        <v>2945.3377505206772</v>
      </c>
      <c r="G60" s="280">
        <f ca="1">IF(A59=$D$8,SUM($G$25:G59),IF(A59&gt;$D$8,"",E59*D60*$F$18/T59))</f>
        <v>20287.189587174926</v>
      </c>
      <c r="H60" s="280">
        <f ca="1">IF(A59=$D$8,SUM($H$25:H59),IF(A59="","",(G60+F60)))</f>
        <v>23232.527337695603</v>
      </c>
      <c r="I60" s="280" t="str">
        <f t="shared" si="19"/>
        <v/>
      </c>
      <c r="J60" s="280" t="str">
        <f t="shared" si="20"/>
        <v/>
      </c>
      <c r="K60" s="280"/>
      <c r="L60" s="280" t="str">
        <f t="shared" si="21"/>
        <v/>
      </c>
      <c r="M60" s="280" t="str">
        <f t="shared" si="22"/>
        <v/>
      </c>
      <c r="N60" s="283" t="str">
        <f t="shared" si="15"/>
        <v/>
      </c>
      <c r="O60" s="280"/>
      <c r="P60" s="289" t="str">
        <f>IF(A59=$D$8,XIRR(R$24:R59,C$24:C59),"")</f>
        <v/>
      </c>
      <c r="Q60" s="280" t="str">
        <f t="shared" si="10"/>
        <v/>
      </c>
      <c r="R60" s="283">
        <f t="shared" ca="1" si="6"/>
        <v>23232.527337695603</v>
      </c>
      <c r="S60" s="284">
        <f t="shared" ca="1" si="7"/>
        <v>2024</v>
      </c>
      <c r="T60" s="284">
        <f t="shared" ca="1" si="8"/>
        <v>366</v>
      </c>
    </row>
    <row r="61" spans="1:20" x14ac:dyDescent="0.35">
      <c r="A61" s="285">
        <f t="shared" si="9"/>
        <v>37</v>
      </c>
      <c r="B61" s="286">
        <f t="shared" ca="1" si="5"/>
        <v>45614</v>
      </c>
      <c r="C61" s="286">
        <f t="shared" ca="1" si="11"/>
        <v>45614</v>
      </c>
      <c r="D61" s="285">
        <f t="shared" ca="1" si="18"/>
        <v>31</v>
      </c>
      <c r="E61" s="280">
        <f t="shared" ca="1" si="17"/>
        <v>1919354.6719550758</v>
      </c>
      <c r="F61" s="280">
        <f ca="1">IF(AND(A60="",A62=""),"",IF(A61="",SUM($F$25:F60),IF(A61=$D$8,$E$24-SUM($F$25:F60),$F$13-G61)))</f>
        <v>2301.1797464569972</v>
      </c>
      <c r="G61" s="280">
        <f ca="1">IF(A60=$D$8,SUM($G$25:G60),IF(A60&gt;$D$8,"",E60*D61*$F$18/T60))</f>
        <v>20931.347591238606</v>
      </c>
      <c r="H61" s="280">
        <f ca="1">IF(A60=$D$8,SUM($H$25:H60),IF(A60="","",(G61+F61)))</f>
        <v>23232.527337695603</v>
      </c>
      <c r="I61" s="280" t="str">
        <f t="shared" si="19"/>
        <v/>
      </c>
      <c r="J61" s="280" t="str">
        <f t="shared" si="20"/>
        <v/>
      </c>
      <c r="K61" s="280">
        <f>IF($F$8&gt;36,($O$8+$O$10),IF($A$60=$F$8,$K$37+$K$24+$K$49,""))</f>
        <v>7500</v>
      </c>
      <c r="L61" s="280" t="str">
        <f t="shared" si="21"/>
        <v/>
      </c>
      <c r="M61" s="280" t="str">
        <f t="shared" si="22"/>
        <v/>
      </c>
      <c r="N61" s="280">
        <f>IF($F$8&gt;36,($N$14),IF(A60=$F$8,N49+N37+N24,""))</f>
        <v>0</v>
      </c>
      <c r="O61" s="280"/>
      <c r="P61" s="289" t="str">
        <f>IF(A60=$D$8,XIRR(R$24:R60,C$24:C60),"")</f>
        <v/>
      </c>
      <c r="Q61" s="280" t="str">
        <f t="shared" si="10"/>
        <v/>
      </c>
      <c r="R61" s="283">
        <f t="shared" ca="1" si="6"/>
        <v>30732.527337695603</v>
      </c>
      <c r="S61" s="284">
        <f t="shared" ca="1" si="7"/>
        <v>2024</v>
      </c>
      <c r="T61" s="284">
        <f t="shared" ca="1" si="8"/>
        <v>366</v>
      </c>
    </row>
    <row r="62" spans="1:20" x14ac:dyDescent="0.35">
      <c r="A62" s="285">
        <f t="shared" si="9"/>
        <v>38</v>
      </c>
      <c r="B62" s="286">
        <f t="shared" ca="1" si="5"/>
        <v>45644</v>
      </c>
      <c r="C62" s="286">
        <f t="shared" ca="1" si="11"/>
        <v>45644</v>
      </c>
      <c r="D62" s="285">
        <f t="shared" ca="1" si="18"/>
        <v>30</v>
      </c>
      <c r="E62" s="280">
        <f t="shared" ca="1" si="17"/>
        <v>1916354.0307496281</v>
      </c>
      <c r="F62" s="280">
        <f ca="1">IF(AND(A61="",A63=""),"",IF(A62="",SUM($F$25:F61),IF(A62=$D$8,$E$24-SUM($F$25:F61),$F$13-G62)))</f>
        <v>3000.6412054478351</v>
      </c>
      <c r="G62" s="280">
        <f ca="1">IF(A61=$D$8,SUM($G$25:G61),IF(A61&gt;$D$8,"",E61*D62*$F$18/T61))</f>
        <v>20231.886132247768</v>
      </c>
      <c r="H62" s="280">
        <f ca="1">IF(A61=$D$8,SUM($H$25:H61),IF(A61="","",(G62+F62)))</f>
        <v>23232.527337695603</v>
      </c>
      <c r="I62" s="280" t="str">
        <f t="shared" si="19"/>
        <v/>
      </c>
      <c r="J62" s="280" t="str">
        <f t="shared" si="20"/>
        <v/>
      </c>
      <c r="K62" s="280"/>
      <c r="L62" s="280" t="str">
        <f t="shared" si="21"/>
        <v/>
      </c>
      <c r="M62" s="280" t="str">
        <f t="shared" si="22"/>
        <v/>
      </c>
      <c r="N62" s="283" t="str">
        <f t="shared" si="15"/>
        <v/>
      </c>
      <c r="O62" s="280"/>
      <c r="P62" s="289" t="str">
        <f>IF(A61=$D$8,XIRR(R$24:R61,C$24:C61),"")</f>
        <v/>
      </c>
      <c r="Q62" s="280" t="str">
        <f t="shared" si="10"/>
        <v/>
      </c>
      <c r="R62" s="283">
        <f t="shared" ca="1" si="6"/>
        <v>23232.527337695603</v>
      </c>
      <c r="S62" s="284">
        <f t="shared" ca="1" si="7"/>
        <v>2024</v>
      </c>
      <c r="T62" s="284">
        <f t="shared" ca="1" si="8"/>
        <v>366</v>
      </c>
    </row>
    <row r="63" spans="1:20" x14ac:dyDescent="0.35">
      <c r="A63" s="285">
        <f t="shared" si="9"/>
        <v>39</v>
      </c>
      <c r="B63" s="286">
        <f t="shared" ca="1" si="5"/>
        <v>45675</v>
      </c>
      <c r="C63" s="286">
        <f t="shared" ca="1" si="11"/>
        <v>45675</v>
      </c>
      <c r="D63" s="285">
        <f t="shared" ca="1" si="18"/>
        <v>31</v>
      </c>
      <c r="E63" s="280">
        <f t="shared" ca="1" si="17"/>
        <v>1913995.1017151743</v>
      </c>
      <c r="F63" s="280">
        <f ca="1">IF(AND(A62="",A64=""),"",IF(A63="",SUM($F$25:F62),IF(A63=$D$8,$E$24-SUM($F$25:F62),$F$13-G63)))</f>
        <v>2358.9290344538895</v>
      </c>
      <c r="G63" s="280">
        <f ca="1">IF(A62=$D$8,SUM($G$25:G62),IF(A62&gt;$D$8,"",E62*D63*$F$18/T62))</f>
        <v>20873.598303241713</v>
      </c>
      <c r="H63" s="280">
        <f ca="1">IF(A62=$D$8,SUM($H$25:H62),IF(A62="","",(G63+F63)))</f>
        <v>23232.527337695603</v>
      </c>
      <c r="I63" s="280" t="str">
        <f t="shared" si="19"/>
        <v/>
      </c>
      <c r="J63" s="280" t="str">
        <f t="shared" si="20"/>
        <v/>
      </c>
      <c r="K63" s="280"/>
      <c r="L63" s="280" t="str">
        <f t="shared" si="21"/>
        <v/>
      </c>
      <c r="M63" s="280" t="str">
        <f t="shared" si="22"/>
        <v/>
      </c>
      <c r="N63" s="283" t="str">
        <f t="shared" si="15"/>
        <v/>
      </c>
      <c r="O63" s="280"/>
      <c r="P63" s="289" t="str">
        <f>IF(A62=$D$8,XIRR(R$24:R62,C$24:C62),"")</f>
        <v/>
      </c>
      <c r="Q63" s="280" t="str">
        <f t="shared" si="10"/>
        <v/>
      </c>
      <c r="R63" s="283">
        <f t="shared" ca="1" si="6"/>
        <v>23232.527337695603</v>
      </c>
      <c r="S63" s="284">
        <f t="shared" ca="1" si="7"/>
        <v>2025</v>
      </c>
      <c r="T63" s="284">
        <f t="shared" ca="1" si="8"/>
        <v>365</v>
      </c>
    </row>
    <row r="64" spans="1:20" x14ac:dyDescent="0.35">
      <c r="A64" s="285">
        <f t="shared" si="9"/>
        <v>40</v>
      </c>
      <c r="B64" s="286">
        <f t="shared" ca="1" si="5"/>
        <v>45706</v>
      </c>
      <c r="C64" s="286">
        <f t="shared" ca="1" si="11"/>
        <v>45706</v>
      </c>
      <c r="D64" s="285">
        <f t="shared" ca="1" si="18"/>
        <v>31</v>
      </c>
      <c r="E64" s="280">
        <f t="shared" ca="1" si="17"/>
        <v>1911667.5959459655</v>
      </c>
      <c r="F64" s="280">
        <f ca="1">IF(AND(A63="",A65=""),"",IF(A64="",SUM($F$25:F63),IF(A64=$D$8,$E$24-SUM($F$25:F63),$F$13-G64)))</f>
        <v>2327.5057692087175</v>
      </c>
      <c r="G64" s="280">
        <f ca="1">IF(A63=$D$8,SUM($G$25:G63),IF(A63&gt;$D$8,"",E63*D64*$F$18/T63))</f>
        <v>20905.021568486885</v>
      </c>
      <c r="H64" s="280">
        <f ca="1">IF(A63=$D$8,SUM($H$25:H63),IF(A63="","",(G64+F64)))</f>
        <v>23232.527337695603</v>
      </c>
      <c r="I64" s="280" t="str">
        <f t="shared" si="19"/>
        <v/>
      </c>
      <c r="J64" s="280" t="str">
        <f t="shared" si="20"/>
        <v/>
      </c>
      <c r="K64" s="280"/>
      <c r="L64" s="280" t="str">
        <f t="shared" si="21"/>
        <v/>
      </c>
      <c r="M64" s="280" t="str">
        <f t="shared" si="22"/>
        <v/>
      </c>
      <c r="N64" s="283" t="str">
        <f t="shared" si="15"/>
        <v/>
      </c>
      <c r="O64" s="280"/>
      <c r="P64" s="289" t="str">
        <f>IF(A63=$D$8,XIRR(R$24:R63,C$24:C63),"")</f>
        <v/>
      </c>
      <c r="Q64" s="280" t="str">
        <f t="shared" si="10"/>
        <v/>
      </c>
      <c r="R64" s="283">
        <f t="shared" ca="1" si="6"/>
        <v>23232.527337695603</v>
      </c>
      <c r="S64" s="284">
        <f t="shared" ca="1" si="7"/>
        <v>2025</v>
      </c>
      <c r="T64" s="284">
        <f t="shared" ca="1" si="8"/>
        <v>365</v>
      </c>
    </row>
    <row r="65" spans="1:20" x14ac:dyDescent="0.35">
      <c r="A65" s="285">
        <f t="shared" si="9"/>
        <v>41</v>
      </c>
      <c r="B65" s="286">
        <f t="shared" ca="1" si="5"/>
        <v>45734</v>
      </c>
      <c r="C65" s="286">
        <f t="shared" ca="1" si="11"/>
        <v>45734</v>
      </c>
      <c r="D65" s="285">
        <f t="shared" ca="1" si="18"/>
        <v>28</v>
      </c>
      <c r="E65" s="280">
        <f t="shared" ca="1" si="17"/>
        <v>1907294.062250687</v>
      </c>
      <c r="F65" s="280">
        <f ca="1">IF(AND(A64="",A66=""),"",IF(A65="",SUM($F$25:F64),IF(A65=$D$8,$E$24-SUM($F$25:F64),$F$13-G65)))</f>
        <v>4373.5336952785292</v>
      </c>
      <c r="G65" s="280">
        <f ca="1">IF(A64=$D$8,SUM($G$25:G64),IF(A64&gt;$D$8,"",E64*D65*$F$18/T64))</f>
        <v>18858.993642417074</v>
      </c>
      <c r="H65" s="280">
        <f ca="1">IF(A64=$D$8,SUM($H$25:H64),IF(A64="","",(G65+F65)))</f>
        <v>23232.527337695603</v>
      </c>
      <c r="I65" s="280" t="str">
        <f t="shared" si="19"/>
        <v/>
      </c>
      <c r="J65" s="280" t="str">
        <f t="shared" si="20"/>
        <v/>
      </c>
      <c r="K65" s="280"/>
      <c r="L65" s="280" t="str">
        <f t="shared" si="21"/>
        <v/>
      </c>
      <c r="M65" s="280" t="str">
        <f t="shared" si="22"/>
        <v/>
      </c>
      <c r="N65" s="283" t="str">
        <f t="shared" si="15"/>
        <v/>
      </c>
      <c r="O65" s="280"/>
      <c r="P65" s="289" t="str">
        <f>IF(A64=$D$8,XIRR(R$24:R64,C$24:C64),"")</f>
        <v/>
      </c>
      <c r="Q65" s="280" t="str">
        <f t="shared" si="10"/>
        <v/>
      </c>
      <c r="R65" s="283">
        <f t="shared" ca="1" si="6"/>
        <v>23232.527337695603</v>
      </c>
      <c r="S65" s="284">
        <f t="shared" ca="1" si="7"/>
        <v>2025</v>
      </c>
      <c r="T65" s="284">
        <f t="shared" ca="1" si="8"/>
        <v>365</v>
      </c>
    </row>
    <row r="66" spans="1:20" x14ac:dyDescent="0.35">
      <c r="A66" s="285">
        <f t="shared" si="9"/>
        <v>42</v>
      </c>
      <c r="B66" s="286">
        <f t="shared" ca="1" si="5"/>
        <v>45765</v>
      </c>
      <c r="C66" s="286">
        <f t="shared" ca="1" si="11"/>
        <v>45765</v>
      </c>
      <c r="D66" s="285">
        <f t="shared" ca="1" si="18"/>
        <v>31</v>
      </c>
      <c r="E66" s="280">
        <f t="shared" ca="1" si="17"/>
        <v>1904893.3664433165</v>
      </c>
      <c r="F66" s="280">
        <f ca="1">IF(AND(A65="",A67=""),"",IF(A66="",SUM($F$25:F65),IF(A66=$D$8,$E$24-SUM($F$25:F65),$F$13-G66)))</f>
        <v>2400.6958073707028</v>
      </c>
      <c r="G66" s="280">
        <f ca="1">IF(A65=$D$8,SUM($G$25:G65),IF(A65&gt;$D$8,"",E65*D66*$F$18/T65))</f>
        <v>20831.8315303249</v>
      </c>
      <c r="H66" s="280">
        <f ca="1">IF(A65=$D$8,SUM($H$25:H65),IF(A65="","",(G66+F66)))</f>
        <v>23232.527337695603</v>
      </c>
      <c r="I66" s="280" t="str">
        <f t="shared" si="19"/>
        <v/>
      </c>
      <c r="J66" s="280" t="str">
        <f t="shared" si="20"/>
        <v/>
      </c>
      <c r="K66" s="280"/>
      <c r="L66" s="280" t="str">
        <f t="shared" si="21"/>
        <v/>
      </c>
      <c r="M66" s="280" t="str">
        <f t="shared" si="22"/>
        <v/>
      </c>
      <c r="N66" s="283" t="str">
        <f t="shared" si="15"/>
        <v/>
      </c>
      <c r="O66" s="280"/>
      <c r="P66" s="289" t="str">
        <f>IF(A65=$D$8,XIRR(R$24:R65,C$24:C65),"")</f>
        <v/>
      </c>
      <c r="Q66" s="280" t="str">
        <f t="shared" si="10"/>
        <v/>
      </c>
      <c r="R66" s="283">
        <f t="shared" ca="1" si="6"/>
        <v>23232.527337695603</v>
      </c>
      <c r="S66" s="284">
        <f t="shared" ca="1" si="7"/>
        <v>2025</v>
      </c>
      <c r="T66" s="284">
        <f t="shared" ca="1" si="8"/>
        <v>365</v>
      </c>
    </row>
    <row r="67" spans="1:20" x14ac:dyDescent="0.35">
      <c r="A67" s="285">
        <f t="shared" si="9"/>
        <v>43</v>
      </c>
      <c r="B67" s="286">
        <f t="shared" ca="1" si="5"/>
        <v>45795</v>
      </c>
      <c r="C67" s="286">
        <f t="shared" ca="1" si="11"/>
        <v>45795</v>
      </c>
      <c r="D67" s="285">
        <f t="shared" ca="1" si="18"/>
        <v>30</v>
      </c>
      <c r="E67" s="280">
        <f t="shared" ca="1" si="17"/>
        <v>1901795.3010446299</v>
      </c>
      <c r="F67" s="280">
        <f ca="1">IF(AND(A66="",A68=""),"",IF(A67="",SUM($F$25:F66),IF(A67=$D$8,$E$24-SUM($F$25:F66),$F$13-G67)))</f>
        <v>3098.0653986865218</v>
      </c>
      <c r="G67" s="280">
        <f ca="1">IF(A66=$D$8,SUM($G$25:G66),IF(A66&gt;$D$8,"",E66*D67*$F$18/T66))</f>
        <v>20134.461939009081</v>
      </c>
      <c r="H67" s="280">
        <f ca="1">IF(A66=$D$8,SUM($H$25:H66),IF(A66="","",(G67+F67)))</f>
        <v>23232.527337695603</v>
      </c>
      <c r="I67" s="280" t="str">
        <f t="shared" si="19"/>
        <v/>
      </c>
      <c r="J67" s="280" t="str">
        <f t="shared" si="20"/>
        <v/>
      </c>
      <c r="K67" s="280"/>
      <c r="L67" s="280" t="str">
        <f t="shared" si="21"/>
        <v/>
      </c>
      <c r="M67" s="280" t="str">
        <f t="shared" si="22"/>
        <v/>
      </c>
      <c r="N67" s="283" t="str">
        <f t="shared" si="15"/>
        <v/>
      </c>
      <c r="O67" s="280"/>
      <c r="P67" s="289" t="str">
        <f>IF(A66=$D$8,XIRR(R$24:R66,C$24:C66),"")</f>
        <v/>
      </c>
      <c r="Q67" s="280" t="str">
        <f t="shared" si="10"/>
        <v/>
      </c>
      <c r="R67" s="283">
        <f t="shared" ca="1" si="6"/>
        <v>23232.527337695603</v>
      </c>
      <c r="S67" s="284">
        <f t="shared" ca="1" si="7"/>
        <v>2025</v>
      </c>
      <c r="T67" s="284">
        <f t="shared" ca="1" si="8"/>
        <v>365</v>
      </c>
    </row>
    <row r="68" spans="1:20" x14ac:dyDescent="0.35">
      <c r="A68" s="285">
        <f t="shared" si="9"/>
        <v>44</v>
      </c>
      <c r="B68" s="286">
        <f t="shared" ca="1" si="5"/>
        <v>45826</v>
      </c>
      <c r="C68" s="286">
        <f t="shared" ca="1" si="11"/>
        <v>45826</v>
      </c>
      <c r="D68" s="285">
        <f t="shared" ca="1" si="18"/>
        <v>31</v>
      </c>
      <c r="E68" s="280">
        <f t="shared" ca="1" si="17"/>
        <v>1899334.5467128097</v>
      </c>
      <c r="F68" s="280">
        <f ca="1">IF(AND(A67="",A69=""),"",IF(A68="",SUM($F$25:F67),IF(A68=$D$8,$E$24-SUM($F$25:F67),$F$13-G68)))</f>
        <v>2460.7543318202006</v>
      </c>
      <c r="G68" s="280">
        <f ca="1">IF(A67=$D$8,SUM($G$25:G67),IF(A67&gt;$D$8,"",E67*D68*$F$18/T67))</f>
        <v>20771.773005875402</v>
      </c>
      <c r="H68" s="280">
        <f ca="1">IF(A67=$D$8,SUM($H$25:H67),IF(A67="","",(G68+F68)))</f>
        <v>23232.527337695603</v>
      </c>
      <c r="I68" s="280" t="str">
        <f t="shared" si="19"/>
        <v/>
      </c>
      <c r="J68" s="280" t="str">
        <f t="shared" si="20"/>
        <v/>
      </c>
      <c r="K68" s="280"/>
      <c r="L68" s="280" t="str">
        <f t="shared" si="21"/>
        <v/>
      </c>
      <c r="M68" s="280" t="str">
        <f t="shared" si="22"/>
        <v/>
      </c>
      <c r="N68" s="283" t="str">
        <f t="shared" si="15"/>
        <v/>
      </c>
      <c r="O68" s="280"/>
      <c r="P68" s="289" t="str">
        <f>IF(A67=$D$8,XIRR(R$24:R67,C$24:C67),"")</f>
        <v/>
      </c>
      <c r="Q68" s="280" t="str">
        <f t="shared" si="10"/>
        <v/>
      </c>
      <c r="R68" s="283">
        <f t="shared" ca="1" si="6"/>
        <v>23232.527337695603</v>
      </c>
      <c r="S68" s="284">
        <f t="shared" ca="1" si="7"/>
        <v>2025</v>
      </c>
      <c r="T68" s="284">
        <f t="shared" ca="1" si="8"/>
        <v>365</v>
      </c>
    </row>
    <row r="69" spans="1:20" x14ac:dyDescent="0.35">
      <c r="A69" s="285">
        <f t="shared" si="9"/>
        <v>45</v>
      </c>
      <c r="B69" s="286">
        <f t="shared" ca="1" si="5"/>
        <v>45856</v>
      </c>
      <c r="C69" s="286">
        <f t="shared" ca="1" si="11"/>
        <v>45856</v>
      </c>
      <c r="D69" s="285">
        <f t="shared" ca="1" si="18"/>
        <v>30</v>
      </c>
      <c r="E69" s="280">
        <f t="shared" ref="E69:E81" ca="1" si="23">IF(A69&gt;$D$8,"",E68-F69)</f>
        <v>1896177.725351054</v>
      </c>
      <c r="F69" s="280">
        <f ca="1">IF(AND(A68="",A70=""),"",IF(A69="",SUM($F$25:F68),IF(A69=$D$8,$E$24-SUM($F$25:F68),$F$13-G69)))</f>
        <v>3156.8213617558213</v>
      </c>
      <c r="G69" s="280">
        <f ca="1">IF(A68=$D$8,SUM($G$25:G68),IF(A68&gt;$D$8,"",E68*D69*$F$18/T68))</f>
        <v>20075.705975939782</v>
      </c>
      <c r="H69" s="280">
        <f ca="1">IF(A68=$D$8,SUM($H$25:H68),IF(A68="","",(G69+F69)))</f>
        <v>23232.527337695603</v>
      </c>
      <c r="I69" s="280" t="str">
        <f t="shared" si="19"/>
        <v/>
      </c>
      <c r="J69" s="280" t="str">
        <f t="shared" si="20"/>
        <v/>
      </c>
      <c r="K69" s="280"/>
      <c r="L69" s="280" t="str">
        <f t="shared" si="21"/>
        <v/>
      </c>
      <c r="M69" s="280" t="str">
        <f t="shared" si="22"/>
        <v/>
      </c>
      <c r="N69" s="283" t="str">
        <f t="shared" si="15"/>
        <v/>
      </c>
      <c r="O69" s="280"/>
      <c r="P69" s="289" t="str">
        <f>IF(A68=$D$8,XIRR(R$24:R68,C$24:C68),"")</f>
        <v/>
      </c>
      <c r="Q69" s="280" t="str">
        <f t="shared" si="10"/>
        <v/>
      </c>
      <c r="R69" s="283">
        <f t="shared" ca="1" si="6"/>
        <v>23232.527337695603</v>
      </c>
      <c r="S69" s="284">
        <f t="shared" ca="1" si="7"/>
        <v>2025</v>
      </c>
      <c r="T69" s="284">
        <f t="shared" ca="1" si="8"/>
        <v>365</v>
      </c>
    </row>
    <row r="70" spans="1:20" x14ac:dyDescent="0.35">
      <c r="A70" s="285">
        <f t="shared" si="9"/>
        <v>46</v>
      </c>
      <c r="B70" s="286">
        <f t="shared" ca="1" si="5"/>
        <v>45887</v>
      </c>
      <c r="C70" s="286">
        <f t="shared" ca="1" si="11"/>
        <v>45887</v>
      </c>
      <c r="D70" s="285">
        <f t="shared" ca="1" si="18"/>
        <v>31</v>
      </c>
      <c r="E70" s="280">
        <f t="shared" ca="1" si="23"/>
        <v>1893655.6147801653</v>
      </c>
      <c r="F70" s="280">
        <f ca="1">IF(AND(A69="",A71=""),"",IF(A70="",SUM($F$25:F69),IF(A70=$D$8,$E$24-SUM($F$25:F69),$F$13-G70)))</f>
        <v>2522.1105708887226</v>
      </c>
      <c r="G70" s="280">
        <f ca="1">IF(A69=$D$8,SUM($G$25:G69),IF(A69&gt;$D$8,"",E69*D70*$F$18/T69))</f>
        <v>20710.41676680688</v>
      </c>
      <c r="H70" s="280">
        <f ca="1">IF(A69=$D$8,SUM($H$25:H69),IF(A69="","",(G70+F70)))</f>
        <v>23232.527337695603</v>
      </c>
      <c r="I70" s="280" t="str">
        <f t="shared" si="19"/>
        <v/>
      </c>
      <c r="J70" s="280" t="str">
        <f t="shared" si="20"/>
        <v/>
      </c>
      <c r="K70" s="280"/>
      <c r="L70" s="280" t="str">
        <f t="shared" si="21"/>
        <v/>
      </c>
      <c r="M70" s="280" t="str">
        <f t="shared" si="22"/>
        <v/>
      </c>
      <c r="N70" s="283" t="str">
        <f t="shared" si="15"/>
        <v/>
      </c>
      <c r="O70" s="280"/>
      <c r="P70" s="289" t="str">
        <f>IF(A69=$D$8,XIRR(R$24:R69,C$24:C69),"")</f>
        <v/>
      </c>
      <c r="Q70" s="280" t="str">
        <f t="shared" si="10"/>
        <v/>
      </c>
      <c r="R70" s="283">
        <f t="shared" ca="1" si="6"/>
        <v>23232.527337695603</v>
      </c>
      <c r="S70" s="284">
        <f t="shared" ca="1" si="7"/>
        <v>2025</v>
      </c>
      <c r="T70" s="284">
        <f t="shared" ca="1" si="8"/>
        <v>365</v>
      </c>
    </row>
    <row r="71" spans="1:20" x14ac:dyDescent="0.35">
      <c r="A71" s="285">
        <f t="shared" si="9"/>
        <v>47</v>
      </c>
      <c r="B71" s="286">
        <f t="shared" ca="1" si="5"/>
        <v>45918</v>
      </c>
      <c r="C71" s="286">
        <f t="shared" ca="1" si="11"/>
        <v>45918</v>
      </c>
      <c r="D71" s="285">
        <f t="shared" ca="1" si="18"/>
        <v>31</v>
      </c>
      <c r="E71" s="280">
        <f t="shared" ca="1" si="23"/>
        <v>1891105.9572339288</v>
      </c>
      <c r="F71" s="280">
        <f ca="1">IF(AND(A70="",A72=""),"",IF(A71="",SUM($F$25:F70),IF(A71=$D$8,$E$24-SUM($F$25:F70),$F$13-G71)))</f>
        <v>2549.657546236409</v>
      </c>
      <c r="G71" s="280">
        <f ca="1">IF(A70=$D$8,SUM($G$25:G70),IF(A70&gt;$D$8,"",E70*D71*$F$18/T70))</f>
        <v>20682.869791459194</v>
      </c>
      <c r="H71" s="280">
        <f ca="1">IF(A70=$D$8,SUM($H$25:H70),IF(A70="","",(G71+F71)))</f>
        <v>23232.527337695603</v>
      </c>
      <c r="I71" s="280" t="str">
        <f t="shared" si="19"/>
        <v/>
      </c>
      <c r="J71" s="280" t="str">
        <f t="shared" si="20"/>
        <v/>
      </c>
      <c r="K71" s="280"/>
      <c r="L71" s="280" t="str">
        <f t="shared" si="21"/>
        <v/>
      </c>
      <c r="M71" s="280" t="str">
        <f t="shared" si="22"/>
        <v/>
      </c>
      <c r="N71" s="283" t="str">
        <f t="shared" si="15"/>
        <v/>
      </c>
      <c r="O71" s="280"/>
      <c r="P71" s="289" t="str">
        <f>IF(A70=$D$8,XIRR(R$24:R70,C$24:C70),"")</f>
        <v/>
      </c>
      <c r="Q71" s="280" t="str">
        <f t="shared" si="10"/>
        <v/>
      </c>
      <c r="R71" s="283">
        <f t="shared" ca="1" si="6"/>
        <v>23232.527337695603</v>
      </c>
      <c r="S71" s="284">
        <f t="shared" ca="1" si="7"/>
        <v>2025</v>
      </c>
      <c r="T71" s="284">
        <f t="shared" ca="1" si="8"/>
        <v>365</v>
      </c>
    </row>
    <row r="72" spans="1:20" x14ac:dyDescent="0.35">
      <c r="A72" s="285">
        <f t="shared" si="9"/>
        <v>48</v>
      </c>
      <c r="B72" s="286">
        <f t="shared" ca="1" si="5"/>
        <v>45948</v>
      </c>
      <c r="C72" s="286">
        <f t="shared" ca="1" si="11"/>
        <v>45948</v>
      </c>
      <c r="D72" s="285">
        <f t="shared" ca="1" si="18"/>
        <v>30</v>
      </c>
      <c r="E72" s="280">
        <f t="shared" ca="1" si="23"/>
        <v>1887862.1608085854</v>
      </c>
      <c r="F72" s="280">
        <f ca="1">IF(AND(A71="",A73=""),"",IF(A72="",SUM($F$25:F71),IF(A72=$D$8,$E$24-SUM($F$25:F71),$F$13-G72)))</f>
        <v>3243.7964253435566</v>
      </c>
      <c r="G72" s="280">
        <f ca="1">IF(A71=$D$8,SUM($G$25:G71),IF(A71&gt;$D$8,"",E71*D72*$F$18/T71))</f>
        <v>19988.730912352046</v>
      </c>
      <c r="H72" s="280">
        <f ca="1">IF(A71=$D$8,SUM($H$25:H71),IF(A71="","",(G72+F72)))</f>
        <v>23232.527337695603</v>
      </c>
      <c r="I72" s="280" t="str">
        <f t="shared" si="19"/>
        <v/>
      </c>
      <c r="J72" s="280" t="str">
        <f t="shared" si="20"/>
        <v/>
      </c>
      <c r="K72" s="280"/>
      <c r="L72" s="280" t="str">
        <f t="shared" si="21"/>
        <v/>
      </c>
      <c r="M72" s="280" t="str">
        <f t="shared" si="22"/>
        <v/>
      </c>
      <c r="N72" s="283" t="str">
        <f t="shared" si="15"/>
        <v/>
      </c>
      <c r="O72" s="280"/>
      <c r="P72" s="289" t="str">
        <f>IF(A71=$D$8,XIRR(R$24:R71,C$24:C71),"")</f>
        <v/>
      </c>
      <c r="Q72" s="280" t="str">
        <f t="shared" si="10"/>
        <v/>
      </c>
      <c r="R72" s="283">
        <f t="shared" ca="1" si="6"/>
        <v>23232.527337695603</v>
      </c>
      <c r="S72" s="284">
        <f t="shared" ca="1" si="7"/>
        <v>2025</v>
      </c>
      <c r="T72" s="284">
        <f t="shared" ca="1" si="8"/>
        <v>365</v>
      </c>
    </row>
    <row r="73" spans="1:20" x14ac:dyDescent="0.35">
      <c r="A73" s="285">
        <f t="shared" si="9"/>
        <v>49</v>
      </c>
      <c r="B73" s="286">
        <f t="shared" ca="1" si="5"/>
        <v>45979</v>
      </c>
      <c r="C73" s="286">
        <f t="shared" ca="1" si="11"/>
        <v>45979</v>
      </c>
      <c r="D73" s="285">
        <f t="shared" ca="1" si="18"/>
        <v>31</v>
      </c>
      <c r="E73" s="280">
        <f t="shared" ca="1" si="23"/>
        <v>1885249.2260469981</v>
      </c>
      <c r="F73" s="280">
        <f ca="1">IF(AND(A72="",A74=""),"",IF(A73="",SUM($F$25:F72),IF(A73=$D$8,$E$24-SUM($F$25:F72),$F$13-G73)))</f>
        <v>2612.9347615873667</v>
      </c>
      <c r="G73" s="280">
        <f ca="1">IF(A72=$D$8,SUM($G$25:G72),IF(A72&gt;$D$8,"",E72*D73*$F$18/T72))</f>
        <v>20619.592576108236</v>
      </c>
      <c r="H73" s="280">
        <f ca="1">IF(A72=$D$8,SUM($H$25:H72),IF(A72="","",(G73+F73)))</f>
        <v>23232.527337695603</v>
      </c>
      <c r="I73" s="280" t="str">
        <f t="shared" si="19"/>
        <v/>
      </c>
      <c r="J73" s="280" t="str">
        <f t="shared" si="20"/>
        <v/>
      </c>
      <c r="K73" s="280">
        <f>IF($F$8&gt;48,($O$8+$O$10),IF($A$72=$F$8,$K$37+$K$24+$K$49+$K$61,""))</f>
        <v>7500</v>
      </c>
      <c r="L73" s="280" t="str">
        <f t="shared" si="21"/>
        <v/>
      </c>
      <c r="M73" s="280" t="str">
        <f t="shared" si="22"/>
        <v/>
      </c>
      <c r="N73" s="280">
        <f>IF($F$8&gt;48,($N$14),IF(A72=$F$8,N61+N49+N37+N24,""))</f>
        <v>0</v>
      </c>
      <c r="O73" s="280"/>
      <c r="P73" s="289" t="str">
        <f>IF(A72=$D$8,XIRR(R$24:R72,C$24:C72),"")</f>
        <v/>
      </c>
      <c r="Q73" s="280" t="str">
        <f t="shared" si="10"/>
        <v/>
      </c>
      <c r="R73" s="283">
        <f t="shared" ca="1" si="6"/>
        <v>30732.527337695603</v>
      </c>
      <c r="S73" s="284">
        <f t="shared" ca="1" si="7"/>
        <v>2025</v>
      </c>
      <c r="T73" s="284">
        <f t="shared" ca="1" si="8"/>
        <v>365</v>
      </c>
    </row>
    <row r="74" spans="1:20" x14ac:dyDescent="0.35">
      <c r="A74" s="285">
        <f t="shared" si="9"/>
        <v>50</v>
      </c>
      <c r="B74" s="286">
        <f t="shared" ca="1" si="5"/>
        <v>46009</v>
      </c>
      <c r="C74" s="286">
        <f t="shared" ca="1" si="11"/>
        <v>46009</v>
      </c>
      <c r="D74" s="285">
        <f t="shared" ca="1" si="18"/>
        <v>30</v>
      </c>
      <c r="E74" s="280">
        <f t="shared" ca="1" si="23"/>
        <v>1881943.5247753006</v>
      </c>
      <c r="F74" s="280">
        <f ca="1">IF(AND(A73="",A75=""),"",IF(A74="",SUM($F$25:F73),IF(A74=$D$8,$E$24-SUM($F$25:F73),$F$13-G74)))</f>
        <v>3305.7012716974714</v>
      </c>
      <c r="G74" s="280">
        <f ca="1">IF(A73=$D$8,SUM($G$25:G73),IF(A73&gt;$D$8,"",E73*D74*$F$18/T73))</f>
        <v>19926.826065998132</v>
      </c>
      <c r="H74" s="280">
        <f ca="1">IF(A73=$D$8,SUM($H$25:H73),IF(A73="","",(G74+F74)))</f>
        <v>23232.527337695603</v>
      </c>
      <c r="I74" s="280" t="str">
        <f t="shared" si="19"/>
        <v/>
      </c>
      <c r="J74" s="280" t="str">
        <f t="shared" si="20"/>
        <v/>
      </c>
      <c r="K74" s="280"/>
      <c r="L74" s="280" t="str">
        <f t="shared" si="21"/>
        <v/>
      </c>
      <c r="M74" s="280" t="str">
        <f t="shared" si="22"/>
        <v/>
      </c>
      <c r="N74" s="283" t="str">
        <f t="shared" si="15"/>
        <v/>
      </c>
      <c r="O74" s="280"/>
      <c r="P74" s="289" t="str">
        <f>IF(A73=$D$8,XIRR(R$24:R73,C$24:C73),"")</f>
        <v/>
      </c>
      <c r="Q74" s="280" t="str">
        <f t="shared" si="10"/>
        <v/>
      </c>
      <c r="R74" s="283">
        <f t="shared" ca="1" si="6"/>
        <v>23232.527337695603</v>
      </c>
      <c r="S74" s="284">
        <f t="shared" ca="1" si="7"/>
        <v>2025</v>
      </c>
      <c r="T74" s="284">
        <f t="shared" ca="1" si="8"/>
        <v>365</v>
      </c>
    </row>
    <row r="75" spans="1:20" x14ac:dyDescent="0.35">
      <c r="A75" s="285">
        <f t="shared" si="9"/>
        <v>51</v>
      </c>
      <c r="B75" s="286">
        <f t="shared" ca="1" si="5"/>
        <v>46040</v>
      </c>
      <c r="C75" s="286">
        <f t="shared" ca="1" si="11"/>
        <v>46040</v>
      </c>
      <c r="D75" s="285">
        <f t="shared" ca="1" si="18"/>
        <v>31</v>
      </c>
      <c r="E75" s="280">
        <f t="shared" ca="1" si="23"/>
        <v>1879265.9455358768</v>
      </c>
      <c r="F75" s="280">
        <f ca="1">IF(AND(A74="",A76=""),"",IF(A75="",SUM($F$25:F74),IF(A75=$D$8,$E$24-SUM($F$25:F74),$F$13-G75)))</f>
        <v>2677.5792394237869</v>
      </c>
      <c r="G75" s="280">
        <f ca="1">IF(A74=$D$8,SUM($G$25:G74),IF(A74&gt;$D$8,"",E74*D75*$F$18/T74))</f>
        <v>20554.948098271816</v>
      </c>
      <c r="H75" s="280">
        <f ca="1">IF(A74=$D$8,SUM($H$25:H74),IF(A74="","",(G75+F75)))</f>
        <v>23232.527337695603</v>
      </c>
      <c r="I75" s="280" t="str">
        <f t="shared" si="19"/>
        <v/>
      </c>
      <c r="J75" s="280" t="str">
        <f t="shared" si="20"/>
        <v/>
      </c>
      <c r="K75" s="280"/>
      <c r="L75" s="280" t="str">
        <f t="shared" si="21"/>
        <v/>
      </c>
      <c r="M75" s="280" t="str">
        <f t="shared" si="22"/>
        <v/>
      </c>
      <c r="N75" s="283" t="str">
        <f t="shared" si="15"/>
        <v/>
      </c>
      <c r="O75" s="280"/>
      <c r="P75" s="289" t="str">
        <f>IF(A74=$D$8,XIRR(R$24:R74,C$24:C74),"")</f>
        <v/>
      </c>
      <c r="Q75" s="280" t="str">
        <f t="shared" si="10"/>
        <v/>
      </c>
      <c r="R75" s="283">
        <f t="shared" ca="1" si="6"/>
        <v>23232.527337695603</v>
      </c>
      <c r="S75" s="284">
        <f t="shared" ca="1" si="7"/>
        <v>2026</v>
      </c>
      <c r="T75" s="284">
        <f t="shared" ca="1" si="8"/>
        <v>365</v>
      </c>
    </row>
    <row r="76" spans="1:20" x14ac:dyDescent="0.35">
      <c r="A76" s="285">
        <f t="shared" si="9"/>
        <v>52</v>
      </c>
      <c r="B76" s="286">
        <f t="shared" ca="1" si="5"/>
        <v>46071</v>
      </c>
      <c r="C76" s="286">
        <f t="shared" ca="1" si="11"/>
        <v>46071</v>
      </c>
      <c r="D76" s="285">
        <f t="shared" ca="1" si="18"/>
        <v>31</v>
      </c>
      <c r="E76" s="280">
        <f t="shared" ca="1" si="23"/>
        <v>1876559.1212624917</v>
      </c>
      <c r="F76" s="280">
        <f ca="1">IF(AND(A75="",A77=""),"",IF(A76="",SUM($F$25:F75),IF(A76=$D$8,$E$24-SUM($F$25:F75),$F$13-G76)))</f>
        <v>2706.8242733851221</v>
      </c>
      <c r="G76" s="280">
        <f ca="1">IF(A75=$D$8,SUM($G$25:G75),IF(A75&gt;$D$8,"",E75*D76*$F$18/T75))</f>
        <v>20525.703064310481</v>
      </c>
      <c r="H76" s="280">
        <f ca="1">IF(A75=$D$8,SUM($H$25:H75),IF(A75="","",(G76+F76)))</f>
        <v>23232.527337695603</v>
      </c>
      <c r="I76" s="280" t="str">
        <f t="shared" si="19"/>
        <v/>
      </c>
      <c r="J76" s="280" t="str">
        <f t="shared" si="20"/>
        <v/>
      </c>
      <c r="K76" s="280"/>
      <c r="L76" s="280" t="str">
        <f t="shared" si="21"/>
        <v/>
      </c>
      <c r="M76" s="280" t="str">
        <f t="shared" si="22"/>
        <v/>
      </c>
      <c r="N76" s="283" t="str">
        <f t="shared" si="15"/>
        <v/>
      </c>
      <c r="O76" s="280"/>
      <c r="P76" s="289" t="str">
        <f>IF(A75=$D$8,XIRR(R$24:R75,C$24:C75),"")</f>
        <v/>
      </c>
      <c r="Q76" s="280" t="str">
        <f t="shared" si="10"/>
        <v/>
      </c>
      <c r="R76" s="283">
        <f t="shared" ca="1" si="6"/>
        <v>23232.527337695603</v>
      </c>
      <c r="S76" s="284">
        <f t="shared" ca="1" si="7"/>
        <v>2026</v>
      </c>
      <c r="T76" s="284">
        <f t="shared" ca="1" si="8"/>
        <v>365</v>
      </c>
    </row>
    <row r="77" spans="1:20" x14ac:dyDescent="0.35">
      <c r="A77" s="285">
        <f t="shared" si="9"/>
        <v>53</v>
      </c>
      <c r="B77" s="286">
        <f t="shared" ca="1" si="5"/>
        <v>46099</v>
      </c>
      <c r="C77" s="286">
        <f t="shared" ca="1" si="11"/>
        <v>46099</v>
      </c>
      <c r="D77" s="285">
        <f t="shared" ca="1" si="18"/>
        <v>28</v>
      </c>
      <c r="E77" s="280">
        <f t="shared" ca="1" si="23"/>
        <v>1871839.2352503906</v>
      </c>
      <c r="F77" s="280">
        <f ca="1">IF(AND(A76="",A78=""),"",IF(A77="",SUM($F$25:F76),IF(A77=$D$8,$E$24-SUM($F$25:F76),$F$13-G77)))</f>
        <v>4719.8860121011348</v>
      </c>
      <c r="G77" s="280">
        <f ca="1">IF(A76=$D$8,SUM($G$25:G76),IF(A76&gt;$D$8,"",E76*D77*$F$18/T76))</f>
        <v>18512.641325594468</v>
      </c>
      <c r="H77" s="280">
        <f ca="1">IF(A76=$D$8,SUM($H$25:H76),IF(A76="","",(G77+F77)))</f>
        <v>23232.527337695603</v>
      </c>
      <c r="I77" s="280" t="str">
        <f t="shared" si="19"/>
        <v/>
      </c>
      <c r="J77" s="280" t="str">
        <f t="shared" si="20"/>
        <v/>
      </c>
      <c r="K77" s="280"/>
      <c r="L77" s="280" t="str">
        <f t="shared" si="21"/>
        <v/>
      </c>
      <c r="M77" s="280" t="str">
        <f t="shared" si="22"/>
        <v/>
      </c>
      <c r="N77" s="283" t="str">
        <f t="shared" si="15"/>
        <v/>
      </c>
      <c r="O77" s="280"/>
      <c r="P77" s="289" t="str">
        <f>IF(A76=$D$8,XIRR(R$24:R76,C$24:C76),"")</f>
        <v/>
      </c>
      <c r="Q77" s="280" t="str">
        <f t="shared" si="10"/>
        <v/>
      </c>
      <c r="R77" s="283">
        <f t="shared" ca="1" si="6"/>
        <v>23232.527337695603</v>
      </c>
      <c r="S77" s="284">
        <f t="shared" ca="1" si="7"/>
        <v>2026</v>
      </c>
      <c r="T77" s="284">
        <f t="shared" ca="1" si="8"/>
        <v>365</v>
      </c>
    </row>
    <row r="78" spans="1:20" x14ac:dyDescent="0.35">
      <c r="A78" s="285">
        <f t="shared" si="9"/>
        <v>54</v>
      </c>
      <c r="B78" s="286">
        <f t="shared" ca="1" si="5"/>
        <v>46130</v>
      </c>
      <c r="C78" s="286">
        <f t="shared" ca="1" si="11"/>
        <v>46130</v>
      </c>
      <c r="D78" s="285">
        <f t="shared" ca="1" si="18"/>
        <v>31</v>
      </c>
      <c r="E78" s="280">
        <f t="shared" ca="1" si="23"/>
        <v>1869051.2950229668</v>
      </c>
      <c r="F78" s="280">
        <f ca="1">IF(AND(A77="",A79=""),"",IF(A78="",SUM($F$25:F77),IF(A78=$D$8,$E$24-SUM($F$25:F77),$F$13-G78)))</f>
        <v>2787.9402274238018</v>
      </c>
      <c r="G78" s="280">
        <f ca="1">IF(A77=$D$8,SUM($G$25:G77),IF(A77&gt;$D$8,"",E77*D78*$F$18/T77))</f>
        <v>20444.587110271801</v>
      </c>
      <c r="H78" s="280">
        <f ca="1">IF(A77=$D$8,SUM($H$25:H77),IF(A77="","",(G78+F78)))</f>
        <v>23232.527337695603</v>
      </c>
      <c r="I78" s="280" t="str">
        <f t="shared" si="19"/>
        <v/>
      </c>
      <c r="J78" s="280" t="str">
        <f t="shared" si="20"/>
        <v/>
      </c>
      <c r="K78" s="280"/>
      <c r="L78" s="280" t="str">
        <f t="shared" si="21"/>
        <v/>
      </c>
      <c r="M78" s="280" t="str">
        <f t="shared" si="22"/>
        <v/>
      </c>
      <c r="N78" s="283" t="str">
        <f t="shared" si="15"/>
        <v/>
      </c>
      <c r="O78" s="280"/>
      <c r="P78" s="289" t="str">
        <f>IF(A77=$D$8,XIRR(R$24:R77,C$24:C77),"")</f>
        <v/>
      </c>
      <c r="Q78" s="280" t="str">
        <f t="shared" si="10"/>
        <v/>
      </c>
      <c r="R78" s="283">
        <f t="shared" ca="1" si="6"/>
        <v>23232.527337695603</v>
      </c>
      <c r="S78" s="284">
        <f t="shared" ca="1" si="7"/>
        <v>2026</v>
      </c>
      <c r="T78" s="284">
        <f t="shared" ca="1" si="8"/>
        <v>365</v>
      </c>
    </row>
    <row r="79" spans="1:20" x14ac:dyDescent="0.35">
      <c r="A79" s="285">
        <f t="shared" si="9"/>
        <v>55</v>
      </c>
      <c r="B79" s="286">
        <f t="shared" ca="1" si="5"/>
        <v>46160</v>
      </c>
      <c r="C79" s="286">
        <f t="shared" ca="1" si="11"/>
        <v>46160</v>
      </c>
      <c r="D79" s="285">
        <f t="shared" ca="1" si="18"/>
        <v>30</v>
      </c>
      <c r="E79" s="280">
        <f t="shared" ca="1" si="23"/>
        <v>1865574.3838392401</v>
      </c>
      <c r="F79" s="280">
        <f ca="1">IF(AND(A78="",A80=""),"",IF(A79="",SUM($F$25:F78),IF(A79=$D$8,$E$24-SUM($F$25:F78),$F$13-G79)))</f>
        <v>3476.911183726821</v>
      </c>
      <c r="G79" s="280">
        <f ca="1">IF(A78=$D$8,SUM($G$25:G78),IF(A78&gt;$D$8,"",E78*D79*$F$18/T78))</f>
        <v>19755.616153968782</v>
      </c>
      <c r="H79" s="280">
        <f ca="1">IF(A78=$D$8,SUM($H$25:H78),IF(A78="","",(G79+F79)))</f>
        <v>23232.527337695603</v>
      </c>
      <c r="I79" s="280" t="str">
        <f t="shared" si="19"/>
        <v/>
      </c>
      <c r="J79" s="280" t="str">
        <f t="shared" si="20"/>
        <v/>
      </c>
      <c r="K79" s="280"/>
      <c r="L79" s="280" t="str">
        <f t="shared" si="21"/>
        <v/>
      </c>
      <c r="M79" s="280" t="str">
        <f t="shared" si="22"/>
        <v/>
      </c>
      <c r="N79" s="283" t="str">
        <f t="shared" si="15"/>
        <v/>
      </c>
      <c r="O79" s="280"/>
      <c r="P79" s="289" t="str">
        <f>IF(A78=$D$8,XIRR(R$24:R78,C$24:C78),"")</f>
        <v/>
      </c>
      <c r="Q79" s="280" t="str">
        <f t="shared" si="10"/>
        <v/>
      </c>
      <c r="R79" s="283">
        <f t="shared" ca="1" si="6"/>
        <v>23232.527337695603</v>
      </c>
      <c r="S79" s="284">
        <f t="shared" ca="1" si="7"/>
        <v>2026</v>
      </c>
      <c r="T79" s="284">
        <f t="shared" ca="1" si="8"/>
        <v>365</v>
      </c>
    </row>
    <row r="80" spans="1:20" x14ac:dyDescent="0.35">
      <c r="A80" s="285">
        <f t="shared" si="9"/>
        <v>56</v>
      </c>
      <c r="B80" s="286">
        <f t="shared" ca="1" si="5"/>
        <v>46191</v>
      </c>
      <c r="C80" s="286">
        <f t="shared" ca="1" si="11"/>
        <v>46191</v>
      </c>
      <c r="D80" s="285">
        <f t="shared" ca="1" si="18"/>
        <v>31</v>
      </c>
      <c r="E80" s="280">
        <f t="shared" ca="1" si="23"/>
        <v>1862718.0177032254</v>
      </c>
      <c r="F80" s="280">
        <f ca="1">IF(AND(A79="",A81=""),"",IF(A80="",SUM($F$25:F79),IF(A80=$D$8,$E$24-SUM($F$25:F79),$F$13-G80)))</f>
        <v>2856.3661360147416</v>
      </c>
      <c r="G80" s="280">
        <f ca="1">IF(A79=$D$8,SUM($G$25:G79),IF(A79&gt;$D$8,"",E79*D80*$F$18/T79))</f>
        <v>20376.161201680861</v>
      </c>
      <c r="H80" s="280">
        <f ca="1">IF(A79=$D$8,SUM($H$25:H79),IF(A79="","",(G80+F80)))</f>
        <v>23232.527337695603</v>
      </c>
      <c r="I80" s="280" t="str">
        <f t="shared" si="19"/>
        <v/>
      </c>
      <c r="J80" s="280" t="str">
        <f t="shared" si="20"/>
        <v/>
      </c>
      <c r="K80" s="280"/>
      <c r="L80" s="280" t="str">
        <f t="shared" si="21"/>
        <v/>
      </c>
      <c r="M80" s="280" t="str">
        <f t="shared" si="22"/>
        <v/>
      </c>
      <c r="N80" s="283" t="str">
        <f t="shared" si="15"/>
        <v/>
      </c>
      <c r="O80" s="280"/>
      <c r="P80" s="289" t="str">
        <f>IF(A79=$D$8,XIRR(R$24:R79,C$24:C79),"")</f>
        <v/>
      </c>
      <c r="Q80" s="280" t="str">
        <f t="shared" si="10"/>
        <v/>
      </c>
      <c r="R80" s="283">
        <f t="shared" ca="1" si="6"/>
        <v>23232.527337695603</v>
      </c>
      <c r="S80" s="284">
        <f t="shared" ca="1" si="7"/>
        <v>2026</v>
      </c>
      <c r="T80" s="284">
        <f t="shared" ca="1" si="8"/>
        <v>365</v>
      </c>
    </row>
    <row r="81" spans="1:21" x14ac:dyDescent="0.35">
      <c r="A81" s="285">
        <f t="shared" si="9"/>
        <v>57</v>
      </c>
      <c r="B81" s="286">
        <f t="shared" ca="1" si="5"/>
        <v>46221</v>
      </c>
      <c r="C81" s="286">
        <f t="shared" ca="1" si="11"/>
        <v>46221</v>
      </c>
      <c r="D81" s="285">
        <f t="shared" ca="1" si="18"/>
        <v>30</v>
      </c>
      <c r="E81" s="280">
        <f t="shared" ca="1" si="23"/>
        <v>1859174.1646458011</v>
      </c>
      <c r="F81" s="280">
        <f ca="1">IF(AND(A80="",A82=""),"",IF(A81="",SUM($F$25:F80),IF(A81=$D$8,$E$24-SUM($F$25:F80),$F$13-G81)))</f>
        <v>3543.8530574242504</v>
      </c>
      <c r="G81" s="280">
        <f ca="1">IF(A80=$D$8,SUM($G$25:G80),IF(A80&gt;$D$8,"",E80*D81*$F$18/T80))</f>
        <v>19688.674280271352</v>
      </c>
      <c r="H81" s="280">
        <f ca="1">IF(A80=$D$8,SUM($H$25:H80),IF(A80="","",(G81+F81)))</f>
        <v>23232.527337695603</v>
      </c>
      <c r="I81" s="280" t="str">
        <f t="shared" si="19"/>
        <v/>
      </c>
      <c r="J81" s="280" t="str">
        <f t="shared" si="20"/>
        <v/>
      </c>
      <c r="K81" s="280"/>
      <c r="L81" s="280" t="str">
        <f t="shared" si="21"/>
        <v/>
      </c>
      <c r="M81" s="280" t="str">
        <f t="shared" si="22"/>
        <v/>
      </c>
      <c r="N81" s="283" t="str">
        <f t="shared" si="15"/>
        <v/>
      </c>
      <c r="O81" s="280"/>
      <c r="P81" s="289" t="str">
        <f>IF(A80=$D$8,XIRR(R$24:R80,C$24:C80),"")</f>
        <v/>
      </c>
      <c r="Q81" s="280" t="str">
        <f t="shared" si="10"/>
        <v/>
      </c>
      <c r="R81" s="283">
        <f t="shared" ca="1" si="6"/>
        <v>23232.527337695603</v>
      </c>
      <c r="S81" s="284">
        <f t="shared" ca="1" si="7"/>
        <v>2026</v>
      </c>
      <c r="T81" s="284">
        <f t="shared" ca="1" si="8"/>
        <v>365</v>
      </c>
    </row>
    <row r="82" spans="1:21" x14ac:dyDescent="0.35">
      <c r="A82" s="285">
        <f t="shared" si="9"/>
        <v>58</v>
      </c>
      <c r="B82" s="286">
        <f t="shared" ca="1" si="5"/>
        <v>46252</v>
      </c>
      <c r="C82" s="286">
        <f t="shared" ca="1" si="11"/>
        <v>46252</v>
      </c>
      <c r="D82" s="285">
        <f t="shared" ca="1" si="18"/>
        <v>31</v>
      </c>
      <c r="E82" s="280">
        <f t="shared" ref="E82:E84" ca="1" si="24">IF(A82&gt;$D$8,"",E81-F82)</f>
        <v>1856247.8940883162</v>
      </c>
      <c r="F82" s="280">
        <f ca="1">IF(AND(A81="",A83=""),"",IF(A82="",SUM($F$25:F81),IF(A82=$D$8,$E$24-SUM($F$25:F81),$F$13-G82)))</f>
        <v>2926.2705574847787</v>
      </c>
      <c r="G82" s="280">
        <f ca="1">IF(A81=$D$8,SUM($G$25:G81),IF(A81&gt;$D$8,"",E81*D82*$F$18/T81))</f>
        <v>20306.256780210824</v>
      </c>
      <c r="H82" s="280">
        <f ca="1">IF(A81=$D$8,SUM($H$25:H81),IF(A81="","",(G82+F82)))</f>
        <v>23232.527337695603</v>
      </c>
      <c r="I82" s="280" t="str">
        <f t="shared" si="19"/>
        <v/>
      </c>
      <c r="J82" s="280" t="str">
        <f t="shared" si="20"/>
        <v/>
      </c>
      <c r="K82" s="280"/>
      <c r="L82" s="280" t="str">
        <f t="shared" si="21"/>
        <v/>
      </c>
      <c r="M82" s="280" t="str">
        <f t="shared" si="22"/>
        <v/>
      </c>
      <c r="N82" s="283" t="str">
        <f t="shared" si="15"/>
        <v/>
      </c>
      <c r="O82" s="280"/>
      <c r="P82" s="289" t="str">
        <f>IF(A81=$D$8,XIRR(R$24:R81,C$24:C81),"")</f>
        <v/>
      </c>
      <c r="Q82" s="280" t="str">
        <f t="shared" si="10"/>
        <v/>
      </c>
      <c r="R82" s="283">
        <f t="shared" ca="1" si="6"/>
        <v>23232.527337695603</v>
      </c>
      <c r="S82" s="284">
        <f t="shared" ca="1" si="7"/>
        <v>2026</v>
      </c>
      <c r="T82" s="284">
        <f t="shared" ca="1" si="8"/>
        <v>365</v>
      </c>
    </row>
    <row r="83" spans="1:21" x14ac:dyDescent="0.35">
      <c r="A83" s="285">
        <f t="shared" si="9"/>
        <v>59</v>
      </c>
      <c r="B83" s="286">
        <f t="shared" ca="1" si="5"/>
        <v>46283</v>
      </c>
      <c r="C83" s="286">
        <f t="shared" ca="1" si="11"/>
        <v>46283</v>
      </c>
      <c r="D83" s="285">
        <f t="shared" ca="1" si="18"/>
        <v>31</v>
      </c>
      <c r="E83" s="280">
        <f t="shared" ca="1" si="24"/>
        <v>1853289.6622426</v>
      </c>
      <c r="F83" s="280">
        <f ca="1">IF(AND(A82="",A84=""),"",IF(A83="",SUM($F$25:F82),IF(A83=$D$8,$E$24-SUM($F$25:F82),$F$13-G83)))</f>
        <v>2958.2318457162</v>
      </c>
      <c r="G83" s="280">
        <f ca="1">IF(A82=$D$8,SUM($G$25:G82),IF(A82&gt;$D$8,"",E82*D83*$F$18/T82))</f>
        <v>20274.295491979403</v>
      </c>
      <c r="H83" s="280">
        <f ca="1">IF(A82=$D$8,SUM($H$25:H82),IF(A82="","",(G83+F83)))</f>
        <v>23232.527337695603</v>
      </c>
      <c r="I83" s="280" t="str">
        <f t="shared" si="19"/>
        <v/>
      </c>
      <c r="J83" s="280" t="str">
        <f t="shared" si="20"/>
        <v/>
      </c>
      <c r="K83" s="280"/>
      <c r="L83" s="280" t="str">
        <f t="shared" si="21"/>
        <v/>
      </c>
      <c r="M83" s="280" t="str">
        <f t="shared" si="22"/>
        <v/>
      </c>
      <c r="N83" s="283" t="str">
        <f t="shared" si="15"/>
        <v/>
      </c>
      <c r="O83" s="280"/>
      <c r="P83" s="289" t="str">
        <f>IF(A82=$D$8,XIRR(R$24:R82,C$24:C82),"")</f>
        <v/>
      </c>
      <c r="Q83" s="280" t="str">
        <f t="shared" si="10"/>
        <v/>
      </c>
      <c r="R83" s="283">
        <f t="shared" ca="1" si="6"/>
        <v>23232.527337695603</v>
      </c>
      <c r="S83" s="284">
        <f t="shared" ca="1" si="7"/>
        <v>2026</v>
      </c>
      <c r="T83" s="284">
        <f t="shared" ca="1" si="8"/>
        <v>365</v>
      </c>
    </row>
    <row r="84" spans="1:21" x14ac:dyDescent="0.35">
      <c r="A84" s="285">
        <f t="shared" si="9"/>
        <v>60</v>
      </c>
      <c r="B84" s="286">
        <f t="shared" ca="1" si="5"/>
        <v>46313</v>
      </c>
      <c r="C84" s="286">
        <f t="shared" ca="1" si="11"/>
        <v>46313</v>
      </c>
      <c r="D84" s="285">
        <f t="shared" ca="1" si="18"/>
        <v>30</v>
      </c>
      <c r="E84" s="280">
        <f t="shared" ca="1" si="24"/>
        <v>1849646.1527595124</v>
      </c>
      <c r="F84" s="280">
        <f ca="1">IF(AND(A83="",A85=""),"",IF(A84="",SUM($F$25:F83),IF(A84=$D$8,$E$24-SUM($F$25:F83),$F$13-G84)))</f>
        <v>3643.5094830875169</v>
      </c>
      <c r="G84" s="280">
        <f ca="1">IF(A83=$D$8,SUM($G$25:G83),IF(A83&gt;$D$8,"",E83*D84*$F$18/T83))</f>
        <v>19589.017854608086</v>
      </c>
      <c r="H84" s="280">
        <f ca="1">IF(A83=$D$8,SUM($H$25:H83),IF(A83="","",(G84+F84)))</f>
        <v>23232.527337695603</v>
      </c>
      <c r="I84" s="280" t="str">
        <f t="shared" si="19"/>
        <v/>
      </c>
      <c r="J84" s="280" t="str">
        <f t="shared" si="20"/>
        <v/>
      </c>
      <c r="K84" s="280"/>
      <c r="L84" s="280" t="str">
        <f t="shared" si="21"/>
        <v/>
      </c>
      <c r="M84" s="280" t="str">
        <f t="shared" si="22"/>
        <v/>
      </c>
      <c r="N84" s="283" t="str">
        <f t="shared" si="15"/>
        <v/>
      </c>
      <c r="O84" s="280"/>
      <c r="P84" s="289" t="str">
        <f>IF(A83=$D$8,XIRR(R$24:R83,C$24:C83),"")</f>
        <v/>
      </c>
      <c r="Q84" s="280" t="str">
        <f t="shared" si="10"/>
        <v/>
      </c>
      <c r="R84" s="283">
        <f t="shared" ca="1" si="6"/>
        <v>23232.527337695603</v>
      </c>
      <c r="S84" s="284">
        <f t="shared" ca="1" si="7"/>
        <v>2026</v>
      </c>
      <c r="T84" s="284">
        <f t="shared" ca="1" si="8"/>
        <v>365</v>
      </c>
    </row>
    <row r="85" spans="1:21" x14ac:dyDescent="0.35">
      <c r="A85" s="285">
        <f t="shared" si="9"/>
        <v>61</v>
      </c>
      <c r="B85" s="286">
        <f t="shared" ca="1" si="5"/>
        <v>46344</v>
      </c>
      <c r="C85" s="286">
        <f t="shared" ca="1" si="11"/>
        <v>46344</v>
      </c>
      <c r="D85" s="285">
        <f t="shared" ca="1" si="18"/>
        <v>31</v>
      </c>
      <c r="E85" s="280">
        <f t="shared" ref="E85:E91" ca="1" si="25">IF(A85&gt;$D$8,"",E84-F85)</f>
        <v>1846615.8154289157</v>
      </c>
      <c r="F85" s="280">
        <f ca="1">IF(AND(A84="",A86=""),"",IF(A85="",SUM($F$25:F84),IF(A85=$D$8,$E$24-SUM($F$25:F84),$F$13-G85)))</f>
        <v>3030.3373305967762</v>
      </c>
      <c r="G85" s="280">
        <f ca="1">IF(A84=$D$8,SUM($G$25:G84),IF(A84&gt;$D$8,"",E84*D85*$F$18/T84))</f>
        <v>20202.190007098827</v>
      </c>
      <c r="H85" s="280">
        <f ca="1">IF(A84=$D$8,SUM($H$25:H84),IF(A84="","",(G85+F85)))</f>
        <v>23232.527337695603</v>
      </c>
      <c r="I85" s="292" t="str">
        <f t="shared" si="19"/>
        <v/>
      </c>
      <c r="J85" s="292" t="str">
        <f t="shared" si="20"/>
        <v/>
      </c>
      <c r="K85" s="280">
        <f>IF($F$8&gt;60,($O$8+$O$10),IF($A$84=$F$8,$K$37+$K$24+$K$49+$K$61+$K$73,""))</f>
        <v>7500</v>
      </c>
      <c r="L85" s="292" t="str">
        <f t="shared" si="21"/>
        <v/>
      </c>
      <c r="M85" s="292" t="str">
        <f t="shared" si="22"/>
        <v/>
      </c>
      <c r="N85" s="280">
        <f>IF($F$8&gt;60,($N$14),IF(A84=$F$8,N73+N61+N49+N37+N24,""))</f>
        <v>0</v>
      </c>
      <c r="O85" s="292"/>
      <c r="P85" s="289" t="str">
        <f>IF(A84=$D$8,XIRR(R$24:R84,C$24:C84),"")</f>
        <v/>
      </c>
      <c r="Q85" s="292" t="str">
        <f t="shared" si="10"/>
        <v/>
      </c>
      <c r="R85" s="283">
        <f t="shared" ca="1" si="6"/>
        <v>30732.527337695603</v>
      </c>
      <c r="S85" s="284">
        <f t="shared" ca="1" si="7"/>
        <v>2026</v>
      </c>
      <c r="T85" s="284">
        <f t="shared" ca="1" si="8"/>
        <v>365</v>
      </c>
      <c r="U85" s="234"/>
    </row>
    <row r="86" spans="1:21" x14ac:dyDescent="0.35">
      <c r="A86" s="285">
        <f t="shared" si="9"/>
        <v>62</v>
      </c>
      <c r="B86" s="286">
        <f t="shared" ca="1" si="5"/>
        <v>46374</v>
      </c>
      <c r="C86" s="286">
        <f t="shared" ca="1" si="11"/>
        <v>46374</v>
      </c>
      <c r="D86" s="285">
        <f t="shared" ca="1" si="18"/>
        <v>30</v>
      </c>
      <c r="E86" s="280">
        <f t="shared" ca="1" si="25"/>
        <v>1842901.764299233</v>
      </c>
      <c r="F86" s="280">
        <f ca="1">IF(AND(A85="",A87=""),"",IF(A86="",SUM($F$25:F85),IF(A86=$D$8,$E$24-SUM($F$25:F85),$F$13-G86)))</f>
        <v>3714.0511296825716</v>
      </c>
      <c r="G86" s="280">
        <f ca="1">IF(A85=$D$8,SUM($G$25:G85),IF(A85&gt;$D$8,"",E85*D86*$F$18/T85))</f>
        <v>19518.476208013031</v>
      </c>
      <c r="H86" s="280">
        <f ca="1">IF(A85=$D$8,SUM($H$25:H85),IF(A85="","",(G86+F86)))</f>
        <v>23232.527337695603</v>
      </c>
      <c r="I86" s="280" t="str">
        <f t="shared" si="19"/>
        <v/>
      </c>
      <c r="J86" s="280" t="str">
        <f t="shared" si="20"/>
        <v/>
      </c>
      <c r="K86" s="280"/>
      <c r="L86" s="280" t="str">
        <f t="shared" si="21"/>
        <v/>
      </c>
      <c r="M86" s="280" t="str">
        <f t="shared" si="22"/>
        <v/>
      </c>
      <c r="N86" s="283" t="str">
        <f t="shared" si="15"/>
        <v/>
      </c>
      <c r="O86" s="280"/>
      <c r="P86" s="289" t="str">
        <f>IF(A85=$D$8,XIRR(R$24:R85,C$24:C85),"")</f>
        <v/>
      </c>
      <c r="Q86" s="280" t="str">
        <f t="shared" si="10"/>
        <v/>
      </c>
      <c r="R86" s="283">
        <f t="shared" ca="1" si="6"/>
        <v>23232.527337695603</v>
      </c>
      <c r="S86" s="284">
        <f t="shared" ca="1" si="7"/>
        <v>2026</v>
      </c>
      <c r="T86" s="284">
        <f t="shared" ca="1" si="8"/>
        <v>365</v>
      </c>
    </row>
    <row r="87" spans="1:21" x14ac:dyDescent="0.35">
      <c r="A87" s="285">
        <f t="shared" si="9"/>
        <v>63</v>
      </c>
      <c r="B87" s="286">
        <f t="shared" ca="1" si="5"/>
        <v>46405</v>
      </c>
      <c r="C87" s="286">
        <f t="shared" ca="1" si="11"/>
        <v>46405</v>
      </c>
      <c r="D87" s="285">
        <f t="shared" ca="1" si="18"/>
        <v>31</v>
      </c>
      <c r="E87" s="280">
        <f t="shared" ca="1" si="25"/>
        <v>1839797.7634644287</v>
      </c>
      <c r="F87" s="280">
        <f ca="1">IF(AND(A86="",A88=""),"",IF(A87="",SUM($F$25:F86),IF(A87=$D$8,$E$24-SUM($F$25:F86),$F$13-G87)))</f>
        <v>3104.000834804312</v>
      </c>
      <c r="G87" s="280">
        <f ca="1">IF(A86=$D$8,SUM($G$25:G86),IF(A86&gt;$D$8,"",E86*D87*$F$18/T86))</f>
        <v>20128.526502891291</v>
      </c>
      <c r="H87" s="280">
        <f ca="1">IF(A86=$D$8,SUM($H$25:H86),IF(A86="","",(G87+F87)))</f>
        <v>23232.527337695603</v>
      </c>
      <c r="I87" s="280" t="str">
        <f t="shared" si="19"/>
        <v/>
      </c>
      <c r="J87" s="280" t="str">
        <f t="shared" si="20"/>
        <v/>
      </c>
      <c r="K87" s="280"/>
      <c r="L87" s="280" t="str">
        <f t="shared" si="21"/>
        <v/>
      </c>
      <c r="M87" s="280" t="str">
        <f t="shared" si="22"/>
        <v/>
      </c>
      <c r="N87" s="283" t="str">
        <f t="shared" si="15"/>
        <v/>
      </c>
      <c r="O87" s="280"/>
      <c r="P87" s="289" t="str">
        <f>IF(A86=$D$8,XIRR(R$24:R86,C$24:C86),"")</f>
        <v/>
      </c>
      <c r="Q87" s="280" t="str">
        <f t="shared" si="10"/>
        <v/>
      </c>
      <c r="R87" s="283">
        <f t="shared" ca="1" si="6"/>
        <v>23232.527337695603</v>
      </c>
      <c r="S87" s="284">
        <f t="shared" ca="1" si="7"/>
        <v>2027</v>
      </c>
      <c r="T87" s="284">
        <f t="shared" ca="1" si="8"/>
        <v>365</v>
      </c>
    </row>
    <row r="88" spans="1:21" x14ac:dyDescent="0.35">
      <c r="A88" s="285">
        <f t="shared" si="9"/>
        <v>64</v>
      </c>
      <c r="B88" s="286">
        <f t="shared" ca="1" si="5"/>
        <v>46436</v>
      </c>
      <c r="C88" s="286">
        <f t="shared" ca="1" si="11"/>
        <v>46436</v>
      </c>
      <c r="D88" s="285">
        <f t="shared" ca="1" si="18"/>
        <v>31</v>
      </c>
      <c r="E88" s="280">
        <f t="shared" ca="1" si="25"/>
        <v>1836659.8601372188</v>
      </c>
      <c r="F88" s="280">
        <f ca="1">IF(AND(A87="",A89=""),"",IF(A88="",SUM($F$25:F87),IF(A88=$D$8,$E$24-SUM($F$25:F87),$F$13-G88)))</f>
        <v>3137.903327209875</v>
      </c>
      <c r="G88" s="280">
        <f ca="1">IF(A87=$D$8,SUM($G$25:G87),IF(A87&gt;$D$8,"",E87*D88*$F$18/T87))</f>
        <v>20094.624010485728</v>
      </c>
      <c r="H88" s="280">
        <f ca="1">IF(A87=$D$8,SUM($H$25:H87),IF(A87="","",(G88+F88)))</f>
        <v>23232.527337695603</v>
      </c>
      <c r="I88" s="280" t="str">
        <f t="shared" si="19"/>
        <v/>
      </c>
      <c r="J88" s="280" t="str">
        <f t="shared" si="20"/>
        <v/>
      </c>
      <c r="K88" s="280"/>
      <c r="L88" s="280" t="str">
        <f t="shared" si="21"/>
        <v/>
      </c>
      <c r="M88" s="280" t="str">
        <f t="shared" si="22"/>
        <v/>
      </c>
      <c r="N88" s="283" t="str">
        <f t="shared" si="15"/>
        <v/>
      </c>
      <c r="O88" s="280"/>
      <c r="P88" s="289" t="str">
        <f>IF(A87=$D$8,XIRR(R$24:R87,C$24:C87),"")</f>
        <v/>
      </c>
      <c r="Q88" s="280" t="str">
        <f t="shared" si="10"/>
        <v/>
      </c>
      <c r="R88" s="283">
        <f t="shared" ca="1" si="6"/>
        <v>23232.527337695603</v>
      </c>
      <c r="S88" s="284">
        <f t="shared" ca="1" si="7"/>
        <v>2027</v>
      </c>
      <c r="T88" s="284">
        <f t="shared" ca="1" si="8"/>
        <v>365</v>
      </c>
    </row>
    <row r="89" spans="1:21" x14ac:dyDescent="0.35">
      <c r="A89" s="285">
        <f t="shared" si="9"/>
        <v>65</v>
      </c>
      <c r="B89" s="286">
        <f t="shared" ca="1" si="5"/>
        <v>46464</v>
      </c>
      <c r="C89" s="286">
        <f t="shared" ca="1" si="11"/>
        <v>46464</v>
      </c>
      <c r="D89" s="285">
        <f t="shared" ca="1" si="18"/>
        <v>28</v>
      </c>
      <c r="E89" s="280">
        <f t="shared" ca="1" si="25"/>
        <v>1831546.3597156387</v>
      </c>
      <c r="F89" s="280">
        <f ca="1">IF(AND(A88="",A90=""),"",IF(A89="",SUM($F$25:F88),IF(A89=$D$8,$E$24-SUM($F$25:F88),$F$13-G89)))</f>
        <v>5113.5004215802692</v>
      </c>
      <c r="G89" s="280">
        <f ca="1">IF(A88=$D$8,SUM($G$25:G88),IF(A88&gt;$D$8,"",E88*D89*$F$18/T88))</f>
        <v>18119.026916115334</v>
      </c>
      <c r="H89" s="280">
        <f ca="1">IF(A88=$D$8,SUM($H$25:H88),IF(A88="","",(G89+F89)))</f>
        <v>23232.527337695603</v>
      </c>
      <c r="I89" s="280" t="str">
        <f t="shared" si="19"/>
        <v/>
      </c>
      <c r="J89" s="280" t="str">
        <f t="shared" si="20"/>
        <v/>
      </c>
      <c r="K89" s="280"/>
      <c r="L89" s="280" t="str">
        <f t="shared" si="21"/>
        <v/>
      </c>
      <c r="M89" s="280" t="str">
        <f t="shared" si="22"/>
        <v/>
      </c>
      <c r="N89" s="283" t="str">
        <f t="shared" si="15"/>
        <v/>
      </c>
      <c r="O89" s="280"/>
      <c r="P89" s="289" t="str">
        <f>IF(A88=$D$8,XIRR(R$24:R88,C$24:C88),"")</f>
        <v/>
      </c>
      <c r="Q89" s="280" t="str">
        <f t="shared" si="10"/>
        <v/>
      </c>
      <c r="R89" s="283">
        <f t="shared" ca="1" si="6"/>
        <v>23232.527337695603</v>
      </c>
      <c r="S89" s="284">
        <f t="shared" ca="1" si="7"/>
        <v>2027</v>
      </c>
      <c r="T89" s="284">
        <f t="shared" ca="1" si="8"/>
        <v>365</v>
      </c>
    </row>
    <row r="90" spans="1:21" x14ac:dyDescent="0.35">
      <c r="A90" s="285">
        <f t="shared" si="9"/>
        <v>66</v>
      </c>
      <c r="B90" s="286">
        <f t="shared" ref="B90:B108" ca="1" si="26">EDATE($B$24,A90)</f>
        <v>46495</v>
      </c>
      <c r="C90" s="286">
        <f t="shared" ca="1" si="11"/>
        <v>46495</v>
      </c>
      <c r="D90" s="285">
        <f t="shared" ca="1" si="18"/>
        <v>31</v>
      </c>
      <c r="E90" s="280">
        <f t="shared" ca="1" si="25"/>
        <v>1828318.3329742234</v>
      </c>
      <c r="F90" s="280">
        <f ca="1">IF(AND(A89="",A91=""),"",IF(A90="",SUM($F$25:F89),IF(A90=$D$8,$E$24-SUM($F$25:F89),$F$13-G90)))</f>
        <v>3228.0267414151531</v>
      </c>
      <c r="G90" s="280">
        <f ca="1">IF(A89=$D$8,SUM($G$25:G89),IF(A89&gt;$D$8,"",E89*D90*$F$18/T89))</f>
        <v>20004.50059628045</v>
      </c>
      <c r="H90" s="280">
        <f ca="1">IF(A89=$D$8,SUM($H$25:H89),IF(A89="","",(G90+F90)))</f>
        <v>23232.527337695603</v>
      </c>
      <c r="I90" s="280" t="str">
        <f t="shared" si="19"/>
        <v/>
      </c>
      <c r="J90" s="280" t="str">
        <f t="shared" si="20"/>
        <v/>
      </c>
      <c r="K90" s="280"/>
      <c r="L90" s="280" t="str">
        <f t="shared" si="21"/>
        <v/>
      </c>
      <c r="M90" s="280" t="str">
        <f t="shared" si="22"/>
        <v/>
      </c>
      <c r="N90" s="283" t="str">
        <f t="shared" si="15"/>
        <v/>
      </c>
      <c r="O90" s="280"/>
      <c r="P90" s="289" t="str">
        <f>IF(A89=$D$8,XIRR(R$24:R89,C$24:C89),"")</f>
        <v/>
      </c>
      <c r="Q90" s="280" t="str">
        <f t="shared" si="10"/>
        <v/>
      </c>
      <c r="R90" s="283">
        <f t="shared" ref="R90:R153" ca="1" si="27">SUM(H90:Q90)</f>
        <v>23232.527337695603</v>
      </c>
      <c r="S90" s="284">
        <f t="shared" ref="S90:S153" ca="1" si="28">IF(C90="","",YEAR(C90))</f>
        <v>2027</v>
      </c>
      <c r="T90" s="284">
        <f t="shared" ref="T90:T153" ca="1" si="29">IF(OR(S90=2024,S90=2028,S90=2016,S90=2020,S90=2024,S90=2028,S90=2032,S90=2036,S90=2040),366,365)</f>
        <v>365</v>
      </c>
    </row>
    <row r="91" spans="1:21" x14ac:dyDescent="0.35">
      <c r="A91" s="285">
        <f t="shared" ref="A91:A154" si="30">IF(A90&lt;$D$8,A90+1,"")</f>
        <v>67</v>
      </c>
      <c r="B91" s="286">
        <f t="shared" ca="1" si="26"/>
        <v>46525</v>
      </c>
      <c r="C91" s="286">
        <f t="shared" ca="1" si="11"/>
        <v>46525</v>
      </c>
      <c r="D91" s="285">
        <f t="shared" ca="1" si="18"/>
        <v>30</v>
      </c>
      <c r="E91" s="280">
        <f t="shared" ca="1" si="25"/>
        <v>1824410.8799614992</v>
      </c>
      <c r="F91" s="280">
        <f ca="1">IF(AND(A90="",A92=""),"",IF(A91="",SUM($F$25:F90),IF(A91=$D$8,$E$24-SUM($F$25:F90),$F$13-G91)))</f>
        <v>3907.4530127242251</v>
      </c>
      <c r="G91" s="280">
        <f ca="1">IF(A90=$D$8,SUM($G$25:G90),IF(A90&gt;$D$8,"",E90*D91*$F$18/T90))</f>
        <v>19325.074324971378</v>
      </c>
      <c r="H91" s="280">
        <f ca="1">IF(A90=$D$8,SUM($H$25:H90),IF(A90="","",(G91+F91)))</f>
        <v>23232.527337695603</v>
      </c>
      <c r="I91" s="280" t="str">
        <f t="shared" si="19"/>
        <v/>
      </c>
      <c r="J91" s="280" t="str">
        <f t="shared" si="20"/>
        <v/>
      </c>
      <c r="K91" s="280"/>
      <c r="L91" s="280" t="str">
        <f t="shared" si="21"/>
        <v/>
      </c>
      <c r="M91" s="280" t="str">
        <f t="shared" si="22"/>
        <v/>
      </c>
      <c r="N91" s="283" t="str">
        <f t="shared" si="15"/>
        <v/>
      </c>
      <c r="O91" s="280"/>
      <c r="P91" s="289" t="str">
        <f>IF(A90=$D$8,XIRR(R$24:R90,C$24:C90),"")</f>
        <v/>
      </c>
      <c r="Q91" s="280" t="str">
        <f t="shared" si="10"/>
        <v/>
      </c>
      <c r="R91" s="283">
        <f t="shared" ca="1" si="27"/>
        <v>23232.527337695603</v>
      </c>
      <c r="S91" s="284">
        <f t="shared" ca="1" si="28"/>
        <v>2027</v>
      </c>
      <c r="T91" s="284">
        <f t="shared" ca="1" si="29"/>
        <v>365</v>
      </c>
    </row>
    <row r="92" spans="1:21" x14ac:dyDescent="0.35">
      <c r="A92" s="285">
        <f t="shared" si="30"/>
        <v>68</v>
      </c>
      <c r="B92" s="286">
        <f t="shared" ca="1" si="26"/>
        <v>46556</v>
      </c>
      <c r="C92" s="286">
        <f t="shared" ca="1" si="11"/>
        <v>46556</v>
      </c>
      <c r="D92" s="285">
        <f t="shared" ca="1" si="18"/>
        <v>31</v>
      </c>
      <c r="E92" s="280">
        <f t="shared" ref="E92:E155" ca="1" si="31">IF(A92&gt;$D$8,"",E91-F92)</f>
        <v>1821104.9181417613</v>
      </c>
      <c r="F92" s="280">
        <f ca="1">IF(AND(A91="",A93=""),"",IF(A92="",SUM($F$25:F91),IF(A92=$D$8,$E$24-SUM($F$25:F91),$F$13-G92)))</f>
        <v>3305.9618197380332</v>
      </c>
      <c r="G92" s="280">
        <f ca="1">IF(A91=$D$8,SUM($G$25:G91),IF(A91&gt;$D$8,"",E91*D92*$F$18/T91))</f>
        <v>19926.56551795757</v>
      </c>
      <c r="H92" s="280">
        <f ca="1">IF(A91=$D$8,SUM($H$25:H91),IF(A91="","",(G92+F92)))</f>
        <v>23232.527337695603</v>
      </c>
      <c r="I92" s="280" t="str">
        <f t="shared" si="19"/>
        <v/>
      </c>
      <c r="J92" s="280" t="str">
        <f t="shared" si="20"/>
        <v/>
      </c>
      <c r="K92" s="280"/>
      <c r="L92" s="280" t="str">
        <f t="shared" si="21"/>
        <v/>
      </c>
      <c r="M92" s="280" t="str">
        <f t="shared" si="22"/>
        <v/>
      </c>
      <c r="N92" s="283" t="str">
        <f t="shared" si="15"/>
        <v/>
      </c>
      <c r="O92" s="280"/>
      <c r="P92" s="289" t="str">
        <f>IF(A91=$D$8,XIRR(R$24:R91,C$24:C91),"")</f>
        <v/>
      </c>
      <c r="Q92" s="280" t="str">
        <f t="shared" ref="Q92:Q155" si="32">IF(A91=$D$8,G92+M92+F92+I92+J92+K92+L92+N92+O92,"")</f>
        <v/>
      </c>
      <c r="R92" s="283">
        <f t="shared" ca="1" si="27"/>
        <v>23232.527337695603</v>
      </c>
      <c r="S92" s="284">
        <f t="shared" ca="1" si="28"/>
        <v>2027</v>
      </c>
      <c r="T92" s="284">
        <f t="shared" ca="1" si="29"/>
        <v>365</v>
      </c>
    </row>
    <row r="93" spans="1:21" x14ac:dyDescent="0.35">
      <c r="A93" s="285">
        <f t="shared" si="30"/>
        <v>69</v>
      </c>
      <c r="B93" s="286">
        <f t="shared" ca="1" si="26"/>
        <v>46586</v>
      </c>
      <c r="C93" s="286">
        <f t="shared" ref="C93:C156" ca="1" si="33">IF(B93&gt;$E$20,"",IF(B93=$E$20,B93-1,B93))</f>
        <v>46586</v>
      </c>
      <c r="D93" s="285">
        <f t="shared" ca="1" si="18"/>
        <v>30</v>
      </c>
      <c r="E93" s="280">
        <f t="shared" ca="1" si="31"/>
        <v>1817121.2203223971</v>
      </c>
      <c r="F93" s="280">
        <f ca="1">IF(AND(A92="",A94=""),"",IF(A93="",SUM($F$25:F92),IF(A93=$D$8,$E$24-SUM($F$25:F92),$F$13-G93)))</f>
        <v>3983.6978193643299</v>
      </c>
      <c r="G93" s="280">
        <f ca="1">IF(A92=$D$8,SUM($G$25:G92),IF(A92&gt;$D$8,"",E92*D93*$F$18/T92))</f>
        <v>19248.829518331273</v>
      </c>
      <c r="H93" s="280">
        <f ca="1">IF(A92=$D$8,SUM($H$25:H92),IF(A92="","",(G93+F93)))</f>
        <v>23232.527337695603</v>
      </c>
      <c r="I93" s="280" t="str">
        <f t="shared" si="19"/>
        <v/>
      </c>
      <c r="J93" s="280" t="str">
        <f t="shared" si="20"/>
        <v/>
      </c>
      <c r="K93" s="280"/>
      <c r="L93" s="280" t="str">
        <f t="shared" si="21"/>
        <v/>
      </c>
      <c r="M93" s="280" t="str">
        <f t="shared" si="22"/>
        <v/>
      </c>
      <c r="N93" s="283" t="str">
        <f t="shared" si="15"/>
        <v/>
      </c>
      <c r="O93" s="280"/>
      <c r="P93" s="289" t="str">
        <f>IF(A92=$D$8,XIRR(R$24:R92,C$24:C92),"")</f>
        <v/>
      </c>
      <c r="Q93" s="280" t="str">
        <f t="shared" si="32"/>
        <v/>
      </c>
      <c r="R93" s="283">
        <f t="shared" ca="1" si="27"/>
        <v>23232.527337695603</v>
      </c>
      <c r="S93" s="284">
        <f t="shared" ca="1" si="28"/>
        <v>2027</v>
      </c>
      <c r="T93" s="284">
        <f t="shared" ca="1" si="29"/>
        <v>365</v>
      </c>
    </row>
    <row r="94" spans="1:21" x14ac:dyDescent="0.35">
      <c r="A94" s="285">
        <f t="shared" si="30"/>
        <v>70</v>
      </c>
      <c r="B94" s="286">
        <f t="shared" ca="1" si="26"/>
        <v>46617</v>
      </c>
      <c r="C94" s="286">
        <f t="shared" ca="1" si="33"/>
        <v>46617</v>
      </c>
      <c r="D94" s="285">
        <f t="shared" ca="1" si="18"/>
        <v>31</v>
      </c>
      <c r="E94" s="280">
        <f t="shared" ca="1" si="31"/>
        <v>1813735.6394420639</v>
      </c>
      <c r="F94" s="280">
        <f ca="1">IF(AND(A93="",A95=""),"",IF(A94="",SUM($F$25:F93),IF(A94=$D$8,$E$24-SUM($F$25:F93),$F$13-G94)))</f>
        <v>3385.5808803332257</v>
      </c>
      <c r="G94" s="280">
        <f ca="1">IF(A93=$D$8,SUM($G$25:G93),IF(A93&gt;$D$8,"",E93*D94*$F$18/T93))</f>
        <v>19846.946457362377</v>
      </c>
      <c r="H94" s="280">
        <f ca="1">IF(A93=$D$8,SUM($H$25:H93),IF(A93="","",(G94+F94)))</f>
        <v>23232.527337695603</v>
      </c>
      <c r="I94" s="280" t="str">
        <f t="shared" si="19"/>
        <v/>
      </c>
      <c r="J94" s="280" t="str">
        <f t="shared" si="20"/>
        <v/>
      </c>
      <c r="K94" s="280"/>
      <c r="L94" s="280" t="str">
        <f t="shared" si="21"/>
        <v/>
      </c>
      <c r="M94" s="280" t="str">
        <f t="shared" si="22"/>
        <v/>
      </c>
      <c r="N94" s="283" t="str">
        <f t="shared" ref="N94:N156" si="34">IF(A93=$D$8,$N$24,"")</f>
        <v/>
      </c>
      <c r="O94" s="280"/>
      <c r="P94" s="289" t="str">
        <f>IF(A93=$D$8,XIRR(R$24:R93,C$24:C93),"")</f>
        <v/>
      </c>
      <c r="Q94" s="280" t="str">
        <f t="shared" si="32"/>
        <v/>
      </c>
      <c r="R94" s="283">
        <f t="shared" ca="1" si="27"/>
        <v>23232.527337695603</v>
      </c>
      <c r="S94" s="284">
        <f t="shared" ca="1" si="28"/>
        <v>2027</v>
      </c>
      <c r="T94" s="284">
        <f t="shared" ca="1" si="29"/>
        <v>365</v>
      </c>
    </row>
    <row r="95" spans="1:21" x14ac:dyDescent="0.35">
      <c r="A95" s="285">
        <f t="shared" si="30"/>
        <v>71</v>
      </c>
      <c r="B95" s="286">
        <f t="shared" ca="1" si="26"/>
        <v>46648</v>
      </c>
      <c r="C95" s="286">
        <f t="shared" ca="1" si="33"/>
        <v>46648</v>
      </c>
      <c r="D95" s="285">
        <f t="shared" ca="1" si="18"/>
        <v>31</v>
      </c>
      <c r="E95" s="280">
        <f t="shared" ca="1" si="31"/>
        <v>1810313.0805980661</v>
      </c>
      <c r="F95" s="280">
        <f ca="1">IF(AND(A94="",A96=""),"",IF(A95="",SUM($F$25:F94),IF(A95=$D$8,$E$24-SUM($F$25:F94),$F$13-G95)))</f>
        <v>3422.5588439977073</v>
      </c>
      <c r="G95" s="280">
        <f ca="1">IF(A94=$D$8,SUM($G$25:G94),IF(A94&gt;$D$8,"",E94*D95*$F$18/T94))</f>
        <v>19809.968493697896</v>
      </c>
      <c r="H95" s="280">
        <f ca="1">IF(A94=$D$8,SUM($H$25:H94),IF(A94="","",(G95+F95)))</f>
        <v>23232.527337695603</v>
      </c>
      <c r="I95" s="280" t="str">
        <f t="shared" si="19"/>
        <v/>
      </c>
      <c r="J95" s="280" t="str">
        <f t="shared" si="20"/>
        <v/>
      </c>
      <c r="K95" s="280"/>
      <c r="L95" s="280" t="str">
        <f t="shared" si="21"/>
        <v/>
      </c>
      <c r="M95" s="280" t="str">
        <f t="shared" si="22"/>
        <v/>
      </c>
      <c r="N95" s="283" t="str">
        <f t="shared" si="34"/>
        <v/>
      </c>
      <c r="O95" s="280"/>
      <c r="P95" s="289" t="str">
        <f>IF(A94=$D$8,XIRR(R$24:R94,C$24:C94),"")</f>
        <v/>
      </c>
      <c r="Q95" s="280" t="str">
        <f t="shared" si="32"/>
        <v/>
      </c>
      <c r="R95" s="283">
        <f t="shared" ca="1" si="27"/>
        <v>23232.527337695603</v>
      </c>
      <c r="S95" s="284">
        <f t="shared" ca="1" si="28"/>
        <v>2027</v>
      </c>
      <c r="T95" s="284">
        <f t="shared" ca="1" si="29"/>
        <v>365</v>
      </c>
    </row>
    <row r="96" spans="1:21" x14ac:dyDescent="0.35">
      <c r="A96" s="285">
        <f t="shared" si="30"/>
        <v>72</v>
      </c>
      <c r="B96" s="286">
        <f t="shared" ca="1" si="26"/>
        <v>46678</v>
      </c>
      <c r="C96" s="286">
        <f t="shared" ca="1" si="33"/>
        <v>46678</v>
      </c>
      <c r="D96" s="285">
        <f t="shared" ca="1" si="18"/>
        <v>30</v>
      </c>
      <c r="E96" s="280">
        <f t="shared" ca="1" si="31"/>
        <v>1806215.3145341987</v>
      </c>
      <c r="F96" s="280">
        <f ca="1">IF(AND(A95="",A97=""),"",IF(A96="",SUM($F$25:F95),IF(A96=$D$8,$E$24-SUM($F$25:F95),$F$13-G96)))</f>
        <v>4097.7660638672787</v>
      </c>
      <c r="G96" s="280">
        <f ca="1">IF(A95=$D$8,SUM($G$25:G95),IF(A95&gt;$D$8,"",E95*D96*$F$18/T95))</f>
        <v>19134.761273828324</v>
      </c>
      <c r="H96" s="280">
        <f ca="1">IF(A95=$D$8,SUM($H$25:H95),IF(A95="","",(G96+F96)))</f>
        <v>23232.527337695603</v>
      </c>
      <c r="I96" s="280" t="str">
        <f t="shared" si="19"/>
        <v/>
      </c>
      <c r="J96" s="280" t="str">
        <f t="shared" si="20"/>
        <v/>
      </c>
      <c r="K96" s="280"/>
      <c r="L96" s="280" t="str">
        <f t="shared" si="21"/>
        <v/>
      </c>
      <c r="M96" s="280" t="str">
        <f t="shared" si="22"/>
        <v/>
      </c>
      <c r="N96" s="283" t="str">
        <f t="shared" si="34"/>
        <v/>
      </c>
      <c r="O96" s="280"/>
      <c r="P96" s="289" t="str">
        <f>IF(A95=$D$8,XIRR(R$24:R95,C$24:C95),"")</f>
        <v/>
      </c>
      <c r="Q96" s="280" t="str">
        <f t="shared" si="32"/>
        <v/>
      </c>
      <c r="R96" s="283">
        <f t="shared" ca="1" si="27"/>
        <v>23232.527337695603</v>
      </c>
      <c r="S96" s="284">
        <f t="shared" ca="1" si="28"/>
        <v>2027</v>
      </c>
      <c r="T96" s="284">
        <f t="shared" ca="1" si="29"/>
        <v>365</v>
      </c>
    </row>
    <row r="97" spans="1:20" x14ac:dyDescent="0.35">
      <c r="A97" s="285">
        <f t="shared" si="30"/>
        <v>73</v>
      </c>
      <c r="B97" s="286">
        <f t="shared" ca="1" si="26"/>
        <v>46709</v>
      </c>
      <c r="C97" s="286">
        <f t="shared" ca="1" si="33"/>
        <v>46709</v>
      </c>
      <c r="D97" s="285">
        <f t="shared" ca="1" si="18"/>
        <v>31</v>
      </c>
      <c r="E97" s="280">
        <f t="shared" ca="1" si="31"/>
        <v>1802710.6172593031</v>
      </c>
      <c r="F97" s="280">
        <f ca="1">IF(AND(A96="",A98=""),"",IF(A97="",SUM($F$25:F96),IF(A97=$D$8,$E$24-SUM($F$25:F96),$F$13-G97)))</f>
        <v>3504.697274895505</v>
      </c>
      <c r="G97" s="280">
        <f ca="1">IF(A96=$D$8,SUM($G$25:G96),IF(A96&gt;$D$8,"",E96*D97*$F$18/T96))</f>
        <v>19727.830062800098</v>
      </c>
      <c r="H97" s="280">
        <f ca="1">IF(A96=$D$8,SUM($H$25:H96),IF(A96="","",(G97+F97)))</f>
        <v>23232.527337695603</v>
      </c>
      <c r="I97" s="280" t="str">
        <f t="shared" si="19"/>
        <v/>
      </c>
      <c r="J97" s="280" t="str">
        <f t="shared" si="20"/>
        <v/>
      </c>
      <c r="K97" s="280">
        <f>IF($F$8&gt;72,($O$8+$O$10),IF($A$96=$F$8,$K$37+$K$24+$K$49+$K$61+$K$73+$K$85,""))</f>
        <v>7500</v>
      </c>
      <c r="L97" s="280" t="str">
        <f t="shared" si="21"/>
        <v/>
      </c>
      <c r="M97" s="280" t="str">
        <f t="shared" si="22"/>
        <v/>
      </c>
      <c r="N97" s="280">
        <f>IF($F$8&gt;72,($N$14),IF(A96=$F$8,N85+N73+N61+N49+N37+N24,""))</f>
        <v>0</v>
      </c>
      <c r="O97" s="280"/>
      <c r="P97" s="289" t="str">
        <f>IF(A96=$D$8,XIRR(R$24:R96,C$24:C96),"")</f>
        <v/>
      </c>
      <c r="Q97" s="280" t="str">
        <f t="shared" si="32"/>
        <v/>
      </c>
      <c r="R97" s="283">
        <f t="shared" ca="1" si="27"/>
        <v>30732.527337695603</v>
      </c>
      <c r="S97" s="284">
        <f t="shared" ca="1" si="28"/>
        <v>2027</v>
      </c>
      <c r="T97" s="284">
        <f t="shared" ca="1" si="29"/>
        <v>365</v>
      </c>
    </row>
    <row r="98" spans="1:20" x14ac:dyDescent="0.35">
      <c r="A98" s="285">
        <f t="shared" si="30"/>
        <v>74</v>
      </c>
      <c r="B98" s="286">
        <f t="shared" ca="1" si="26"/>
        <v>46739</v>
      </c>
      <c r="C98" s="286">
        <f t="shared" ca="1" si="33"/>
        <v>46739</v>
      </c>
      <c r="D98" s="285">
        <f t="shared" ca="1" si="18"/>
        <v>30</v>
      </c>
      <c r="E98" s="280">
        <f t="shared" ca="1" si="31"/>
        <v>1798532.4941993784</v>
      </c>
      <c r="F98" s="280">
        <f ca="1">IF(AND(A97="",A99=""),"",IF(A98="",SUM($F$25:F97),IF(A98=$D$8,$E$24-SUM($F$25:F97),$F$13-G98)))</f>
        <v>4178.1230599246664</v>
      </c>
      <c r="G98" s="280">
        <f ca="1">IF(A97=$D$8,SUM($G$25:G97),IF(A97&gt;$D$8,"",E97*D98*$F$18/T97))</f>
        <v>19054.404277770936</v>
      </c>
      <c r="H98" s="280">
        <f ca="1">IF(A97=$D$8,SUM($H$25:H97),IF(A97="","",(G98+F98)))</f>
        <v>23232.527337695603</v>
      </c>
      <c r="I98" s="280" t="str">
        <f t="shared" si="19"/>
        <v/>
      </c>
      <c r="J98" s="280" t="str">
        <f t="shared" si="20"/>
        <v/>
      </c>
      <c r="K98" s="280"/>
      <c r="L98" s="280" t="str">
        <f t="shared" si="21"/>
        <v/>
      </c>
      <c r="M98" s="280" t="str">
        <f t="shared" si="22"/>
        <v/>
      </c>
      <c r="N98" s="283" t="str">
        <f t="shared" si="34"/>
        <v/>
      </c>
      <c r="O98" s="280"/>
      <c r="P98" s="289" t="str">
        <f>IF(A97=$D$8,XIRR(R$24:R97,C$24:C97),"")</f>
        <v/>
      </c>
      <c r="Q98" s="280" t="str">
        <f t="shared" si="32"/>
        <v/>
      </c>
      <c r="R98" s="283">
        <f t="shared" ca="1" si="27"/>
        <v>23232.527337695603</v>
      </c>
      <c r="S98" s="284">
        <f t="shared" ca="1" si="28"/>
        <v>2027</v>
      </c>
      <c r="T98" s="284">
        <f t="shared" ca="1" si="29"/>
        <v>365</v>
      </c>
    </row>
    <row r="99" spans="1:20" x14ac:dyDescent="0.35">
      <c r="A99" s="285">
        <f t="shared" si="30"/>
        <v>75</v>
      </c>
      <c r="B99" s="286">
        <f t="shared" ca="1" si="26"/>
        <v>46770</v>
      </c>
      <c r="C99" s="286">
        <f t="shared" ca="1" si="33"/>
        <v>46770</v>
      </c>
      <c r="D99" s="285">
        <f t="shared" ca="1" si="18"/>
        <v>31</v>
      </c>
      <c r="E99" s="280">
        <f t="shared" ca="1" si="31"/>
        <v>1794943.8836873684</v>
      </c>
      <c r="F99" s="280">
        <f ca="1">IF(AND(A98="",A100=""),"",IF(A99="",SUM($F$25:F98),IF(A99=$D$8,$E$24-SUM($F$25:F98),$F$13-G99)))</f>
        <v>3588.610512010011</v>
      </c>
      <c r="G99" s="280">
        <f ca="1">IF(A98=$D$8,SUM($G$25:G98),IF(A98&gt;$D$8,"",E98*D99*$F$18/T98))</f>
        <v>19643.916825685592</v>
      </c>
      <c r="H99" s="280">
        <f ca="1">IF(A98=$D$8,SUM($H$25:H98),IF(A98="","",(G99+F99)))</f>
        <v>23232.527337695603</v>
      </c>
      <c r="I99" s="280" t="str">
        <f t="shared" si="19"/>
        <v/>
      </c>
      <c r="J99" s="280" t="str">
        <f t="shared" si="20"/>
        <v/>
      </c>
      <c r="K99" s="280"/>
      <c r="L99" s="280" t="str">
        <f t="shared" si="21"/>
        <v/>
      </c>
      <c r="M99" s="280" t="str">
        <f t="shared" si="22"/>
        <v/>
      </c>
      <c r="N99" s="283" t="str">
        <f t="shared" si="34"/>
        <v/>
      </c>
      <c r="O99" s="280"/>
      <c r="P99" s="289" t="str">
        <f>IF(A98=$D$8,XIRR(R$24:R98,C$24:C98),"")</f>
        <v/>
      </c>
      <c r="Q99" s="280" t="str">
        <f t="shared" si="32"/>
        <v/>
      </c>
      <c r="R99" s="283">
        <f t="shared" ca="1" si="27"/>
        <v>23232.527337695603</v>
      </c>
      <c r="S99" s="284">
        <f t="shared" ca="1" si="28"/>
        <v>2028</v>
      </c>
      <c r="T99" s="284">
        <f t="shared" ca="1" si="29"/>
        <v>366</v>
      </c>
    </row>
    <row r="100" spans="1:20" x14ac:dyDescent="0.35">
      <c r="A100" s="285">
        <f t="shared" si="30"/>
        <v>76</v>
      </c>
      <c r="B100" s="286">
        <f t="shared" ca="1" si="26"/>
        <v>46801</v>
      </c>
      <c r="C100" s="286">
        <f t="shared" ca="1" si="33"/>
        <v>46801</v>
      </c>
      <c r="D100" s="285">
        <f t="shared" ca="1" si="18"/>
        <v>31</v>
      </c>
      <c r="E100" s="280">
        <f t="shared" ca="1" si="31"/>
        <v>1791262.5128707329</v>
      </c>
      <c r="F100" s="280">
        <f ca="1">IF(AND(A99="",A101=""),"",IF(A100="",SUM($F$25:F99),IF(A100=$D$8,$E$24-SUM($F$25:F99),$F$13-G100)))</f>
        <v>3681.3708166353244</v>
      </c>
      <c r="G100" s="280">
        <f ca="1">IF(A99=$D$8,SUM($G$25:G99),IF(A99&gt;$D$8,"",E99*D100*$F$18/T99))</f>
        <v>19551.156521060278</v>
      </c>
      <c r="H100" s="280">
        <f ca="1">IF(A99=$D$8,SUM($H$25:H99),IF(A99="","",(G100+F100)))</f>
        <v>23232.527337695603</v>
      </c>
      <c r="I100" s="280" t="str">
        <f t="shared" si="19"/>
        <v/>
      </c>
      <c r="J100" s="280" t="str">
        <f t="shared" si="20"/>
        <v/>
      </c>
      <c r="K100" s="280"/>
      <c r="L100" s="280" t="str">
        <f t="shared" si="21"/>
        <v/>
      </c>
      <c r="M100" s="280" t="str">
        <f t="shared" si="22"/>
        <v/>
      </c>
      <c r="N100" s="283" t="str">
        <f t="shared" si="34"/>
        <v/>
      </c>
      <c r="O100" s="280"/>
      <c r="P100" s="289" t="str">
        <f>IF(A99=$D$8,XIRR(R$24:R99,C$24:C99),"")</f>
        <v/>
      </c>
      <c r="Q100" s="280" t="str">
        <f t="shared" si="32"/>
        <v/>
      </c>
      <c r="R100" s="283">
        <f t="shared" ca="1" si="27"/>
        <v>23232.527337695603</v>
      </c>
      <c r="S100" s="284">
        <f t="shared" ca="1" si="28"/>
        <v>2028</v>
      </c>
      <c r="T100" s="284">
        <f t="shared" ca="1" si="29"/>
        <v>366</v>
      </c>
    </row>
    <row r="101" spans="1:20" x14ac:dyDescent="0.35">
      <c r="A101" s="285">
        <f t="shared" si="30"/>
        <v>77</v>
      </c>
      <c r="B101" s="286">
        <f t="shared" ca="1" si="26"/>
        <v>46830</v>
      </c>
      <c r="C101" s="286">
        <f t="shared" ca="1" si="33"/>
        <v>46830</v>
      </c>
      <c r="D101" s="285">
        <f t="shared" ca="1" si="18"/>
        <v>29</v>
      </c>
      <c r="E101" s="280">
        <f t="shared" ca="1" si="31"/>
        <v>1786282.2653568082</v>
      </c>
      <c r="F101" s="280">
        <f ca="1">IF(AND(A100="",A102=""),"",IF(A101="",SUM($F$25:F100),IF(A101=$D$8,$E$24-SUM($F$25:F100),$F$13-G101)))</f>
        <v>4980.247513924809</v>
      </c>
      <c r="G101" s="280">
        <f ca="1">IF(A100=$D$8,SUM($G$25:G100),IF(A100&gt;$D$8,"",E100*D101*$F$18/T100))</f>
        <v>18252.279823770794</v>
      </c>
      <c r="H101" s="280">
        <f ca="1">IF(A100=$D$8,SUM($H$25:H100),IF(A100="","",(G101+F101)))</f>
        <v>23232.527337695603</v>
      </c>
      <c r="I101" s="280" t="str">
        <f t="shared" si="19"/>
        <v/>
      </c>
      <c r="J101" s="280" t="str">
        <f t="shared" si="20"/>
        <v/>
      </c>
      <c r="K101" s="280"/>
      <c r="L101" s="280" t="str">
        <f t="shared" si="21"/>
        <v/>
      </c>
      <c r="M101" s="280" t="str">
        <f t="shared" si="22"/>
        <v/>
      </c>
      <c r="N101" s="283" t="str">
        <f t="shared" si="34"/>
        <v/>
      </c>
      <c r="O101" s="280"/>
      <c r="P101" s="289" t="str">
        <f>IF(A100=$D$8,XIRR(R$24:R100,C$24:C100),"")</f>
        <v/>
      </c>
      <c r="Q101" s="280" t="str">
        <f t="shared" si="32"/>
        <v/>
      </c>
      <c r="R101" s="283">
        <f t="shared" ca="1" si="27"/>
        <v>23232.527337695603</v>
      </c>
      <c r="S101" s="284">
        <f t="shared" ca="1" si="28"/>
        <v>2028</v>
      </c>
      <c r="T101" s="284">
        <f t="shared" ca="1" si="29"/>
        <v>366</v>
      </c>
    </row>
    <row r="102" spans="1:20" x14ac:dyDescent="0.35">
      <c r="A102" s="285">
        <f t="shared" si="30"/>
        <v>78</v>
      </c>
      <c r="B102" s="286">
        <f t="shared" ca="1" si="26"/>
        <v>46861</v>
      </c>
      <c r="C102" s="286">
        <f t="shared" ca="1" si="33"/>
        <v>46861</v>
      </c>
      <c r="D102" s="285">
        <f t="shared" ref="D102:D165" ca="1" si="35">IF(A102&gt;$D$8,"",C102-C101)</f>
        <v>31</v>
      </c>
      <c r="E102" s="280">
        <f t="shared" ca="1" si="31"/>
        <v>1782506.5491641166</v>
      </c>
      <c r="F102" s="280">
        <f ca="1">IF(AND(A101="",A103=""),"",IF(A102="",SUM($F$25:F101),IF(A102=$D$8,$E$24-SUM($F$25:F101),$F$13-G102)))</f>
        <v>3775.7161926916378</v>
      </c>
      <c r="G102" s="280">
        <f ca="1">IF(A101=$D$8,SUM($G$25:G101),IF(A101&gt;$D$8,"",E101*D102*$F$18/T101))</f>
        <v>19456.811145003965</v>
      </c>
      <c r="H102" s="280">
        <f ca="1">IF(A101=$D$8,SUM($H$25:H101),IF(A101="","",(G102+F102)))</f>
        <v>23232.527337695603</v>
      </c>
      <c r="I102" s="280" t="str">
        <f t="shared" ref="I102:I165" si="36">IF(A101=$F$8,$I$24,"")</f>
        <v/>
      </c>
      <c r="J102" s="280" t="str">
        <f t="shared" ref="J102:J165" si="37">IF(A101=$F$8,$J$24,"")</f>
        <v/>
      </c>
      <c r="K102" s="280"/>
      <c r="L102" s="280" t="str">
        <f t="shared" ref="L102:L165" si="38">IF(A101=$F$8,$L$24,"")</f>
        <v/>
      </c>
      <c r="M102" s="280" t="str">
        <f t="shared" ref="M102:M165" si="39">IF(A101=$F$8,$M$24,"")</f>
        <v/>
      </c>
      <c r="N102" s="283" t="str">
        <f t="shared" si="34"/>
        <v/>
      </c>
      <c r="O102" s="280"/>
      <c r="P102" s="289" t="str">
        <f>IF(A101=$D$8,XIRR(R$24:R101,C$24:C101),"")</f>
        <v/>
      </c>
      <c r="Q102" s="280" t="str">
        <f t="shared" si="32"/>
        <v/>
      </c>
      <c r="R102" s="283">
        <f t="shared" ca="1" si="27"/>
        <v>23232.527337695603</v>
      </c>
      <c r="S102" s="284">
        <f t="shared" ca="1" si="28"/>
        <v>2028</v>
      </c>
      <c r="T102" s="284">
        <f t="shared" ca="1" si="29"/>
        <v>366</v>
      </c>
    </row>
    <row r="103" spans="1:20" x14ac:dyDescent="0.35">
      <c r="A103" s="285">
        <f t="shared" si="30"/>
        <v>79</v>
      </c>
      <c r="B103" s="286">
        <f t="shared" ca="1" si="26"/>
        <v>46891</v>
      </c>
      <c r="C103" s="286">
        <f t="shared" ca="1" si="33"/>
        <v>46891</v>
      </c>
      <c r="D103" s="285">
        <f t="shared" ca="1" si="35"/>
        <v>30</v>
      </c>
      <c r="E103" s="280">
        <f t="shared" ca="1" si="31"/>
        <v>1778063.3941397411</v>
      </c>
      <c r="F103" s="280">
        <f ca="1">IF(AND(A102="",A104=""),"",IF(A103="",SUM($F$25:F102),IF(A103=$D$8,$E$24-SUM($F$25:F102),$F$13-G103)))</f>
        <v>4443.15502437549</v>
      </c>
      <c r="G103" s="280">
        <f ca="1">IF(A102=$D$8,SUM($G$25:G102),IF(A102&gt;$D$8,"",E102*D103*$F$18/T102))</f>
        <v>18789.372313320113</v>
      </c>
      <c r="H103" s="280">
        <f ca="1">IF(A102=$D$8,SUM($H$25:H102),IF(A102="","",(G103+F103)))</f>
        <v>23232.527337695603</v>
      </c>
      <c r="I103" s="280" t="str">
        <f t="shared" si="36"/>
        <v/>
      </c>
      <c r="J103" s="280" t="str">
        <f t="shared" si="37"/>
        <v/>
      </c>
      <c r="K103" s="280"/>
      <c r="L103" s="280" t="str">
        <f t="shared" si="38"/>
        <v/>
      </c>
      <c r="M103" s="280" t="str">
        <f t="shared" si="39"/>
        <v/>
      </c>
      <c r="N103" s="283" t="str">
        <f t="shared" si="34"/>
        <v/>
      </c>
      <c r="O103" s="280"/>
      <c r="P103" s="289" t="str">
        <f>IF(A102=$D$8,XIRR(R$24:R102,C$24:C102),"")</f>
        <v/>
      </c>
      <c r="Q103" s="280" t="str">
        <f t="shared" si="32"/>
        <v/>
      </c>
      <c r="R103" s="283">
        <f t="shared" ca="1" si="27"/>
        <v>23232.527337695603</v>
      </c>
      <c r="S103" s="284">
        <f t="shared" ca="1" si="28"/>
        <v>2028</v>
      </c>
      <c r="T103" s="284">
        <f t="shared" ca="1" si="29"/>
        <v>366</v>
      </c>
    </row>
    <row r="104" spans="1:20" x14ac:dyDescent="0.35">
      <c r="A104" s="285">
        <f t="shared" si="30"/>
        <v>80</v>
      </c>
      <c r="B104" s="286">
        <f t="shared" ca="1" si="26"/>
        <v>46922</v>
      </c>
      <c r="C104" s="286">
        <f t="shared" ca="1" si="33"/>
        <v>46922</v>
      </c>
      <c r="D104" s="285">
        <f t="shared" ca="1" si="35"/>
        <v>31</v>
      </c>
      <c r="E104" s="280">
        <f t="shared" ca="1" si="31"/>
        <v>1774198.1551273938</v>
      </c>
      <c r="F104" s="280">
        <f ca="1">IF(AND(A103="",A105=""),"",IF(A104="",SUM($F$25:F103),IF(A104=$D$8,$E$24-SUM($F$25:F103),$F$13-G104)))</f>
        <v>3865.2390123472651</v>
      </c>
      <c r="G104" s="280">
        <f ca="1">IF(A103=$D$8,SUM($G$25:G103),IF(A103&gt;$D$8,"",E103*D104*$F$18/T103))</f>
        <v>19367.288325348338</v>
      </c>
      <c r="H104" s="280">
        <f ca="1">IF(A103=$D$8,SUM($H$25:H103),IF(A103="","",(G104+F104)))</f>
        <v>23232.527337695603</v>
      </c>
      <c r="I104" s="280" t="str">
        <f t="shared" si="36"/>
        <v/>
      </c>
      <c r="J104" s="280" t="str">
        <f t="shared" si="37"/>
        <v/>
      </c>
      <c r="K104" s="280"/>
      <c r="L104" s="280" t="str">
        <f t="shared" si="38"/>
        <v/>
      </c>
      <c r="M104" s="280" t="str">
        <f t="shared" si="39"/>
        <v/>
      </c>
      <c r="N104" s="283" t="str">
        <f t="shared" si="34"/>
        <v/>
      </c>
      <c r="O104" s="280"/>
      <c r="P104" s="289" t="str">
        <f>IF(A103=$D$8,XIRR(R$24:R103,C$24:C103),"")</f>
        <v/>
      </c>
      <c r="Q104" s="280" t="str">
        <f t="shared" si="32"/>
        <v/>
      </c>
      <c r="R104" s="283">
        <f t="shared" ca="1" si="27"/>
        <v>23232.527337695603</v>
      </c>
      <c r="S104" s="284">
        <f t="shared" ca="1" si="28"/>
        <v>2028</v>
      </c>
      <c r="T104" s="284">
        <f t="shared" ca="1" si="29"/>
        <v>366</v>
      </c>
    </row>
    <row r="105" spans="1:20" x14ac:dyDescent="0.35">
      <c r="A105" s="285">
        <f t="shared" si="30"/>
        <v>81</v>
      </c>
      <c r="B105" s="286">
        <f t="shared" ca="1" si="26"/>
        <v>46952</v>
      </c>
      <c r="C105" s="286">
        <f t="shared" ca="1" si="33"/>
        <v>46952</v>
      </c>
      <c r="D105" s="285">
        <f t="shared" ca="1" si="35"/>
        <v>30</v>
      </c>
      <c r="E105" s="280">
        <f t="shared" ca="1" si="31"/>
        <v>1769667.4214576804</v>
      </c>
      <c r="F105" s="280">
        <f ca="1">IF(AND(A104="",A106=""),"",IF(A105="",SUM($F$25:F104),IF(A105=$D$8,$E$24-SUM($F$25:F104),$F$13-G105)))</f>
        <v>4530.7336697134051</v>
      </c>
      <c r="G105" s="280">
        <f ca="1">IF(A104=$D$8,SUM($G$25:G104),IF(A104&gt;$D$8,"",E104*D105*$F$18/T104))</f>
        <v>18701.793667982198</v>
      </c>
      <c r="H105" s="280">
        <f ca="1">IF(A104=$D$8,SUM($H$25:H104),IF(A104="","",(G105+F105)))</f>
        <v>23232.527337695603</v>
      </c>
      <c r="I105" s="280" t="str">
        <f t="shared" si="36"/>
        <v/>
      </c>
      <c r="J105" s="280" t="str">
        <f t="shared" si="37"/>
        <v/>
      </c>
      <c r="K105" s="280"/>
      <c r="L105" s="280" t="str">
        <f t="shared" si="38"/>
        <v/>
      </c>
      <c r="M105" s="280" t="str">
        <f t="shared" si="39"/>
        <v/>
      </c>
      <c r="N105" s="283" t="str">
        <f t="shared" si="34"/>
        <v/>
      </c>
      <c r="O105" s="280"/>
      <c r="P105" s="289" t="str">
        <f>IF(A104=$D$8,XIRR(R$24:R104,C$24:C104),"")</f>
        <v/>
      </c>
      <c r="Q105" s="280" t="str">
        <f t="shared" si="32"/>
        <v/>
      </c>
      <c r="R105" s="283">
        <f t="shared" ca="1" si="27"/>
        <v>23232.527337695603</v>
      </c>
      <c r="S105" s="284">
        <f t="shared" ca="1" si="28"/>
        <v>2028</v>
      </c>
      <c r="T105" s="284">
        <f t="shared" ca="1" si="29"/>
        <v>366</v>
      </c>
    </row>
    <row r="106" spans="1:20" x14ac:dyDescent="0.35">
      <c r="A106" s="285">
        <f t="shared" si="30"/>
        <v>82</v>
      </c>
      <c r="B106" s="286">
        <f t="shared" ca="1" si="26"/>
        <v>46983</v>
      </c>
      <c r="C106" s="286">
        <f t="shared" ca="1" si="33"/>
        <v>46983</v>
      </c>
      <c r="D106" s="285">
        <f t="shared" ca="1" si="35"/>
        <v>31</v>
      </c>
      <c r="E106" s="280">
        <f t="shared" ca="1" si="31"/>
        <v>1765710.7305745836</v>
      </c>
      <c r="F106" s="280">
        <f ca="1">IF(AND(A105="",A107=""),"",IF(A106="",SUM($F$25:F105),IF(A106=$D$8,$E$24-SUM($F$25:F105),$F$13-G106)))</f>
        <v>3956.6908830967259</v>
      </c>
      <c r="G106" s="280">
        <f ca="1">IF(A105=$D$8,SUM($G$25:G105),IF(A105&gt;$D$8,"",E105*D106*$F$18/T105))</f>
        <v>19275.836454598877</v>
      </c>
      <c r="H106" s="280">
        <f ca="1">IF(A105=$D$8,SUM($H$25:H105),IF(A105="","",(G106+F106)))</f>
        <v>23232.527337695603</v>
      </c>
      <c r="I106" s="280" t="str">
        <f t="shared" si="36"/>
        <v/>
      </c>
      <c r="J106" s="280" t="str">
        <f t="shared" si="37"/>
        <v/>
      </c>
      <c r="K106" s="280"/>
      <c r="L106" s="280" t="str">
        <f t="shared" si="38"/>
        <v/>
      </c>
      <c r="M106" s="280" t="str">
        <f t="shared" si="39"/>
        <v/>
      </c>
      <c r="N106" s="283" t="str">
        <f t="shared" si="34"/>
        <v/>
      </c>
      <c r="O106" s="280"/>
      <c r="P106" s="289" t="str">
        <f>IF(A105=$D$8,XIRR(R$24:R105,C$24:C105),"")</f>
        <v/>
      </c>
      <c r="Q106" s="280" t="str">
        <f t="shared" si="32"/>
        <v/>
      </c>
      <c r="R106" s="283">
        <f t="shared" ca="1" si="27"/>
        <v>23232.527337695603</v>
      </c>
      <c r="S106" s="284">
        <f t="shared" ca="1" si="28"/>
        <v>2028</v>
      </c>
      <c r="T106" s="284">
        <f t="shared" ca="1" si="29"/>
        <v>366</v>
      </c>
    </row>
    <row r="107" spans="1:20" x14ac:dyDescent="0.35">
      <c r="A107" s="285">
        <f t="shared" si="30"/>
        <v>83</v>
      </c>
      <c r="B107" s="286">
        <f t="shared" ca="1" si="26"/>
        <v>47014</v>
      </c>
      <c r="C107" s="286">
        <f t="shared" ca="1" si="33"/>
        <v>47014</v>
      </c>
      <c r="D107" s="285">
        <f t="shared" ca="1" si="35"/>
        <v>31</v>
      </c>
      <c r="E107" s="280">
        <f t="shared" ca="1" si="31"/>
        <v>1761710.9420306275</v>
      </c>
      <c r="F107" s="280">
        <f ca="1">IF(AND(A106="",A108=""),"",IF(A107="",SUM($F$25:F106),IF(A107=$D$8,$E$24-SUM($F$25:F106),$F$13-G107)))</f>
        <v>3999.7885439561651</v>
      </c>
      <c r="G107" s="280">
        <f ca="1">IF(A106=$D$8,SUM($G$25:G106),IF(A106&gt;$D$8,"",E106*D107*$F$18/T106))</f>
        <v>19232.738793739438</v>
      </c>
      <c r="H107" s="280">
        <f ca="1">IF(A106=$D$8,SUM($H$25:H106),IF(A106="","",(G107+F107)))</f>
        <v>23232.527337695603</v>
      </c>
      <c r="I107" s="280" t="str">
        <f t="shared" si="36"/>
        <v/>
      </c>
      <c r="J107" s="280" t="str">
        <f t="shared" si="37"/>
        <v/>
      </c>
      <c r="K107" s="280"/>
      <c r="L107" s="280" t="str">
        <f t="shared" si="38"/>
        <v/>
      </c>
      <c r="M107" s="280" t="str">
        <f t="shared" si="39"/>
        <v/>
      </c>
      <c r="N107" s="283" t="str">
        <f t="shared" si="34"/>
        <v/>
      </c>
      <c r="O107" s="280"/>
      <c r="P107" s="289" t="str">
        <f>IF(A106=$D$8,XIRR(R$24:R106,C$24:C106),"")</f>
        <v/>
      </c>
      <c r="Q107" s="280" t="str">
        <f t="shared" si="32"/>
        <v/>
      </c>
      <c r="R107" s="283">
        <f t="shared" ca="1" si="27"/>
        <v>23232.527337695603</v>
      </c>
      <c r="S107" s="284">
        <f t="shared" ca="1" si="28"/>
        <v>2028</v>
      </c>
      <c r="T107" s="284">
        <f t="shared" ca="1" si="29"/>
        <v>366</v>
      </c>
    </row>
    <row r="108" spans="1:20" x14ac:dyDescent="0.35">
      <c r="A108" s="285">
        <f t="shared" si="30"/>
        <v>84</v>
      </c>
      <c r="B108" s="286">
        <f t="shared" ca="1" si="26"/>
        <v>47044</v>
      </c>
      <c r="C108" s="286">
        <f t="shared" ca="1" si="33"/>
        <v>47044</v>
      </c>
      <c r="D108" s="285">
        <f t="shared" ca="1" si="35"/>
        <v>30</v>
      </c>
      <c r="E108" s="280">
        <f t="shared" ca="1" si="31"/>
        <v>1757048.5808523695</v>
      </c>
      <c r="F108" s="280">
        <f ca="1">IF(AND(A107="",A109=""),"",IF(A108="",SUM($F$25:F107),IF(A108=$D$8,$E$24-SUM($F$25:F107),$F$13-G108)))</f>
        <v>4662.3611782580047</v>
      </c>
      <c r="G108" s="280">
        <f ca="1">IF(A107=$D$8,SUM($G$25:G107),IF(A107&gt;$D$8,"",E107*D108*$F$18/T107))</f>
        <v>18570.166159437598</v>
      </c>
      <c r="H108" s="280">
        <f ca="1">IF(A107=$D$8,SUM($H$25:H107),IF(A107="","",(G108+F108)))</f>
        <v>23232.527337695603</v>
      </c>
      <c r="I108" s="280" t="str">
        <f t="shared" si="36"/>
        <v/>
      </c>
      <c r="J108" s="280" t="str">
        <f t="shared" si="37"/>
        <v/>
      </c>
      <c r="K108" s="280"/>
      <c r="L108" s="280" t="str">
        <f t="shared" si="38"/>
        <v/>
      </c>
      <c r="M108" s="280" t="str">
        <f t="shared" si="39"/>
        <v/>
      </c>
      <c r="N108" s="283" t="str">
        <f t="shared" si="34"/>
        <v/>
      </c>
      <c r="O108" s="280"/>
      <c r="P108" s="289" t="str">
        <f>IF(A107=$D$8,XIRR(R$24:R107,C$24:C107),"")</f>
        <v/>
      </c>
      <c r="Q108" s="280" t="str">
        <f t="shared" si="32"/>
        <v/>
      </c>
      <c r="R108" s="283">
        <f t="shared" ca="1" si="27"/>
        <v>23232.527337695603</v>
      </c>
      <c r="S108" s="284">
        <f t="shared" ca="1" si="28"/>
        <v>2028</v>
      </c>
      <c r="T108" s="284">
        <f t="shared" ca="1" si="29"/>
        <v>366</v>
      </c>
    </row>
    <row r="109" spans="1:20" x14ac:dyDescent="0.35">
      <c r="A109" s="285">
        <f t="shared" si="30"/>
        <v>85</v>
      </c>
      <c r="B109" s="286">
        <f ca="1">EDATE($B$24,A109)</f>
        <v>47075</v>
      </c>
      <c r="C109" s="286">
        <f t="shared" ca="1" si="33"/>
        <v>47075</v>
      </c>
      <c r="D109" s="285">
        <f t="shared" ca="1" si="35"/>
        <v>31</v>
      </c>
      <c r="E109" s="280">
        <f t="shared" ca="1" si="31"/>
        <v>1752954.4411442534</v>
      </c>
      <c r="F109" s="280">
        <f ca="1">IF(AND(A108="",A110=""),"",IF(A109="",SUM($F$25:F108),IF(A109=$D$8,$E$24-SUM($F$25:F108),$F$13-G109)))</f>
        <v>4094.139708116214</v>
      </c>
      <c r="G109" s="280">
        <f ca="1">IF(A108=$D$8,SUM($G$25:G108),IF(A108&gt;$D$8,"",E108*D109*$F$18/T108))</f>
        <v>19138.387629579389</v>
      </c>
      <c r="H109" s="280">
        <f ca="1">IF(A108=$D$8,SUM($H$25:H108),IF(A108="","",(G109+F109)))</f>
        <v>23232.527337695603</v>
      </c>
      <c r="I109" s="280" t="str">
        <f t="shared" si="36"/>
        <v/>
      </c>
      <c r="J109" s="280" t="str">
        <f t="shared" si="37"/>
        <v/>
      </c>
      <c r="K109" s="280">
        <f>IF($F$8&gt;84,($O$8+$O$10),IF($A$108=$F$8,$K$37+$K$24+$K$49+$K$61+$K$73+$K$85+$K$97,""))</f>
        <v>7500</v>
      </c>
      <c r="L109" s="280" t="str">
        <f t="shared" si="38"/>
        <v/>
      </c>
      <c r="M109" s="280" t="str">
        <f t="shared" si="39"/>
        <v/>
      </c>
      <c r="N109" s="280">
        <f>IF($F$8&gt;84,($N$14),IF(A108=$F$8,N97+N85+N73+N61+N49+N37+N24,""))</f>
        <v>0</v>
      </c>
      <c r="O109" s="280"/>
      <c r="P109" s="289" t="str">
        <f>IF(A108=$D$8,XIRR(R$24:R108,C$24:C108),"")</f>
        <v/>
      </c>
      <c r="Q109" s="280" t="str">
        <f t="shared" si="32"/>
        <v/>
      </c>
      <c r="R109" s="283">
        <f t="shared" ca="1" si="27"/>
        <v>30732.527337695603</v>
      </c>
      <c r="S109" s="284">
        <f t="shared" ca="1" si="28"/>
        <v>2028</v>
      </c>
      <c r="T109" s="284">
        <f t="shared" ca="1" si="29"/>
        <v>366</v>
      </c>
    </row>
    <row r="110" spans="1:20" x14ac:dyDescent="0.35">
      <c r="A110" s="285">
        <f t="shared" si="30"/>
        <v>86</v>
      </c>
      <c r="B110" s="286">
        <f t="shared" ref="B110:B173" ca="1" si="40">EDATE($B$24,A110)</f>
        <v>47105</v>
      </c>
      <c r="C110" s="286">
        <f t="shared" ca="1" si="33"/>
        <v>47105</v>
      </c>
      <c r="D110" s="285">
        <f t="shared" ca="1" si="35"/>
        <v>30</v>
      </c>
      <c r="E110" s="280">
        <f t="shared" ca="1" si="31"/>
        <v>1748199.7778337013</v>
      </c>
      <c r="F110" s="280">
        <f ca="1">IF(AND(A109="",A111=""),"",IF(A110="",SUM($F$25:F109),IF(A110=$D$8,$E$24-SUM($F$25:F109),$F$13-G110)))</f>
        <v>4754.6633105520814</v>
      </c>
      <c r="G110" s="280">
        <f ca="1">IF(A109=$D$8,SUM($G$25:G109),IF(A109&gt;$D$8,"",E109*D110*$F$18/T109))</f>
        <v>18477.864027143522</v>
      </c>
      <c r="H110" s="280">
        <f ca="1">IF(A109=$D$8,SUM($H$25:H109),IF(A109="","",(G110+F110)))</f>
        <v>23232.527337695603</v>
      </c>
      <c r="I110" s="280" t="str">
        <f t="shared" si="36"/>
        <v/>
      </c>
      <c r="J110" s="280" t="str">
        <f t="shared" si="37"/>
        <v/>
      </c>
      <c r="K110" s="280"/>
      <c r="L110" s="280" t="str">
        <f t="shared" si="38"/>
        <v/>
      </c>
      <c r="M110" s="280" t="str">
        <f t="shared" si="39"/>
        <v/>
      </c>
      <c r="N110" s="283" t="str">
        <f t="shared" si="34"/>
        <v/>
      </c>
      <c r="O110" s="280"/>
      <c r="P110" s="289" t="str">
        <f>IF(A109=$D$8,XIRR(R$24:R109,C$24:C109),"")</f>
        <v/>
      </c>
      <c r="Q110" s="280" t="str">
        <f t="shared" si="32"/>
        <v/>
      </c>
      <c r="R110" s="283">
        <f t="shared" ca="1" si="27"/>
        <v>23232.527337695603</v>
      </c>
      <c r="S110" s="284">
        <f t="shared" ca="1" si="28"/>
        <v>2028</v>
      </c>
      <c r="T110" s="284">
        <f t="shared" ca="1" si="29"/>
        <v>366</v>
      </c>
    </row>
    <row r="111" spans="1:20" x14ac:dyDescent="0.35">
      <c r="A111" s="285">
        <f t="shared" si="30"/>
        <v>87</v>
      </c>
      <c r="B111" s="286">
        <f t="shared" ca="1" si="40"/>
        <v>47136</v>
      </c>
      <c r="C111" s="286">
        <f t="shared" ca="1" si="33"/>
        <v>47136</v>
      </c>
      <c r="D111" s="285">
        <f t="shared" ca="1" si="35"/>
        <v>31</v>
      </c>
      <c r="E111" s="280">
        <f t="shared" ca="1" si="31"/>
        <v>1744009.2538684425</v>
      </c>
      <c r="F111" s="280">
        <f ca="1">IF(AND(A110="",A112=""),"",IF(A111="",SUM($F$25:F110),IF(A111=$D$8,$E$24-SUM($F$25:F110),$F$13-G111)))</f>
        <v>4190.5239652589007</v>
      </c>
      <c r="G111" s="280">
        <f ca="1">IF(A110=$D$8,SUM($G$25:G110),IF(A110&gt;$D$8,"",E110*D111*$F$18/T110))</f>
        <v>19042.003372436702</v>
      </c>
      <c r="H111" s="280">
        <f ca="1">IF(A110=$D$8,SUM($H$25:H110),IF(A110="","",(G111+F111)))</f>
        <v>23232.527337695603</v>
      </c>
      <c r="I111" s="280" t="str">
        <f t="shared" si="36"/>
        <v/>
      </c>
      <c r="J111" s="280" t="str">
        <f t="shared" si="37"/>
        <v/>
      </c>
      <c r="K111" s="280"/>
      <c r="L111" s="280" t="str">
        <f t="shared" si="38"/>
        <v/>
      </c>
      <c r="M111" s="280" t="str">
        <f t="shared" si="39"/>
        <v/>
      </c>
      <c r="N111" s="283" t="str">
        <f t="shared" si="34"/>
        <v/>
      </c>
      <c r="O111" s="280"/>
      <c r="P111" s="289" t="str">
        <f>IF(A110=$D$8,XIRR(R$24:R110,C$24:C110),"")</f>
        <v/>
      </c>
      <c r="Q111" s="280" t="str">
        <f t="shared" si="32"/>
        <v/>
      </c>
      <c r="R111" s="283">
        <f t="shared" ca="1" si="27"/>
        <v>23232.527337695603</v>
      </c>
      <c r="S111" s="284">
        <f t="shared" ca="1" si="28"/>
        <v>2029</v>
      </c>
      <c r="T111" s="284">
        <f t="shared" ca="1" si="29"/>
        <v>365</v>
      </c>
    </row>
    <row r="112" spans="1:20" x14ac:dyDescent="0.35">
      <c r="A112" s="285">
        <f t="shared" si="30"/>
        <v>88</v>
      </c>
      <c r="B112" s="286">
        <f t="shared" ca="1" si="40"/>
        <v>47167</v>
      </c>
      <c r="C112" s="286">
        <f t="shared" ca="1" si="33"/>
        <v>47167</v>
      </c>
      <c r="D112" s="285">
        <f t="shared" ca="1" si="35"/>
        <v>31</v>
      </c>
      <c r="E112" s="280">
        <f t="shared" ca="1" si="31"/>
        <v>1739825.1300690263</v>
      </c>
      <c r="F112" s="280">
        <f ca="1">IF(AND(A111="",A113=""),"",IF(A112="",SUM($F$25:F111),IF(A112=$D$8,$E$24-SUM($F$25:F111),$F$13-G112)))</f>
        <v>4184.1237994163384</v>
      </c>
      <c r="G112" s="280">
        <f ca="1">IF(A111=$D$8,SUM($G$25:G111),IF(A111&gt;$D$8,"",E111*D112*$F$18/T111))</f>
        <v>19048.403538279264</v>
      </c>
      <c r="H112" s="280">
        <f ca="1">IF(A111=$D$8,SUM($H$25:H111),IF(A111="","",(G112+F112)))</f>
        <v>23232.527337695603</v>
      </c>
      <c r="I112" s="280" t="str">
        <f t="shared" si="36"/>
        <v/>
      </c>
      <c r="J112" s="280" t="str">
        <f t="shared" si="37"/>
        <v/>
      </c>
      <c r="K112" s="280"/>
      <c r="L112" s="280" t="str">
        <f t="shared" si="38"/>
        <v/>
      </c>
      <c r="M112" s="280" t="str">
        <f t="shared" si="39"/>
        <v/>
      </c>
      <c r="N112" s="283" t="str">
        <f t="shared" si="34"/>
        <v/>
      </c>
      <c r="O112" s="280"/>
      <c r="P112" s="289" t="str">
        <f>IF(A111=$D$8,XIRR(R$24:R111,C$24:C111),"")</f>
        <v/>
      </c>
      <c r="Q112" s="280" t="str">
        <f t="shared" si="32"/>
        <v/>
      </c>
      <c r="R112" s="283">
        <f t="shared" ca="1" si="27"/>
        <v>23232.527337695603</v>
      </c>
      <c r="S112" s="284">
        <f t="shared" ca="1" si="28"/>
        <v>2029</v>
      </c>
      <c r="T112" s="284">
        <f t="shared" ca="1" si="29"/>
        <v>365</v>
      </c>
    </row>
    <row r="113" spans="1:20" x14ac:dyDescent="0.35">
      <c r="A113" s="285">
        <f t="shared" si="30"/>
        <v>89</v>
      </c>
      <c r="B113" s="286">
        <f t="shared" ca="1" si="40"/>
        <v>47195</v>
      </c>
      <c r="C113" s="286">
        <f t="shared" ca="1" si="33"/>
        <v>47195</v>
      </c>
      <c r="D113" s="285">
        <f t="shared" ca="1" si="35"/>
        <v>28</v>
      </c>
      <c r="E113" s="280">
        <f t="shared" ca="1" si="31"/>
        <v>1733756.3351377761</v>
      </c>
      <c r="F113" s="280">
        <f ca="1">IF(AND(A112="",A114=""),"",IF(A113="",SUM($F$25:F112),IF(A113=$D$8,$E$24-SUM($F$25:F112),$F$13-G113)))</f>
        <v>6068.7949312502642</v>
      </c>
      <c r="G113" s="280">
        <f ca="1">IF(A112=$D$8,SUM($G$25:G112),IF(A112&gt;$D$8,"",E112*D113*$F$18/T112))</f>
        <v>17163.732406445339</v>
      </c>
      <c r="H113" s="280">
        <f ca="1">IF(A112=$D$8,SUM($H$25:H112),IF(A112="","",(G113+F113)))</f>
        <v>23232.527337695603</v>
      </c>
      <c r="I113" s="280" t="str">
        <f t="shared" si="36"/>
        <v/>
      </c>
      <c r="J113" s="280" t="str">
        <f t="shared" si="37"/>
        <v/>
      </c>
      <c r="K113" s="280"/>
      <c r="L113" s="280" t="str">
        <f t="shared" si="38"/>
        <v/>
      </c>
      <c r="M113" s="280" t="str">
        <f t="shared" si="39"/>
        <v/>
      </c>
      <c r="N113" s="283" t="str">
        <f t="shared" si="34"/>
        <v/>
      </c>
      <c r="O113" s="280"/>
      <c r="P113" s="289" t="str">
        <f>IF(A112=$D$8,XIRR(R$24:R112,C$24:C112),"")</f>
        <v/>
      </c>
      <c r="Q113" s="280" t="str">
        <f t="shared" si="32"/>
        <v/>
      </c>
      <c r="R113" s="283">
        <f t="shared" ca="1" si="27"/>
        <v>23232.527337695603</v>
      </c>
      <c r="S113" s="284">
        <f t="shared" ca="1" si="28"/>
        <v>2029</v>
      </c>
      <c r="T113" s="284">
        <f t="shared" ca="1" si="29"/>
        <v>365</v>
      </c>
    </row>
    <row r="114" spans="1:20" x14ac:dyDescent="0.35">
      <c r="A114" s="285">
        <f t="shared" si="30"/>
        <v>90</v>
      </c>
      <c r="B114" s="286">
        <f t="shared" ca="1" si="40"/>
        <v>47226</v>
      </c>
      <c r="C114" s="286">
        <f t="shared" ca="1" si="33"/>
        <v>47226</v>
      </c>
      <c r="D114" s="285">
        <f t="shared" ca="1" si="35"/>
        <v>31</v>
      </c>
      <c r="E114" s="280">
        <f t="shared" ca="1" si="31"/>
        <v>1729460.2269936702</v>
      </c>
      <c r="F114" s="280">
        <f ca="1">IF(AND(A113="",A115=""),"",IF(A114="",SUM($F$25:F113),IF(A114=$D$8,$E$24-SUM($F$25:F113),$F$13-G114)))</f>
        <v>4296.1081441058559</v>
      </c>
      <c r="G114" s="280">
        <f ca="1">IF(A113=$D$8,SUM($G$25:G113),IF(A113&gt;$D$8,"",E113*D114*$F$18/T113))</f>
        <v>18936.419193589747</v>
      </c>
      <c r="H114" s="280">
        <f ca="1">IF(A113=$D$8,SUM($H$25:H113),IF(A113="","",(G114+F114)))</f>
        <v>23232.527337695603</v>
      </c>
      <c r="I114" s="280" t="str">
        <f t="shared" si="36"/>
        <v/>
      </c>
      <c r="J114" s="280" t="str">
        <f t="shared" si="37"/>
        <v/>
      </c>
      <c r="K114" s="280"/>
      <c r="L114" s="280" t="str">
        <f t="shared" si="38"/>
        <v/>
      </c>
      <c r="M114" s="280" t="str">
        <f t="shared" si="39"/>
        <v/>
      </c>
      <c r="N114" s="283" t="str">
        <f t="shared" si="34"/>
        <v/>
      </c>
      <c r="O114" s="280"/>
      <c r="P114" s="289" t="str">
        <f>IF(A113=$D$8,XIRR(R$24:R113,C$24:C113),"")</f>
        <v/>
      </c>
      <c r="Q114" s="280" t="str">
        <f t="shared" si="32"/>
        <v/>
      </c>
      <c r="R114" s="283">
        <f t="shared" ca="1" si="27"/>
        <v>23232.527337695603</v>
      </c>
      <c r="S114" s="284">
        <f t="shared" ca="1" si="28"/>
        <v>2029</v>
      </c>
      <c r="T114" s="284">
        <f t="shared" ca="1" si="29"/>
        <v>365</v>
      </c>
    </row>
    <row r="115" spans="1:20" x14ac:dyDescent="0.35">
      <c r="A115" s="285">
        <f t="shared" si="30"/>
        <v>91</v>
      </c>
      <c r="B115" s="286">
        <f t="shared" ca="1" si="40"/>
        <v>47256</v>
      </c>
      <c r="C115" s="286">
        <f t="shared" ca="1" si="33"/>
        <v>47256</v>
      </c>
      <c r="D115" s="285">
        <f t="shared" ca="1" si="35"/>
        <v>30</v>
      </c>
      <c r="E115" s="280">
        <f t="shared" ca="1" si="31"/>
        <v>1724507.857342938</v>
      </c>
      <c r="F115" s="280">
        <f ca="1">IF(AND(A114="",A116=""),"",IF(A115="",SUM($F$25:F114),IF(A115=$D$8,$E$24-SUM($F$25:F114),$F$13-G115)))</f>
        <v>4952.369650732373</v>
      </c>
      <c r="G115" s="280">
        <f ca="1">IF(A114=$D$8,SUM($G$25:G114),IF(A114&gt;$D$8,"",E114*D115*$F$18/T114))</f>
        <v>18280.15768696323</v>
      </c>
      <c r="H115" s="280">
        <f ca="1">IF(A114=$D$8,SUM($H$25:H114),IF(A114="","",(G115+F115)))</f>
        <v>23232.527337695603</v>
      </c>
      <c r="I115" s="280" t="str">
        <f t="shared" si="36"/>
        <v/>
      </c>
      <c r="J115" s="280" t="str">
        <f t="shared" si="37"/>
        <v/>
      </c>
      <c r="K115" s="280"/>
      <c r="L115" s="280" t="str">
        <f t="shared" si="38"/>
        <v/>
      </c>
      <c r="M115" s="280" t="str">
        <f t="shared" si="39"/>
        <v/>
      </c>
      <c r="N115" s="283" t="str">
        <f t="shared" si="34"/>
        <v/>
      </c>
      <c r="O115" s="280"/>
      <c r="P115" s="289" t="str">
        <f>IF(A114=$D$8,XIRR(R$24:R114,C$24:C114),"")</f>
        <v/>
      </c>
      <c r="Q115" s="280" t="str">
        <f t="shared" si="32"/>
        <v/>
      </c>
      <c r="R115" s="283">
        <f t="shared" ca="1" si="27"/>
        <v>23232.527337695603</v>
      </c>
      <c r="S115" s="284">
        <f t="shared" ca="1" si="28"/>
        <v>2029</v>
      </c>
      <c r="T115" s="284">
        <f t="shared" ca="1" si="29"/>
        <v>365</v>
      </c>
    </row>
    <row r="116" spans="1:20" x14ac:dyDescent="0.35">
      <c r="A116" s="285">
        <f t="shared" si="30"/>
        <v>92</v>
      </c>
      <c r="B116" s="286">
        <f t="shared" ca="1" si="40"/>
        <v>47287</v>
      </c>
      <c r="C116" s="286">
        <f t="shared" ca="1" si="33"/>
        <v>47287</v>
      </c>
      <c r="D116" s="285">
        <f t="shared" ca="1" si="35"/>
        <v>31</v>
      </c>
      <c r="E116" s="280">
        <f t="shared" ca="1" si="31"/>
        <v>1720110.7355506762</v>
      </c>
      <c r="F116" s="280">
        <f ca="1">IF(AND(A115="",A117=""),"",IF(A116="",SUM($F$25:F115),IF(A116=$D$8,$E$24-SUM($F$25:F115),$F$13-G116)))</f>
        <v>4397.1217922617507</v>
      </c>
      <c r="G116" s="280">
        <f ca="1">IF(A115=$D$8,SUM($G$25:G115),IF(A115&gt;$D$8,"",E115*D116*$F$18/T115))</f>
        <v>18835.405545433852</v>
      </c>
      <c r="H116" s="280">
        <f ca="1">IF(A115=$D$8,SUM($H$25:H115),IF(A115="","",(G116+F116)))</f>
        <v>23232.527337695603</v>
      </c>
      <c r="I116" s="280" t="str">
        <f t="shared" si="36"/>
        <v/>
      </c>
      <c r="J116" s="280" t="str">
        <f t="shared" si="37"/>
        <v/>
      </c>
      <c r="K116" s="280"/>
      <c r="L116" s="280" t="str">
        <f t="shared" si="38"/>
        <v/>
      </c>
      <c r="M116" s="280" t="str">
        <f t="shared" si="39"/>
        <v/>
      </c>
      <c r="N116" s="283" t="str">
        <f t="shared" si="34"/>
        <v/>
      </c>
      <c r="O116" s="280"/>
      <c r="P116" s="289" t="str">
        <f>IF(A115=$D$8,XIRR(R$24:R115,C$24:C115),"")</f>
        <v/>
      </c>
      <c r="Q116" s="280" t="str">
        <f t="shared" si="32"/>
        <v/>
      </c>
      <c r="R116" s="283">
        <f t="shared" ca="1" si="27"/>
        <v>23232.527337695603</v>
      </c>
      <c r="S116" s="284">
        <f t="shared" ca="1" si="28"/>
        <v>2029</v>
      </c>
      <c r="T116" s="284">
        <f t="shared" ca="1" si="29"/>
        <v>365</v>
      </c>
    </row>
    <row r="117" spans="1:20" x14ac:dyDescent="0.35">
      <c r="A117" s="285">
        <f t="shared" si="30"/>
        <v>93</v>
      </c>
      <c r="B117" s="286">
        <f t="shared" ca="1" si="40"/>
        <v>47317</v>
      </c>
      <c r="C117" s="286">
        <f t="shared" ca="1" si="33"/>
        <v>47317</v>
      </c>
      <c r="D117" s="285">
        <f t="shared" ca="1" si="35"/>
        <v>30</v>
      </c>
      <c r="E117" s="280">
        <f t="shared" ca="1" si="31"/>
        <v>1715059.5430561437</v>
      </c>
      <c r="F117" s="280">
        <f ca="1">IF(AND(A116="",A118=""),"",IF(A117="",SUM($F$25:F116),IF(A117=$D$8,$E$24-SUM($F$25:F116),$F$13-G117)))</f>
        <v>5051.1924945325663</v>
      </c>
      <c r="G117" s="280">
        <f ca="1">IF(A116=$D$8,SUM($G$25:G116),IF(A116&gt;$D$8,"",E116*D117*$F$18/T116))</f>
        <v>18181.334843163037</v>
      </c>
      <c r="H117" s="280">
        <f ca="1">IF(A116=$D$8,SUM($H$25:H116),IF(A116="","",(G117+F117)))</f>
        <v>23232.527337695603</v>
      </c>
      <c r="I117" s="280" t="str">
        <f t="shared" si="36"/>
        <v/>
      </c>
      <c r="J117" s="280" t="str">
        <f t="shared" si="37"/>
        <v/>
      </c>
      <c r="K117" s="280"/>
      <c r="L117" s="280" t="str">
        <f t="shared" si="38"/>
        <v/>
      </c>
      <c r="M117" s="280" t="str">
        <f t="shared" si="39"/>
        <v/>
      </c>
      <c r="N117" s="283" t="str">
        <f t="shared" si="34"/>
        <v/>
      </c>
      <c r="O117" s="280"/>
      <c r="P117" s="289" t="str">
        <f>IF(A116=$D$8,XIRR(R$24:R116,C$24:C116),"")</f>
        <v/>
      </c>
      <c r="Q117" s="280" t="str">
        <f t="shared" si="32"/>
        <v/>
      </c>
      <c r="R117" s="283">
        <f t="shared" ca="1" si="27"/>
        <v>23232.527337695603</v>
      </c>
      <c r="S117" s="284">
        <f t="shared" ca="1" si="28"/>
        <v>2029</v>
      </c>
      <c r="T117" s="284">
        <f t="shared" ca="1" si="29"/>
        <v>365</v>
      </c>
    </row>
    <row r="118" spans="1:20" x14ac:dyDescent="0.35">
      <c r="A118" s="285">
        <f t="shared" si="30"/>
        <v>94</v>
      </c>
      <c r="B118" s="286">
        <f t="shared" ca="1" si="40"/>
        <v>47348</v>
      </c>
      <c r="C118" s="286">
        <f t="shared" ca="1" si="33"/>
        <v>47348</v>
      </c>
      <c r="D118" s="285">
        <f t="shared" ca="1" si="35"/>
        <v>31</v>
      </c>
      <c r="E118" s="280">
        <f t="shared" ca="1" si="31"/>
        <v>1710559.2249632361</v>
      </c>
      <c r="F118" s="280">
        <f ca="1">IF(AND(A117="",A119=""),"",IF(A118="",SUM($F$25:F117),IF(A118=$D$8,$E$24-SUM($F$25:F117),$F$13-G118)))</f>
        <v>4500.318092907597</v>
      </c>
      <c r="G118" s="280">
        <f ca="1">IF(A117=$D$8,SUM($G$25:G117),IF(A117&gt;$D$8,"",E117*D118*$F$18/T117))</f>
        <v>18732.209244788006</v>
      </c>
      <c r="H118" s="280">
        <f ca="1">IF(A117=$D$8,SUM($H$25:H117),IF(A117="","",(G118+F118)))</f>
        <v>23232.527337695603</v>
      </c>
      <c r="I118" s="280" t="str">
        <f t="shared" si="36"/>
        <v/>
      </c>
      <c r="J118" s="280" t="str">
        <f t="shared" si="37"/>
        <v/>
      </c>
      <c r="K118" s="280"/>
      <c r="L118" s="280" t="str">
        <f t="shared" si="38"/>
        <v/>
      </c>
      <c r="M118" s="280" t="str">
        <f t="shared" si="39"/>
        <v/>
      </c>
      <c r="N118" s="283" t="str">
        <f t="shared" si="34"/>
        <v/>
      </c>
      <c r="O118" s="280"/>
      <c r="P118" s="289" t="str">
        <f>IF(A117=$D$8,XIRR(R$24:R117,C$24:C117),"")</f>
        <v/>
      </c>
      <c r="Q118" s="280" t="str">
        <f t="shared" si="32"/>
        <v/>
      </c>
      <c r="R118" s="283">
        <f t="shared" ca="1" si="27"/>
        <v>23232.527337695603</v>
      </c>
      <c r="S118" s="284">
        <f t="shared" ca="1" si="28"/>
        <v>2029</v>
      </c>
      <c r="T118" s="284">
        <f t="shared" ca="1" si="29"/>
        <v>365</v>
      </c>
    </row>
    <row r="119" spans="1:20" x14ac:dyDescent="0.35">
      <c r="A119" s="285">
        <f t="shared" si="30"/>
        <v>95</v>
      </c>
      <c r="B119" s="286">
        <f t="shared" ca="1" si="40"/>
        <v>47379</v>
      </c>
      <c r="C119" s="286">
        <f t="shared" ca="1" si="33"/>
        <v>47379</v>
      </c>
      <c r="D119" s="285">
        <f t="shared" ca="1" si="35"/>
        <v>31</v>
      </c>
      <c r="E119" s="280">
        <f t="shared" ca="1" si="31"/>
        <v>1706009.7535330432</v>
      </c>
      <c r="F119" s="280">
        <f ca="1">IF(AND(A118="",A120=""),"",IF(A119="",SUM($F$25:F118),IF(A119=$D$8,$E$24-SUM($F$25:F118),$F$13-G119)))</f>
        <v>4549.4714301930326</v>
      </c>
      <c r="G119" s="280">
        <f ca="1">IF(A118=$D$8,SUM($G$25:G118),IF(A118&gt;$D$8,"",E118*D119*$F$18/T118))</f>
        <v>18683.05590750257</v>
      </c>
      <c r="H119" s="280">
        <f ca="1">IF(A118=$D$8,SUM($H$25:H118),IF(A118="","",(G119+F119)))</f>
        <v>23232.527337695603</v>
      </c>
      <c r="I119" s="280" t="str">
        <f t="shared" si="36"/>
        <v/>
      </c>
      <c r="J119" s="280" t="str">
        <f t="shared" si="37"/>
        <v/>
      </c>
      <c r="K119" s="280"/>
      <c r="L119" s="280" t="str">
        <f t="shared" si="38"/>
        <v/>
      </c>
      <c r="M119" s="280" t="str">
        <f t="shared" si="39"/>
        <v/>
      </c>
      <c r="N119" s="283" t="str">
        <f t="shared" si="34"/>
        <v/>
      </c>
      <c r="O119" s="280"/>
      <c r="P119" s="289" t="str">
        <f>IF(A118=$D$8,XIRR(R$24:R118,C$24:C118),"")</f>
        <v/>
      </c>
      <c r="Q119" s="280" t="str">
        <f t="shared" si="32"/>
        <v/>
      </c>
      <c r="R119" s="283">
        <f t="shared" ca="1" si="27"/>
        <v>23232.527337695603</v>
      </c>
      <c r="S119" s="284">
        <f t="shared" ca="1" si="28"/>
        <v>2029</v>
      </c>
      <c r="T119" s="284">
        <f t="shared" ca="1" si="29"/>
        <v>365</v>
      </c>
    </row>
    <row r="120" spans="1:20" x14ac:dyDescent="0.35">
      <c r="A120" s="285">
        <f t="shared" si="30"/>
        <v>96</v>
      </c>
      <c r="B120" s="286">
        <f t="shared" ca="1" si="40"/>
        <v>47409</v>
      </c>
      <c r="C120" s="286">
        <f t="shared" ca="1" si="33"/>
        <v>47409</v>
      </c>
      <c r="D120" s="285">
        <f t="shared" ca="1" si="35"/>
        <v>30</v>
      </c>
      <c r="E120" s="280">
        <f t="shared" ca="1" si="31"/>
        <v>1700809.5155902256</v>
      </c>
      <c r="F120" s="280">
        <f ca="1">IF(AND(A119="",A121=""),"",IF(A120="",SUM($F$25:F119),IF(A120=$D$8,$E$24-SUM($F$25:F119),$F$13-G120)))</f>
        <v>5200.2379428175773</v>
      </c>
      <c r="G120" s="280">
        <f ca="1">IF(A119=$D$8,SUM($G$25:G119),IF(A119&gt;$D$8,"",E119*D120*$F$18/T119))</f>
        <v>18032.289394878026</v>
      </c>
      <c r="H120" s="280">
        <f ca="1">IF(A119=$D$8,SUM($H$25:H119),IF(A119="","",(G120+F120)))</f>
        <v>23232.527337695603</v>
      </c>
      <c r="I120" s="280" t="str">
        <f t="shared" si="36"/>
        <v/>
      </c>
      <c r="J120" s="280" t="str">
        <f t="shared" si="37"/>
        <v/>
      </c>
      <c r="K120" s="280"/>
      <c r="L120" s="280" t="str">
        <f t="shared" si="38"/>
        <v/>
      </c>
      <c r="M120" s="280" t="str">
        <f t="shared" si="39"/>
        <v/>
      </c>
      <c r="N120" s="283" t="str">
        <f t="shared" si="34"/>
        <v/>
      </c>
      <c r="O120" s="280"/>
      <c r="P120" s="289" t="str">
        <f>IF(A119=$D$8,XIRR(R$24:R119,C$24:C119),"")</f>
        <v/>
      </c>
      <c r="Q120" s="280" t="str">
        <f t="shared" si="32"/>
        <v/>
      </c>
      <c r="R120" s="283">
        <f t="shared" ca="1" si="27"/>
        <v>23232.527337695603</v>
      </c>
      <c r="S120" s="284">
        <f t="shared" ca="1" si="28"/>
        <v>2029</v>
      </c>
      <c r="T120" s="284">
        <f t="shared" ca="1" si="29"/>
        <v>365</v>
      </c>
    </row>
    <row r="121" spans="1:20" x14ac:dyDescent="0.35">
      <c r="A121" s="285">
        <f t="shared" si="30"/>
        <v>97</v>
      </c>
      <c r="B121" s="286">
        <f t="shared" ca="1" si="40"/>
        <v>47440</v>
      </c>
      <c r="C121" s="286">
        <f t="shared" ca="1" si="33"/>
        <v>47440</v>
      </c>
      <c r="D121" s="285">
        <f t="shared" ca="1" si="35"/>
        <v>31</v>
      </c>
      <c r="E121" s="280">
        <f t="shared" ca="1" si="31"/>
        <v>1696153.5559644531</v>
      </c>
      <c r="F121" s="280">
        <f ca="1">IF(AND(A120="",A122=""),"",IF(A121="",SUM($F$25:F120),IF(A121=$D$8,$E$24-SUM($F$25:F120),$F$13-G121)))</f>
        <v>4655.9596257723351</v>
      </c>
      <c r="G121" s="280">
        <f ca="1">IF(A120=$D$8,SUM($G$25:G120),IF(A120&gt;$D$8,"",E120*D121*$F$18/T120))</f>
        <v>18576.567711923268</v>
      </c>
      <c r="H121" s="280">
        <f ca="1">IF(A120=$D$8,SUM($H$25:H120),IF(A120="","",(G121+F121)))</f>
        <v>23232.527337695603</v>
      </c>
      <c r="I121" s="280" t="str">
        <f t="shared" si="36"/>
        <v/>
      </c>
      <c r="J121" s="280" t="str">
        <f t="shared" si="37"/>
        <v/>
      </c>
      <c r="K121" s="280">
        <f>IF($F$8&gt;96,($O$8+$O$10),IF($A$120=$F$8,$K$24*$G$8,""))</f>
        <v>7500</v>
      </c>
      <c r="L121" s="280" t="str">
        <f t="shared" si="38"/>
        <v/>
      </c>
      <c r="M121" s="280" t="str">
        <f t="shared" si="39"/>
        <v/>
      </c>
      <c r="N121" s="280">
        <f>IF($F$8&gt;96,($N$14),IF(A120=$F$8,N109+N97+N85+N73+N61+N49+N37+N24,""))</f>
        <v>0</v>
      </c>
      <c r="O121" s="280"/>
      <c r="P121" s="289" t="str">
        <f>IF(A120=$D$8,XIRR(R$24:R120,C$24:C120),"")</f>
        <v/>
      </c>
      <c r="Q121" s="280" t="str">
        <f t="shared" si="32"/>
        <v/>
      </c>
      <c r="R121" s="283">
        <f t="shared" ca="1" si="27"/>
        <v>30732.527337695603</v>
      </c>
      <c r="S121" s="284">
        <f t="shared" ca="1" si="28"/>
        <v>2029</v>
      </c>
      <c r="T121" s="284">
        <f t="shared" ca="1" si="29"/>
        <v>365</v>
      </c>
    </row>
    <row r="122" spans="1:20" x14ac:dyDescent="0.35">
      <c r="A122" s="285">
        <f t="shared" si="30"/>
        <v>98</v>
      </c>
      <c r="B122" s="286">
        <f t="shared" ca="1" si="40"/>
        <v>47470</v>
      </c>
      <c r="C122" s="286">
        <f t="shared" ca="1" si="33"/>
        <v>47470</v>
      </c>
      <c r="D122" s="285">
        <f t="shared" ca="1" si="35"/>
        <v>30</v>
      </c>
      <c r="E122" s="280">
        <f t="shared" ca="1" si="31"/>
        <v>1690849.1393634996</v>
      </c>
      <c r="F122" s="280">
        <f ca="1">IF(AND(A121="",A123=""),"",IF(A122="",SUM($F$25:F121),IF(A122=$D$8,$E$24-SUM($F$25:F121),$F$13-G122)))</f>
        <v>5304.416600953522</v>
      </c>
      <c r="G122" s="280">
        <f ca="1">IF(A121=$D$8,SUM($G$25:G121),IF(A121&gt;$D$8,"",E121*D122*$F$18/T121))</f>
        <v>17928.110736742081</v>
      </c>
      <c r="H122" s="280">
        <f ca="1">IF(A121=$D$8,SUM($H$25:H121),IF(A121="","",(G122+F122)))</f>
        <v>23232.527337695603</v>
      </c>
      <c r="I122" s="280" t="str">
        <f t="shared" si="36"/>
        <v/>
      </c>
      <c r="J122" s="280" t="str">
        <f t="shared" si="37"/>
        <v/>
      </c>
      <c r="K122" s="280"/>
      <c r="L122" s="280" t="str">
        <f t="shared" si="38"/>
        <v/>
      </c>
      <c r="M122" s="280" t="str">
        <f t="shared" si="39"/>
        <v/>
      </c>
      <c r="N122" s="283" t="str">
        <f t="shared" si="34"/>
        <v/>
      </c>
      <c r="O122" s="280"/>
      <c r="P122" s="289" t="str">
        <f>IF(A121=$D$8,XIRR(R$24:R121,C$24:C121),"")</f>
        <v/>
      </c>
      <c r="Q122" s="280" t="str">
        <f t="shared" si="32"/>
        <v/>
      </c>
      <c r="R122" s="283">
        <f t="shared" ca="1" si="27"/>
        <v>23232.527337695603</v>
      </c>
      <c r="S122" s="284">
        <f t="shared" ca="1" si="28"/>
        <v>2029</v>
      </c>
      <c r="T122" s="284">
        <f t="shared" ca="1" si="29"/>
        <v>365</v>
      </c>
    </row>
    <row r="123" spans="1:20" x14ac:dyDescent="0.35">
      <c r="A123" s="285">
        <f t="shared" si="30"/>
        <v>99</v>
      </c>
      <c r="B123" s="286">
        <f t="shared" ca="1" si="40"/>
        <v>47501</v>
      </c>
      <c r="C123" s="286">
        <f t="shared" ca="1" si="33"/>
        <v>47501</v>
      </c>
      <c r="D123" s="285">
        <f t="shared" ca="1" si="35"/>
        <v>31</v>
      </c>
      <c r="E123" s="280">
        <f t="shared" ca="1" si="31"/>
        <v>1686084.3905983698</v>
      </c>
      <c r="F123" s="280">
        <f ca="1">IF(AND(A122="",A124=""),"",IF(A123="",SUM($F$25:F122),IF(A123=$D$8,$E$24-SUM($F$25:F122),$F$13-G123)))</f>
        <v>4764.7487651297743</v>
      </c>
      <c r="G123" s="280">
        <f ca="1">IF(A122=$D$8,SUM($G$25:G122),IF(A122&gt;$D$8,"",E122*D123*$F$18/T122))</f>
        <v>18467.778572565829</v>
      </c>
      <c r="H123" s="280">
        <f ca="1">IF(A122=$D$8,SUM($H$25:H122),IF(A122="","",(G123+F123)))</f>
        <v>23232.527337695603</v>
      </c>
      <c r="I123" s="280" t="str">
        <f t="shared" si="36"/>
        <v/>
      </c>
      <c r="J123" s="280" t="str">
        <f t="shared" si="37"/>
        <v/>
      </c>
      <c r="K123" s="280"/>
      <c r="L123" s="280" t="str">
        <f t="shared" si="38"/>
        <v/>
      </c>
      <c r="M123" s="280" t="str">
        <f t="shared" si="39"/>
        <v/>
      </c>
      <c r="N123" s="283" t="str">
        <f t="shared" si="34"/>
        <v/>
      </c>
      <c r="O123" s="280"/>
      <c r="P123" s="289" t="str">
        <f>IF(A122=$D$8,XIRR(R$24:R122,C$24:C122),"")</f>
        <v/>
      </c>
      <c r="Q123" s="280" t="str">
        <f t="shared" si="32"/>
        <v/>
      </c>
      <c r="R123" s="283">
        <f t="shared" ca="1" si="27"/>
        <v>23232.527337695603</v>
      </c>
      <c r="S123" s="284">
        <f t="shared" ca="1" si="28"/>
        <v>2030</v>
      </c>
      <c r="T123" s="284">
        <f t="shared" ca="1" si="29"/>
        <v>365</v>
      </c>
    </row>
    <row r="124" spans="1:20" x14ac:dyDescent="0.35">
      <c r="A124" s="285">
        <f t="shared" si="30"/>
        <v>100</v>
      </c>
      <c r="B124" s="286">
        <f t="shared" ca="1" si="40"/>
        <v>47532</v>
      </c>
      <c r="C124" s="286">
        <f t="shared" ca="1" si="33"/>
        <v>47532</v>
      </c>
      <c r="D124" s="285">
        <f t="shared" ca="1" si="35"/>
        <v>31</v>
      </c>
      <c r="E124" s="280">
        <f t="shared" ca="1" si="31"/>
        <v>1681267.6003334399</v>
      </c>
      <c r="F124" s="280">
        <f ca="1">IF(AND(A123="",A125=""),"",IF(A124="",SUM($F$25:F123),IF(A124=$D$8,$E$24-SUM($F$25:F123),$F$13-G124)))</f>
        <v>4816.7902649299576</v>
      </c>
      <c r="G124" s="280">
        <f ca="1">IF(A123=$D$8,SUM($G$25:G123),IF(A123&gt;$D$8,"",E123*D124*$F$18/T123))</f>
        <v>18415.737072765645</v>
      </c>
      <c r="H124" s="280">
        <f ca="1">IF(A123=$D$8,SUM($H$25:H123),IF(A123="","",(G124+F124)))</f>
        <v>23232.527337695603</v>
      </c>
      <c r="I124" s="280" t="str">
        <f t="shared" si="36"/>
        <v/>
      </c>
      <c r="J124" s="280" t="str">
        <f t="shared" si="37"/>
        <v/>
      </c>
      <c r="K124" s="280"/>
      <c r="L124" s="280" t="str">
        <f t="shared" si="38"/>
        <v/>
      </c>
      <c r="M124" s="280" t="str">
        <f t="shared" si="39"/>
        <v/>
      </c>
      <c r="N124" s="283" t="str">
        <f t="shared" si="34"/>
        <v/>
      </c>
      <c r="O124" s="280"/>
      <c r="P124" s="289" t="str">
        <f>IF(A123=$D$8,XIRR(R$24:R123,C$24:C123),"")</f>
        <v/>
      </c>
      <c r="Q124" s="280" t="str">
        <f t="shared" si="32"/>
        <v/>
      </c>
      <c r="R124" s="283">
        <f t="shared" ca="1" si="27"/>
        <v>23232.527337695603</v>
      </c>
      <c r="S124" s="284">
        <f t="shared" ca="1" si="28"/>
        <v>2030</v>
      </c>
      <c r="T124" s="284">
        <f t="shared" ca="1" si="29"/>
        <v>365</v>
      </c>
    </row>
    <row r="125" spans="1:20" x14ac:dyDescent="0.35">
      <c r="A125" s="285">
        <f t="shared" si="30"/>
        <v>101</v>
      </c>
      <c r="B125" s="286">
        <f t="shared" ca="1" si="40"/>
        <v>47560</v>
      </c>
      <c r="C125" s="286">
        <f t="shared" ca="1" si="33"/>
        <v>47560</v>
      </c>
      <c r="D125" s="285">
        <f t="shared" ca="1" si="35"/>
        <v>28</v>
      </c>
      <c r="E125" s="280">
        <f t="shared" ca="1" si="31"/>
        <v>1674621.123338979</v>
      </c>
      <c r="F125" s="280">
        <f ca="1">IF(AND(A124="",A126=""),"",IF(A125="",SUM($F$25:F124),IF(A125=$D$8,$E$24-SUM($F$25:F124),$F$13-G125)))</f>
        <v>6646.4769944609434</v>
      </c>
      <c r="G125" s="280">
        <f ca="1">IF(A124=$D$8,SUM($G$25:G124),IF(A124&gt;$D$8,"",E124*D125*$F$18/T124))</f>
        <v>16586.05034323466</v>
      </c>
      <c r="H125" s="280">
        <f ca="1">IF(A124=$D$8,SUM($H$25:H124),IF(A124="","",(G125+F125)))</f>
        <v>23232.527337695603</v>
      </c>
      <c r="I125" s="280" t="str">
        <f t="shared" si="36"/>
        <v/>
      </c>
      <c r="J125" s="280" t="str">
        <f t="shared" si="37"/>
        <v/>
      </c>
      <c r="K125" s="280"/>
      <c r="L125" s="280" t="str">
        <f t="shared" si="38"/>
        <v/>
      </c>
      <c r="M125" s="280" t="str">
        <f t="shared" si="39"/>
        <v/>
      </c>
      <c r="N125" s="283" t="str">
        <f t="shared" si="34"/>
        <v/>
      </c>
      <c r="O125" s="280"/>
      <c r="P125" s="289" t="str">
        <f>IF(A124=$D$8,XIRR(R$24:R124,C$24:C124),"")</f>
        <v/>
      </c>
      <c r="Q125" s="280" t="str">
        <f t="shared" si="32"/>
        <v/>
      </c>
      <c r="R125" s="283">
        <f t="shared" ca="1" si="27"/>
        <v>23232.527337695603</v>
      </c>
      <c r="S125" s="284">
        <f t="shared" ca="1" si="28"/>
        <v>2030</v>
      </c>
      <c r="T125" s="284">
        <f t="shared" ca="1" si="29"/>
        <v>365</v>
      </c>
    </row>
    <row r="126" spans="1:20" x14ac:dyDescent="0.35">
      <c r="A126" s="285">
        <f t="shared" si="30"/>
        <v>102</v>
      </c>
      <c r="B126" s="286">
        <f t="shared" ca="1" si="40"/>
        <v>47591</v>
      </c>
      <c r="C126" s="286">
        <f t="shared" ca="1" si="33"/>
        <v>47591</v>
      </c>
      <c r="D126" s="285">
        <f t="shared" ca="1" si="35"/>
        <v>31</v>
      </c>
      <c r="E126" s="280">
        <f t="shared" ca="1" si="31"/>
        <v>1669679.129070607</v>
      </c>
      <c r="F126" s="280">
        <f ca="1">IF(AND(A125="",A127=""),"",IF(A126="",SUM($F$25:F125),IF(A126=$D$8,$E$24-SUM($F$25:F125),$F$13-G126)))</f>
        <v>4941.99426837184</v>
      </c>
      <c r="G126" s="280">
        <f ca="1">IF(A125=$D$8,SUM($G$25:G125),IF(A125&gt;$D$8,"",E125*D126*$F$18/T125))</f>
        <v>18290.533069323763</v>
      </c>
      <c r="H126" s="280">
        <f ca="1">IF(A125=$D$8,SUM($H$25:H125),IF(A125="","",(G126+F126)))</f>
        <v>23232.527337695603</v>
      </c>
      <c r="I126" s="280" t="str">
        <f t="shared" si="36"/>
        <v/>
      </c>
      <c r="J126" s="280" t="str">
        <f t="shared" si="37"/>
        <v/>
      </c>
      <c r="K126" s="280"/>
      <c r="L126" s="280" t="str">
        <f t="shared" si="38"/>
        <v/>
      </c>
      <c r="M126" s="280" t="str">
        <f t="shared" si="39"/>
        <v/>
      </c>
      <c r="N126" s="283" t="str">
        <f t="shared" si="34"/>
        <v/>
      </c>
      <c r="O126" s="280"/>
      <c r="P126" s="289" t="str">
        <f>IF(A125=$D$8,XIRR(R$24:R125,C$24:C125),"")</f>
        <v/>
      </c>
      <c r="Q126" s="280" t="str">
        <f t="shared" si="32"/>
        <v/>
      </c>
      <c r="R126" s="283">
        <f t="shared" ca="1" si="27"/>
        <v>23232.527337695603</v>
      </c>
      <c r="S126" s="284">
        <f t="shared" ca="1" si="28"/>
        <v>2030</v>
      </c>
      <c r="T126" s="284">
        <f t="shared" ca="1" si="29"/>
        <v>365</v>
      </c>
    </row>
    <row r="127" spans="1:20" x14ac:dyDescent="0.35">
      <c r="A127" s="285">
        <f t="shared" si="30"/>
        <v>103</v>
      </c>
      <c r="B127" s="286">
        <f t="shared" ca="1" si="40"/>
        <v>47621</v>
      </c>
      <c r="C127" s="286">
        <f t="shared" ca="1" si="33"/>
        <v>47621</v>
      </c>
      <c r="D127" s="285">
        <f t="shared" ca="1" si="35"/>
        <v>30</v>
      </c>
      <c r="E127" s="280">
        <f t="shared" ca="1" si="31"/>
        <v>1664094.8814040194</v>
      </c>
      <c r="F127" s="280">
        <f ca="1">IF(AND(A126="",A128=""),"",IF(A127="",SUM($F$25:F126),IF(A127=$D$8,$E$24-SUM($F$25:F126),$F$13-G127)))</f>
        <v>5584.2476665876529</v>
      </c>
      <c r="G127" s="280">
        <f ca="1">IF(A126=$D$8,SUM($G$25:G126),IF(A126&gt;$D$8,"",E126*D127*$F$18/T126))</f>
        <v>17648.27967110795</v>
      </c>
      <c r="H127" s="280">
        <f ca="1">IF(A126=$D$8,SUM($H$25:H126),IF(A126="","",(G127+F127)))</f>
        <v>23232.527337695603</v>
      </c>
      <c r="I127" s="280" t="str">
        <f t="shared" si="36"/>
        <v/>
      </c>
      <c r="J127" s="280" t="str">
        <f t="shared" si="37"/>
        <v/>
      </c>
      <c r="K127" s="280"/>
      <c r="L127" s="280" t="str">
        <f t="shared" si="38"/>
        <v/>
      </c>
      <c r="M127" s="280" t="str">
        <f t="shared" si="39"/>
        <v/>
      </c>
      <c r="N127" s="283" t="str">
        <f t="shared" si="34"/>
        <v/>
      </c>
      <c r="O127" s="280"/>
      <c r="P127" s="289" t="str">
        <f>IF(A126=$D$8,XIRR(R$24:R126,C$24:C126),"")</f>
        <v/>
      </c>
      <c r="Q127" s="280" t="str">
        <f t="shared" si="32"/>
        <v/>
      </c>
      <c r="R127" s="283">
        <f t="shared" ca="1" si="27"/>
        <v>23232.527337695603</v>
      </c>
      <c r="S127" s="284">
        <f t="shared" ca="1" si="28"/>
        <v>2030</v>
      </c>
      <c r="T127" s="284">
        <f t="shared" ca="1" si="29"/>
        <v>365</v>
      </c>
    </row>
    <row r="128" spans="1:20" x14ac:dyDescent="0.35">
      <c r="A128" s="285">
        <f t="shared" si="30"/>
        <v>104</v>
      </c>
      <c r="B128" s="286">
        <f t="shared" ca="1" si="40"/>
        <v>47652</v>
      </c>
      <c r="C128" s="286">
        <f t="shared" ca="1" si="33"/>
        <v>47652</v>
      </c>
      <c r="D128" s="285">
        <f t="shared" ca="1" si="35"/>
        <v>31</v>
      </c>
      <c r="E128" s="280">
        <f t="shared" ca="1" si="31"/>
        <v>1659037.9175025027</v>
      </c>
      <c r="F128" s="280">
        <f ca="1">IF(AND(A127="",A129=""),"",IF(A128="",SUM($F$25:F127),IF(A128=$D$8,$E$24-SUM($F$25:F127),$F$13-G128)))</f>
        <v>5056.9639015167995</v>
      </c>
      <c r="G128" s="280">
        <f ca="1">IF(A127=$D$8,SUM($G$25:G127),IF(A127&gt;$D$8,"",E127*D128*$F$18/T127))</f>
        <v>18175.563436178803</v>
      </c>
      <c r="H128" s="280">
        <f ca="1">IF(A127=$D$8,SUM($H$25:H127),IF(A127="","",(G128+F128)))</f>
        <v>23232.527337695603</v>
      </c>
      <c r="I128" s="280" t="str">
        <f t="shared" si="36"/>
        <v/>
      </c>
      <c r="J128" s="280" t="str">
        <f t="shared" si="37"/>
        <v/>
      </c>
      <c r="K128" s="280"/>
      <c r="L128" s="280" t="str">
        <f t="shared" si="38"/>
        <v/>
      </c>
      <c r="M128" s="280" t="str">
        <f t="shared" si="39"/>
        <v/>
      </c>
      <c r="N128" s="283" t="str">
        <f t="shared" si="34"/>
        <v/>
      </c>
      <c r="O128" s="280"/>
      <c r="P128" s="289" t="str">
        <f>IF(A127=$D$8,XIRR(R$24:R127,C$24:C127),"")</f>
        <v/>
      </c>
      <c r="Q128" s="280" t="str">
        <f t="shared" si="32"/>
        <v/>
      </c>
      <c r="R128" s="283">
        <f t="shared" ca="1" si="27"/>
        <v>23232.527337695603</v>
      </c>
      <c r="S128" s="284">
        <f t="shared" ca="1" si="28"/>
        <v>2030</v>
      </c>
      <c r="T128" s="284">
        <f t="shared" ca="1" si="29"/>
        <v>365</v>
      </c>
    </row>
    <row r="129" spans="1:20" x14ac:dyDescent="0.35">
      <c r="A129" s="285">
        <f t="shared" si="30"/>
        <v>105</v>
      </c>
      <c r="B129" s="286">
        <f t="shared" ca="1" si="40"/>
        <v>47682</v>
      </c>
      <c r="C129" s="286">
        <f t="shared" ca="1" si="33"/>
        <v>47682</v>
      </c>
      <c r="D129" s="285">
        <f t="shared" ca="1" si="35"/>
        <v>30</v>
      </c>
      <c r="E129" s="280">
        <f t="shared" ca="1" si="31"/>
        <v>1653341.1936873405</v>
      </c>
      <c r="F129" s="280">
        <f ca="1">IF(AND(A128="",A130=""),"",IF(A129="",SUM($F$25:F128),IF(A129=$D$8,$E$24-SUM($F$25:F128),$F$13-G129)))</f>
        <v>5696.7238151623023</v>
      </c>
      <c r="G129" s="280">
        <f ca="1">IF(A128=$D$8,SUM($G$25:G128),IF(A128&gt;$D$8,"",E128*D129*$F$18/T128))</f>
        <v>17535.803522533301</v>
      </c>
      <c r="H129" s="280">
        <f ca="1">IF(A128=$D$8,SUM($H$25:H128),IF(A128="","",(G129+F129)))</f>
        <v>23232.527337695603</v>
      </c>
      <c r="I129" s="280" t="str">
        <f t="shared" si="36"/>
        <v/>
      </c>
      <c r="J129" s="280" t="str">
        <f t="shared" si="37"/>
        <v/>
      </c>
      <c r="K129" s="280"/>
      <c r="L129" s="280" t="str">
        <f t="shared" si="38"/>
        <v/>
      </c>
      <c r="M129" s="280" t="str">
        <f t="shared" si="39"/>
        <v/>
      </c>
      <c r="N129" s="283" t="str">
        <f t="shared" si="34"/>
        <v/>
      </c>
      <c r="O129" s="280"/>
      <c r="P129" s="289" t="str">
        <f>IF(A128=$D$8,XIRR(R$24:R128,C$24:C128),"")</f>
        <v/>
      </c>
      <c r="Q129" s="280" t="str">
        <f t="shared" si="32"/>
        <v/>
      </c>
      <c r="R129" s="283">
        <f t="shared" ca="1" si="27"/>
        <v>23232.527337695603</v>
      </c>
      <c r="S129" s="284">
        <f t="shared" ca="1" si="28"/>
        <v>2030</v>
      </c>
      <c r="T129" s="284">
        <f t="shared" ca="1" si="29"/>
        <v>365</v>
      </c>
    </row>
    <row r="130" spans="1:20" x14ac:dyDescent="0.35">
      <c r="A130" s="285">
        <f t="shared" si="30"/>
        <v>106</v>
      </c>
      <c r="B130" s="286">
        <f t="shared" ca="1" si="40"/>
        <v>47713</v>
      </c>
      <c r="C130" s="286">
        <f t="shared" ca="1" si="33"/>
        <v>47713</v>
      </c>
      <c r="D130" s="285">
        <f t="shared" ca="1" si="35"/>
        <v>31</v>
      </c>
      <c r="E130" s="280">
        <f t="shared" ca="1" si="31"/>
        <v>1648166.7759462311</v>
      </c>
      <c r="F130" s="280">
        <f ca="1">IF(AND(A129="",A131=""),"",IF(A130="",SUM($F$25:F129),IF(A130=$D$8,$E$24-SUM($F$25:F129),$F$13-G130)))</f>
        <v>5174.4177411094352</v>
      </c>
      <c r="G130" s="280">
        <f ca="1">IF(A129=$D$8,SUM($G$25:G129),IF(A129&gt;$D$8,"",E129*D130*$F$18/T129))</f>
        <v>18058.109596586168</v>
      </c>
      <c r="H130" s="280">
        <f ca="1">IF(A129=$D$8,SUM($H$25:H129),IF(A129="","",(G130+F130)))</f>
        <v>23232.527337695603</v>
      </c>
      <c r="I130" s="280" t="str">
        <f t="shared" si="36"/>
        <v/>
      </c>
      <c r="J130" s="280" t="str">
        <f t="shared" si="37"/>
        <v/>
      </c>
      <c r="K130" s="280"/>
      <c r="L130" s="280" t="str">
        <f t="shared" si="38"/>
        <v/>
      </c>
      <c r="M130" s="280" t="str">
        <f t="shared" si="39"/>
        <v/>
      </c>
      <c r="N130" s="283" t="str">
        <f t="shared" si="34"/>
        <v/>
      </c>
      <c r="O130" s="280"/>
      <c r="P130" s="289" t="str">
        <f>IF(A129=$D$8,XIRR(R$24:R129,C$24:C129),"")</f>
        <v/>
      </c>
      <c r="Q130" s="280" t="str">
        <f t="shared" si="32"/>
        <v/>
      </c>
      <c r="R130" s="283">
        <f t="shared" ca="1" si="27"/>
        <v>23232.527337695603</v>
      </c>
      <c r="S130" s="284">
        <f t="shared" ca="1" si="28"/>
        <v>2030</v>
      </c>
      <c r="T130" s="284">
        <f t="shared" ca="1" si="29"/>
        <v>365</v>
      </c>
    </row>
    <row r="131" spans="1:20" x14ac:dyDescent="0.35">
      <c r="A131" s="285">
        <f t="shared" si="30"/>
        <v>107</v>
      </c>
      <c r="B131" s="286">
        <f t="shared" ca="1" si="40"/>
        <v>47744</v>
      </c>
      <c r="C131" s="286">
        <f t="shared" ca="1" si="33"/>
        <v>47744</v>
      </c>
      <c r="D131" s="285">
        <f t="shared" ca="1" si="35"/>
        <v>31</v>
      </c>
      <c r="E131" s="280">
        <f t="shared" ca="1" si="31"/>
        <v>1642935.8422221991</v>
      </c>
      <c r="F131" s="280">
        <f ca="1">IF(AND(A130="",A132=""),"",IF(A131="",SUM($F$25:F130),IF(A131=$D$8,$E$24-SUM($F$25:F130),$F$13-G131)))</f>
        <v>5230.9337240319182</v>
      </c>
      <c r="G131" s="280">
        <f ca="1">IF(A130=$D$8,SUM($G$25:G130),IF(A130&gt;$D$8,"",E130*D131*$F$18/T130))</f>
        <v>18001.593613663685</v>
      </c>
      <c r="H131" s="280">
        <f ca="1">IF(A130=$D$8,SUM($H$25:H130),IF(A130="","",(G131+F131)))</f>
        <v>23232.527337695603</v>
      </c>
      <c r="I131" s="280" t="str">
        <f t="shared" si="36"/>
        <v/>
      </c>
      <c r="J131" s="280" t="str">
        <f t="shared" si="37"/>
        <v/>
      </c>
      <c r="K131" s="280"/>
      <c r="L131" s="280" t="str">
        <f t="shared" si="38"/>
        <v/>
      </c>
      <c r="M131" s="280" t="str">
        <f t="shared" si="39"/>
        <v/>
      </c>
      <c r="N131" s="283" t="str">
        <f t="shared" si="34"/>
        <v/>
      </c>
      <c r="O131" s="280"/>
      <c r="P131" s="289" t="str">
        <f>IF(A130=$D$8,XIRR(R$24:R130,C$24:C130),"")</f>
        <v/>
      </c>
      <c r="Q131" s="280" t="str">
        <f t="shared" si="32"/>
        <v/>
      </c>
      <c r="R131" s="283">
        <f t="shared" ca="1" si="27"/>
        <v>23232.527337695603</v>
      </c>
      <c r="S131" s="284">
        <f t="shared" ca="1" si="28"/>
        <v>2030</v>
      </c>
      <c r="T131" s="284">
        <f t="shared" ca="1" si="29"/>
        <v>365</v>
      </c>
    </row>
    <row r="132" spans="1:20" x14ac:dyDescent="0.35">
      <c r="A132" s="285">
        <f t="shared" si="30"/>
        <v>108</v>
      </c>
      <c r="B132" s="286">
        <f t="shared" ca="1" si="40"/>
        <v>47774</v>
      </c>
      <c r="C132" s="286">
        <f t="shared" ca="1" si="33"/>
        <v>47774</v>
      </c>
      <c r="D132" s="285">
        <f t="shared" ca="1" si="35"/>
        <v>30</v>
      </c>
      <c r="E132" s="280">
        <f t="shared" ca="1" si="31"/>
        <v>1637068.9216770877</v>
      </c>
      <c r="F132" s="280">
        <f ca="1">IF(AND(A131="",A133=""),"",IF(A132="",SUM($F$25:F131),IF(A132=$D$8,$E$24-SUM($F$25:F131),$F$13-G132)))</f>
        <v>5866.9205451113739</v>
      </c>
      <c r="G132" s="280">
        <f ca="1">IF(A131=$D$8,SUM($G$25:G131),IF(A131&gt;$D$8,"",E131*D132*$F$18/T131))</f>
        <v>17365.606792584229</v>
      </c>
      <c r="H132" s="280">
        <f ca="1">IF(A131=$D$8,SUM($H$25:H131),IF(A131="","",(G132+F132)))</f>
        <v>23232.527337695603</v>
      </c>
      <c r="I132" s="280" t="str">
        <f t="shared" si="36"/>
        <v/>
      </c>
      <c r="J132" s="280" t="str">
        <f t="shared" si="37"/>
        <v/>
      </c>
      <c r="K132" s="280"/>
      <c r="L132" s="280" t="str">
        <f t="shared" si="38"/>
        <v/>
      </c>
      <c r="M132" s="280" t="str">
        <f t="shared" si="39"/>
        <v/>
      </c>
      <c r="N132" s="283" t="str">
        <f t="shared" si="34"/>
        <v/>
      </c>
      <c r="O132" s="280"/>
      <c r="P132" s="289" t="str">
        <f>IF(A131=$D$8,XIRR(R$24:R131,C$24:C131),"")</f>
        <v/>
      </c>
      <c r="Q132" s="280" t="str">
        <f t="shared" si="32"/>
        <v/>
      </c>
      <c r="R132" s="283">
        <f t="shared" ca="1" si="27"/>
        <v>23232.527337695603</v>
      </c>
      <c r="S132" s="284">
        <f t="shared" ca="1" si="28"/>
        <v>2030</v>
      </c>
      <c r="T132" s="284">
        <f t="shared" ca="1" si="29"/>
        <v>365</v>
      </c>
    </row>
    <row r="133" spans="1:20" x14ac:dyDescent="0.35">
      <c r="A133" s="285">
        <f t="shared" si="30"/>
        <v>109</v>
      </c>
      <c r="B133" s="286">
        <f t="shared" ca="1" si="40"/>
        <v>47805</v>
      </c>
      <c r="C133" s="286">
        <f t="shared" ca="1" si="33"/>
        <v>47805</v>
      </c>
      <c r="D133" s="285">
        <f t="shared" ca="1" si="35"/>
        <v>31</v>
      </c>
      <c r="E133" s="280">
        <f t="shared" ca="1" si="31"/>
        <v>1631716.7750603727</v>
      </c>
      <c r="F133" s="280">
        <f ca="1">IF(AND(A132="",A134=""),"",IF(A133="",SUM($F$25:F132),IF(A133=$D$8,$E$24-SUM($F$25:F132),$F$13-G133)))</f>
        <v>5352.1466167151157</v>
      </c>
      <c r="G133" s="280">
        <f ca="1">IF(A132=$D$8,SUM($G$25:G132),IF(A132&gt;$D$8,"",E132*D133*$F$18/T132))</f>
        <v>17880.380720980487</v>
      </c>
      <c r="H133" s="280">
        <f ca="1">IF(A132=$D$8,SUM($H$25:H132),IF(A132="","",(G133+F133)))</f>
        <v>23232.527337695603</v>
      </c>
      <c r="I133" s="280" t="str">
        <f t="shared" si="36"/>
        <v/>
      </c>
      <c r="J133" s="280" t="str">
        <f t="shared" si="37"/>
        <v/>
      </c>
      <c r="K133" s="280">
        <f>IF($F$8&gt;108,($O$8+$O$10),IF($A$132=$F$8,$K$24*$G$8,""))</f>
        <v>7500</v>
      </c>
      <c r="L133" s="280" t="str">
        <f t="shared" si="38"/>
        <v/>
      </c>
      <c r="M133" s="280" t="str">
        <f t="shared" si="39"/>
        <v/>
      </c>
      <c r="N133" s="280">
        <f>IF($F$8&gt;108,($N$14),IF(A132=$F$8,N121+N109+N97+N85+N73+N61+N49+N37+N24,""))</f>
        <v>0</v>
      </c>
      <c r="O133" s="280"/>
      <c r="P133" s="289" t="str">
        <f>IF(A132=$D$8,XIRR(R$24:R132,C$24:C132),"")</f>
        <v/>
      </c>
      <c r="Q133" s="280" t="str">
        <f t="shared" si="32"/>
        <v/>
      </c>
      <c r="R133" s="283">
        <f t="shared" ca="1" si="27"/>
        <v>30732.527337695603</v>
      </c>
      <c r="S133" s="284">
        <f t="shared" ca="1" si="28"/>
        <v>2030</v>
      </c>
      <c r="T133" s="284">
        <f t="shared" ca="1" si="29"/>
        <v>365</v>
      </c>
    </row>
    <row r="134" spans="1:20" x14ac:dyDescent="0.35">
      <c r="A134" s="285">
        <f t="shared" si="30"/>
        <v>110</v>
      </c>
      <c r="B134" s="286">
        <f t="shared" ca="1" si="40"/>
        <v>47835</v>
      </c>
      <c r="C134" s="286">
        <f t="shared" ca="1" si="33"/>
        <v>47835</v>
      </c>
      <c r="D134" s="285">
        <f t="shared" ca="1" si="35"/>
        <v>30</v>
      </c>
      <c r="E134" s="280">
        <f t="shared" ca="1" si="31"/>
        <v>1625731.2705122193</v>
      </c>
      <c r="F134" s="280">
        <f ca="1">IF(AND(A133="",A135=""),"",IF(A134="",SUM($F$25:F133),IF(A134=$D$8,$E$24-SUM($F$25:F133),$F$13-G134)))</f>
        <v>5985.5045481533634</v>
      </c>
      <c r="G134" s="280">
        <f ca="1">IF(A133=$D$8,SUM($G$25:G133),IF(A133&gt;$D$8,"",E133*D134*$F$18/T133))</f>
        <v>17247.022789542239</v>
      </c>
      <c r="H134" s="280">
        <f ca="1">IF(A133=$D$8,SUM($H$25:H133),IF(A133="","",(G134+F134)))</f>
        <v>23232.527337695603</v>
      </c>
      <c r="I134" s="280" t="str">
        <f t="shared" si="36"/>
        <v/>
      </c>
      <c r="J134" s="280" t="str">
        <f t="shared" si="37"/>
        <v/>
      </c>
      <c r="K134" s="280"/>
      <c r="L134" s="280" t="str">
        <f t="shared" si="38"/>
        <v/>
      </c>
      <c r="M134" s="280" t="str">
        <f t="shared" si="39"/>
        <v/>
      </c>
      <c r="N134" s="283" t="str">
        <f t="shared" si="34"/>
        <v/>
      </c>
      <c r="O134" s="280"/>
      <c r="P134" s="289" t="str">
        <f>IF(A133=$D$8,XIRR(R$24:R133,C$24:C133),"")</f>
        <v/>
      </c>
      <c r="Q134" s="280" t="str">
        <f t="shared" si="32"/>
        <v/>
      </c>
      <c r="R134" s="283">
        <f t="shared" ca="1" si="27"/>
        <v>23232.527337695603</v>
      </c>
      <c r="S134" s="284">
        <f t="shared" ca="1" si="28"/>
        <v>2030</v>
      </c>
      <c r="T134" s="284">
        <f t="shared" ca="1" si="29"/>
        <v>365</v>
      </c>
    </row>
    <row r="135" spans="1:20" x14ac:dyDescent="0.35">
      <c r="A135" s="285">
        <f t="shared" si="30"/>
        <v>111</v>
      </c>
      <c r="B135" s="286">
        <f t="shared" ca="1" si="40"/>
        <v>47866</v>
      </c>
      <c r="C135" s="286">
        <f t="shared" ca="1" si="33"/>
        <v>47866</v>
      </c>
      <c r="D135" s="285">
        <f t="shared" ca="1" si="35"/>
        <v>31</v>
      </c>
      <c r="E135" s="280">
        <f t="shared" ca="1" si="31"/>
        <v>1620255.2918951374</v>
      </c>
      <c r="F135" s="280">
        <f ca="1">IF(AND(A134="",A136=""),"",IF(A135="",SUM($F$25:F134),IF(A135=$D$8,$E$24-SUM($F$25:F134),$F$13-G135)))</f>
        <v>5475.9786170818697</v>
      </c>
      <c r="G135" s="280">
        <f ca="1">IF(A134=$D$8,SUM($G$25:G134),IF(A134&gt;$D$8,"",E134*D135*$F$18/T134))</f>
        <v>17756.548720613733</v>
      </c>
      <c r="H135" s="280">
        <f ca="1">IF(A134=$D$8,SUM($H$25:H134),IF(A134="","",(G135+F135)))</f>
        <v>23232.527337695603</v>
      </c>
      <c r="I135" s="280" t="str">
        <f t="shared" si="36"/>
        <v/>
      </c>
      <c r="J135" s="280" t="str">
        <f t="shared" si="37"/>
        <v/>
      </c>
      <c r="K135" s="280"/>
      <c r="L135" s="280" t="str">
        <f t="shared" si="38"/>
        <v/>
      </c>
      <c r="M135" s="280" t="str">
        <f t="shared" si="39"/>
        <v/>
      </c>
      <c r="N135" s="283" t="str">
        <f t="shared" si="34"/>
        <v/>
      </c>
      <c r="O135" s="280"/>
      <c r="P135" s="289" t="str">
        <f>IF(A134=$D$8,XIRR(R$24:R134,C$24:C134),"")</f>
        <v/>
      </c>
      <c r="Q135" s="280" t="str">
        <f t="shared" si="32"/>
        <v/>
      </c>
      <c r="R135" s="283">
        <f t="shared" ca="1" si="27"/>
        <v>23232.527337695603</v>
      </c>
      <c r="S135" s="284">
        <f t="shared" ca="1" si="28"/>
        <v>2031</v>
      </c>
      <c r="T135" s="284">
        <f t="shared" ca="1" si="29"/>
        <v>365</v>
      </c>
    </row>
    <row r="136" spans="1:20" x14ac:dyDescent="0.35">
      <c r="A136" s="285">
        <f t="shared" si="30"/>
        <v>112</v>
      </c>
      <c r="B136" s="286">
        <f t="shared" ca="1" si="40"/>
        <v>47897</v>
      </c>
      <c r="C136" s="286">
        <f t="shared" ca="1" si="33"/>
        <v>47897</v>
      </c>
      <c r="D136" s="285">
        <f t="shared" ca="1" si="35"/>
        <v>31</v>
      </c>
      <c r="E136" s="280">
        <f t="shared" ca="1" si="31"/>
        <v>1614719.5035894122</v>
      </c>
      <c r="F136" s="280">
        <f ca="1">IF(AND(A135="",A137=""),"",IF(A136="",SUM($F$25:F135),IF(A136=$D$8,$E$24-SUM($F$25:F135),$F$13-G136)))</f>
        <v>5535.7883057253166</v>
      </c>
      <c r="G136" s="280">
        <f ca="1">IF(A135=$D$8,SUM($G$25:G135),IF(A135&gt;$D$8,"",E135*D136*$F$18/T135))</f>
        <v>17696.739031970286</v>
      </c>
      <c r="H136" s="280">
        <f ca="1">IF(A135=$D$8,SUM($H$25:H135),IF(A135="","",(G136+F136)))</f>
        <v>23232.527337695603</v>
      </c>
      <c r="I136" s="280" t="str">
        <f t="shared" si="36"/>
        <v/>
      </c>
      <c r="J136" s="280" t="str">
        <f t="shared" si="37"/>
        <v/>
      </c>
      <c r="K136" s="280"/>
      <c r="L136" s="280" t="str">
        <f t="shared" si="38"/>
        <v/>
      </c>
      <c r="M136" s="280" t="str">
        <f t="shared" si="39"/>
        <v/>
      </c>
      <c r="N136" s="283" t="str">
        <f t="shared" si="34"/>
        <v/>
      </c>
      <c r="O136" s="280"/>
      <c r="P136" s="289" t="str">
        <f>IF(A135=$D$8,XIRR(R$24:R135,C$24:C135),"")</f>
        <v/>
      </c>
      <c r="Q136" s="280" t="str">
        <f t="shared" si="32"/>
        <v/>
      </c>
      <c r="R136" s="283">
        <f t="shared" ca="1" si="27"/>
        <v>23232.527337695603</v>
      </c>
      <c r="S136" s="284">
        <f t="shared" ca="1" si="28"/>
        <v>2031</v>
      </c>
      <c r="T136" s="284">
        <f t="shared" ca="1" si="29"/>
        <v>365</v>
      </c>
    </row>
    <row r="137" spans="1:20" x14ac:dyDescent="0.35">
      <c r="A137" s="285">
        <f t="shared" si="30"/>
        <v>113</v>
      </c>
      <c r="B137" s="286">
        <f t="shared" ca="1" si="40"/>
        <v>47925</v>
      </c>
      <c r="C137" s="286">
        <f t="shared" ca="1" si="33"/>
        <v>47925</v>
      </c>
      <c r="D137" s="285">
        <f t="shared" ca="1" si="35"/>
        <v>28</v>
      </c>
      <c r="E137" s="280">
        <f t="shared" ca="1" si="31"/>
        <v>1607416.5159463049</v>
      </c>
      <c r="F137" s="280">
        <f ca="1">IF(AND(A136="",A138=""),"",IF(A137="",SUM($F$25:F136),IF(A137=$D$8,$E$24-SUM($F$25:F136),$F$13-G137)))</f>
        <v>7302.9876431072316</v>
      </c>
      <c r="G137" s="280">
        <f ca="1">IF(A136=$D$8,SUM($G$25:G136),IF(A136&gt;$D$8,"",E136*D137*$F$18/T136))</f>
        <v>15929.539694588371</v>
      </c>
      <c r="H137" s="280">
        <f ca="1">IF(A136=$D$8,SUM($H$25:H136),IF(A136="","",(G137+F137)))</f>
        <v>23232.527337695603</v>
      </c>
      <c r="I137" s="280" t="str">
        <f t="shared" si="36"/>
        <v/>
      </c>
      <c r="J137" s="280" t="str">
        <f t="shared" si="37"/>
        <v/>
      </c>
      <c r="K137" s="280"/>
      <c r="L137" s="280" t="str">
        <f t="shared" si="38"/>
        <v/>
      </c>
      <c r="M137" s="280" t="str">
        <f t="shared" si="39"/>
        <v/>
      </c>
      <c r="N137" s="283" t="str">
        <f t="shared" si="34"/>
        <v/>
      </c>
      <c r="O137" s="280"/>
      <c r="P137" s="289" t="str">
        <f>IF(A136=$D$8,XIRR(R$24:R136,C$24:C136),"")</f>
        <v/>
      </c>
      <c r="Q137" s="280" t="str">
        <f t="shared" si="32"/>
        <v/>
      </c>
      <c r="R137" s="283">
        <f t="shared" ca="1" si="27"/>
        <v>23232.527337695603</v>
      </c>
      <c r="S137" s="284">
        <f t="shared" ca="1" si="28"/>
        <v>2031</v>
      </c>
      <c r="T137" s="284">
        <f t="shared" ca="1" si="29"/>
        <v>365</v>
      </c>
    </row>
    <row r="138" spans="1:20" x14ac:dyDescent="0.35">
      <c r="A138" s="285">
        <f t="shared" si="30"/>
        <v>114</v>
      </c>
      <c r="B138" s="286">
        <f t="shared" ca="1" si="40"/>
        <v>47956</v>
      </c>
      <c r="C138" s="286">
        <f t="shared" ca="1" si="33"/>
        <v>47956</v>
      </c>
      <c r="D138" s="285">
        <f t="shared" ca="1" si="35"/>
        <v>31</v>
      </c>
      <c r="E138" s="280">
        <f t="shared" ca="1" si="31"/>
        <v>1601740.5000674354</v>
      </c>
      <c r="F138" s="280">
        <f ca="1">IF(AND(A137="",A139=""),"",IF(A138="",SUM($F$25:F137),IF(A138=$D$8,$E$24-SUM($F$25:F137),$F$13-G138)))</f>
        <v>5676.015878869468</v>
      </c>
      <c r="G138" s="280">
        <f ca="1">IF(A137=$D$8,SUM($G$25:G137),IF(A137&gt;$D$8,"",E137*D138*$F$18/T137))</f>
        <v>17556.511458826135</v>
      </c>
      <c r="H138" s="280">
        <f ca="1">IF(A137=$D$8,SUM($H$25:H137),IF(A137="","",(G138+F138)))</f>
        <v>23232.527337695603</v>
      </c>
      <c r="I138" s="280" t="str">
        <f t="shared" si="36"/>
        <v/>
      </c>
      <c r="J138" s="280" t="str">
        <f t="shared" si="37"/>
        <v/>
      </c>
      <c r="K138" s="280"/>
      <c r="L138" s="280" t="str">
        <f t="shared" si="38"/>
        <v/>
      </c>
      <c r="M138" s="280" t="str">
        <f t="shared" si="39"/>
        <v/>
      </c>
      <c r="N138" s="283" t="str">
        <f t="shared" si="34"/>
        <v/>
      </c>
      <c r="O138" s="280"/>
      <c r="P138" s="289" t="str">
        <f>IF(A137=$D$8,XIRR(R$24:R137,C$24:C137),"")</f>
        <v/>
      </c>
      <c r="Q138" s="280" t="str">
        <f t="shared" si="32"/>
        <v/>
      </c>
      <c r="R138" s="283">
        <f t="shared" ca="1" si="27"/>
        <v>23232.527337695603</v>
      </c>
      <c r="S138" s="284">
        <f t="shared" ca="1" si="28"/>
        <v>2031</v>
      </c>
      <c r="T138" s="284">
        <f t="shared" ca="1" si="29"/>
        <v>365</v>
      </c>
    </row>
    <row r="139" spans="1:20" x14ac:dyDescent="0.35">
      <c r="A139" s="285">
        <f t="shared" si="30"/>
        <v>115</v>
      </c>
      <c r="B139" s="286">
        <f t="shared" ca="1" si="40"/>
        <v>47986</v>
      </c>
      <c r="C139" s="286">
        <f t="shared" ca="1" si="33"/>
        <v>47986</v>
      </c>
      <c r="D139" s="285">
        <f t="shared" ca="1" si="35"/>
        <v>30</v>
      </c>
      <c r="E139" s="280">
        <f t="shared" ca="1" si="31"/>
        <v>1595438.1503989457</v>
      </c>
      <c r="F139" s="280">
        <f ca="1">IF(AND(A138="",A140=""),"",IF(A139="",SUM($F$25:F138),IF(A139=$D$8,$E$24-SUM($F$25:F138),$F$13-G139)))</f>
        <v>6302.3496684896709</v>
      </c>
      <c r="G139" s="280">
        <f ca="1">IF(A138=$D$8,SUM($G$25:G138),IF(A138&gt;$D$8,"",E138*D139*$F$18/T138))</f>
        <v>16930.177669205932</v>
      </c>
      <c r="H139" s="280">
        <f ca="1">IF(A138=$D$8,SUM($H$25:H138),IF(A138="","",(G139+F139)))</f>
        <v>23232.527337695603</v>
      </c>
      <c r="I139" s="280" t="str">
        <f t="shared" si="36"/>
        <v/>
      </c>
      <c r="J139" s="280" t="str">
        <f t="shared" si="37"/>
        <v/>
      </c>
      <c r="K139" s="280"/>
      <c r="L139" s="280" t="str">
        <f t="shared" si="38"/>
        <v/>
      </c>
      <c r="M139" s="280" t="str">
        <f t="shared" si="39"/>
        <v/>
      </c>
      <c r="N139" s="283" t="str">
        <f t="shared" si="34"/>
        <v/>
      </c>
      <c r="O139" s="280"/>
      <c r="P139" s="289" t="str">
        <f>IF(A138=$D$8,XIRR(R$24:R138,C$24:C138),"")</f>
        <v/>
      </c>
      <c r="Q139" s="280" t="str">
        <f t="shared" si="32"/>
        <v/>
      </c>
      <c r="R139" s="283">
        <f t="shared" ca="1" si="27"/>
        <v>23232.527337695603</v>
      </c>
      <c r="S139" s="284">
        <f t="shared" ca="1" si="28"/>
        <v>2031</v>
      </c>
      <c r="T139" s="284">
        <f t="shared" ca="1" si="29"/>
        <v>365</v>
      </c>
    </row>
    <row r="140" spans="1:20" x14ac:dyDescent="0.35">
      <c r="A140" s="285">
        <f t="shared" si="30"/>
        <v>116</v>
      </c>
      <c r="B140" s="286">
        <f t="shared" ca="1" si="40"/>
        <v>48017</v>
      </c>
      <c r="C140" s="286">
        <f t="shared" ca="1" si="33"/>
        <v>48017</v>
      </c>
      <c r="D140" s="285">
        <f t="shared" ca="1" si="35"/>
        <v>31</v>
      </c>
      <c r="E140" s="280">
        <f t="shared" ca="1" si="31"/>
        <v>1589631.3045143471</v>
      </c>
      <c r="F140" s="280">
        <f ca="1">IF(AND(A139="",A141=""),"",IF(A140="",SUM($F$25:F139),IF(A140=$D$8,$E$24-SUM($F$25:F139),$F$13-G140)))</f>
        <v>5806.8458845985151</v>
      </c>
      <c r="G140" s="280">
        <f ca="1">IF(A139=$D$8,SUM($G$25:G139),IF(A139&gt;$D$8,"",E139*D140*$F$18/T139))</f>
        <v>17425.681453097088</v>
      </c>
      <c r="H140" s="280">
        <f ca="1">IF(A139=$D$8,SUM($H$25:H139),IF(A139="","",(G140+F140)))</f>
        <v>23232.527337695603</v>
      </c>
      <c r="I140" s="280" t="str">
        <f t="shared" si="36"/>
        <v/>
      </c>
      <c r="J140" s="280" t="str">
        <f t="shared" si="37"/>
        <v/>
      </c>
      <c r="K140" s="280"/>
      <c r="L140" s="280" t="str">
        <f t="shared" si="38"/>
        <v/>
      </c>
      <c r="M140" s="280" t="str">
        <f t="shared" si="39"/>
        <v/>
      </c>
      <c r="N140" s="283" t="str">
        <f t="shared" si="34"/>
        <v/>
      </c>
      <c r="O140" s="280"/>
      <c r="P140" s="289" t="str">
        <f>IF(A139=$D$8,XIRR(R$24:R139,C$24:C139),"")</f>
        <v/>
      </c>
      <c r="Q140" s="280" t="str">
        <f t="shared" si="32"/>
        <v/>
      </c>
      <c r="R140" s="283">
        <f t="shared" ca="1" si="27"/>
        <v>23232.527337695603</v>
      </c>
      <c r="S140" s="284">
        <f t="shared" ca="1" si="28"/>
        <v>2031</v>
      </c>
      <c r="T140" s="284">
        <f t="shared" ca="1" si="29"/>
        <v>365</v>
      </c>
    </row>
    <row r="141" spans="1:20" x14ac:dyDescent="0.35">
      <c r="A141" s="285">
        <f t="shared" si="30"/>
        <v>117</v>
      </c>
      <c r="B141" s="286">
        <f t="shared" ca="1" si="40"/>
        <v>48047</v>
      </c>
      <c r="C141" s="286">
        <f t="shared" ca="1" si="33"/>
        <v>48047</v>
      </c>
      <c r="D141" s="285">
        <f t="shared" ca="1" si="35"/>
        <v>30</v>
      </c>
      <c r="E141" s="280">
        <f t="shared" ca="1" si="31"/>
        <v>1583200.9623076553</v>
      </c>
      <c r="F141" s="280">
        <f ca="1">IF(AND(A140="",A142=""),"",IF(A141="",SUM($F$25:F140),IF(A141=$D$8,$E$24-SUM($F$25:F140),$F$13-G141)))</f>
        <v>6430.3422066919047</v>
      </c>
      <c r="G141" s="280">
        <f ca="1">IF(A140=$D$8,SUM($G$25:G140),IF(A140&gt;$D$8,"",E140*D141*$F$18/T140))</f>
        <v>16802.185131003698</v>
      </c>
      <c r="H141" s="280">
        <f ca="1">IF(A140=$D$8,SUM($H$25:H140),IF(A140="","",(G141+F141)))</f>
        <v>23232.527337695603</v>
      </c>
      <c r="I141" s="280" t="str">
        <f t="shared" si="36"/>
        <v/>
      </c>
      <c r="J141" s="280" t="str">
        <f t="shared" si="37"/>
        <v/>
      </c>
      <c r="K141" s="280"/>
      <c r="L141" s="280" t="str">
        <f t="shared" si="38"/>
        <v/>
      </c>
      <c r="M141" s="280" t="str">
        <f t="shared" si="39"/>
        <v/>
      </c>
      <c r="N141" s="283" t="str">
        <f t="shared" si="34"/>
        <v/>
      </c>
      <c r="O141" s="280"/>
      <c r="P141" s="289" t="str">
        <f>IF(A140=$D$8,XIRR(R$24:R140,C$24:C140),"")</f>
        <v/>
      </c>
      <c r="Q141" s="280" t="str">
        <f t="shared" si="32"/>
        <v/>
      </c>
      <c r="R141" s="283">
        <f t="shared" ca="1" si="27"/>
        <v>23232.527337695603</v>
      </c>
      <c r="S141" s="284">
        <f t="shared" ca="1" si="28"/>
        <v>2031</v>
      </c>
      <c r="T141" s="284">
        <f t="shared" ca="1" si="29"/>
        <v>365</v>
      </c>
    </row>
    <row r="142" spans="1:20" x14ac:dyDescent="0.35">
      <c r="A142" s="285">
        <f t="shared" si="30"/>
        <v>118</v>
      </c>
      <c r="B142" s="286">
        <f t="shared" ca="1" si="40"/>
        <v>48078</v>
      </c>
      <c r="C142" s="286">
        <f t="shared" ca="1" si="33"/>
        <v>48078</v>
      </c>
      <c r="D142" s="285">
        <f t="shared" ca="1" si="35"/>
        <v>31</v>
      </c>
      <c r="E142" s="280">
        <f t="shared" ca="1" si="31"/>
        <v>1577260.4595078656</v>
      </c>
      <c r="F142" s="280">
        <f ca="1">IF(AND(A141="",A143=""),"",IF(A142="",SUM($F$25:F141),IF(A142=$D$8,$E$24-SUM($F$25:F141),$F$13-G142)))</f>
        <v>5940.5027997895813</v>
      </c>
      <c r="G142" s="280">
        <f ca="1">IF(A141=$D$8,SUM($G$25:G141),IF(A141&gt;$D$8,"",E141*D142*$F$18/T141))</f>
        <v>17292.024537906022</v>
      </c>
      <c r="H142" s="280">
        <f ca="1">IF(A141=$D$8,SUM($H$25:H141),IF(A141="","",(G142+F142)))</f>
        <v>23232.527337695603</v>
      </c>
      <c r="I142" s="280" t="str">
        <f t="shared" si="36"/>
        <v/>
      </c>
      <c r="J142" s="280" t="str">
        <f t="shared" si="37"/>
        <v/>
      </c>
      <c r="K142" s="280"/>
      <c r="L142" s="280" t="str">
        <f t="shared" si="38"/>
        <v/>
      </c>
      <c r="M142" s="280" t="str">
        <f t="shared" si="39"/>
        <v/>
      </c>
      <c r="N142" s="283" t="str">
        <f t="shared" si="34"/>
        <v/>
      </c>
      <c r="O142" s="280"/>
      <c r="P142" s="289" t="str">
        <f>IF(A141=$D$8,XIRR(R$24:R141,C$24:C141),"")</f>
        <v/>
      </c>
      <c r="Q142" s="280" t="str">
        <f t="shared" si="32"/>
        <v/>
      </c>
      <c r="R142" s="283">
        <f t="shared" ca="1" si="27"/>
        <v>23232.527337695603</v>
      </c>
      <c r="S142" s="284">
        <f t="shared" ca="1" si="28"/>
        <v>2031</v>
      </c>
      <c r="T142" s="284">
        <f t="shared" ca="1" si="29"/>
        <v>365</v>
      </c>
    </row>
    <row r="143" spans="1:20" x14ac:dyDescent="0.35">
      <c r="A143" s="285">
        <f t="shared" si="30"/>
        <v>119</v>
      </c>
      <c r="B143" s="286">
        <f t="shared" ca="1" si="40"/>
        <v>48109</v>
      </c>
      <c r="C143" s="286">
        <f t="shared" ca="1" si="33"/>
        <v>48109</v>
      </c>
      <c r="D143" s="285">
        <f t="shared" ca="1" si="35"/>
        <v>31</v>
      </c>
      <c r="E143" s="280">
        <f t="shared" ca="1" si="31"/>
        <v>1571255.0733972222</v>
      </c>
      <c r="F143" s="280">
        <f ca="1">IF(AND(A142="",A144=""),"",IF(A143="",SUM($F$25:F142),IF(A143=$D$8,$E$24-SUM($F$25:F142),$F$13-G143)))</f>
        <v>6005.3861106433942</v>
      </c>
      <c r="G143" s="280">
        <f ca="1">IF(A142=$D$8,SUM($G$25:G142),IF(A142&gt;$D$8,"",E142*D143*$F$18/T142))</f>
        <v>17227.141227052209</v>
      </c>
      <c r="H143" s="280">
        <f ca="1">IF(A142=$D$8,SUM($H$25:H142),IF(A142="","",(G143+F143)))</f>
        <v>23232.527337695603</v>
      </c>
      <c r="I143" s="280" t="str">
        <f t="shared" si="36"/>
        <v/>
      </c>
      <c r="J143" s="280" t="str">
        <f t="shared" si="37"/>
        <v/>
      </c>
      <c r="K143" s="280"/>
      <c r="L143" s="280" t="str">
        <f t="shared" si="38"/>
        <v/>
      </c>
      <c r="M143" s="280" t="str">
        <f t="shared" si="39"/>
        <v/>
      </c>
      <c r="N143" s="283" t="str">
        <f t="shared" si="34"/>
        <v/>
      </c>
      <c r="O143" s="280"/>
      <c r="P143" s="289" t="str">
        <f>IF(A142=$D$8,XIRR(R$24:R142,C$24:C142),"")</f>
        <v/>
      </c>
      <c r="Q143" s="280" t="str">
        <f t="shared" si="32"/>
        <v/>
      </c>
      <c r="R143" s="283">
        <f t="shared" ca="1" si="27"/>
        <v>23232.527337695603</v>
      </c>
      <c r="S143" s="284">
        <f t="shared" ca="1" si="28"/>
        <v>2031</v>
      </c>
      <c r="T143" s="284">
        <f t="shared" ca="1" si="29"/>
        <v>365</v>
      </c>
    </row>
    <row r="144" spans="1:20" x14ac:dyDescent="0.35">
      <c r="A144" s="285">
        <f t="shared" si="30"/>
        <v>120</v>
      </c>
      <c r="B144" s="286">
        <f t="shared" ca="1" si="40"/>
        <v>48139</v>
      </c>
      <c r="C144" s="286">
        <f t="shared" ca="1" si="33"/>
        <v>48139</v>
      </c>
      <c r="D144" s="285">
        <f t="shared" ca="1" si="35"/>
        <v>30</v>
      </c>
      <c r="E144" s="280">
        <f t="shared" ca="1" si="31"/>
        <v>1564630.4969449143</v>
      </c>
      <c r="F144" s="280">
        <f ca="1">IF(AND(A143="",A145=""),"",IF(A144="",SUM($F$25:F143),IF(A144=$D$8,$E$24-SUM($F$25:F143),$F$13-G144)))</f>
        <v>6624.5764523079779</v>
      </c>
      <c r="G144" s="280">
        <f ca="1">IF(A143=$D$8,SUM($G$25:G143),IF(A143&gt;$D$8,"",E143*D144*$F$18/T143))</f>
        <v>16607.950885387625</v>
      </c>
      <c r="H144" s="280">
        <f ca="1">IF(A143=$D$8,SUM($H$25:H143),IF(A143="","",(G144+F144)))</f>
        <v>23232.527337695603</v>
      </c>
      <c r="I144" s="280" t="str">
        <f t="shared" si="36"/>
        <v/>
      </c>
      <c r="J144" s="280" t="str">
        <f t="shared" si="37"/>
        <v/>
      </c>
      <c r="K144" s="280"/>
      <c r="L144" s="280" t="str">
        <f t="shared" si="38"/>
        <v/>
      </c>
      <c r="M144" s="280" t="str">
        <f t="shared" si="39"/>
        <v/>
      </c>
      <c r="N144" s="283" t="str">
        <f t="shared" si="34"/>
        <v/>
      </c>
      <c r="O144" s="280"/>
      <c r="P144" s="289" t="str">
        <f>IF(A143=$D$8,XIRR(R$24:R143,C$24:C143),"")</f>
        <v/>
      </c>
      <c r="Q144" s="280" t="str">
        <f t="shared" si="32"/>
        <v/>
      </c>
      <c r="R144" s="283">
        <f t="shared" ca="1" si="27"/>
        <v>23232.527337695603</v>
      </c>
      <c r="S144" s="284">
        <f t="shared" ca="1" si="28"/>
        <v>2031</v>
      </c>
      <c r="T144" s="284">
        <f t="shared" ca="1" si="29"/>
        <v>365</v>
      </c>
    </row>
    <row r="145" spans="1:20" x14ac:dyDescent="0.35">
      <c r="A145" s="285">
        <f t="shared" si="30"/>
        <v>121</v>
      </c>
      <c r="B145" s="286">
        <f t="shared" ca="1" si="40"/>
        <v>48170</v>
      </c>
      <c r="C145" s="286">
        <f t="shared" ca="1" si="33"/>
        <v>48170</v>
      </c>
      <c r="D145" s="285">
        <f t="shared" ca="1" si="35"/>
        <v>31</v>
      </c>
      <c r="E145" s="280">
        <f t="shared" ca="1" si="31"/>
        <v>1558487.1639609737</v>
      </c>
      <c r="F145" s="280">
        <f ca="1">IF(AND(A144="",A146=""),"",IF(A145="",SUM($F$25:F144),IF(A145=$D$8,$E$24-SUM($F$25:F144),$F$13-G145)))</f>
        <v>6143.3329839405487</v>
      </c>
      <c r="G145" s="280">
        <f ca="1">IF(A144=$D$8,SUM($G$25:G144),IF(A144&gt;$D$8,"",E144*D145*$F$18/T144))</f>
        <v>17089.194353755054</v>
      </c>
      <c r="H145" s="280">
        <f ca="1">IF(A144=$D$8,SUM($H$25:H144),IF(A144="","",(G145+F145)))</f>
        <v>23232.527337695603</v>
      </c>
      <c r="I145" s="280" t="str">
        <f t="shared" si="36"/>
        <v/>
      </c>
      <c r="J145" s="280" t="str">
        <f t="shared" si="37"/>
        <v/>
      </c>
      <c r="K145" s="280">
        <f>IF($F$8&gt;120,($O$8+$O$10),IF($A$144=$F$8,$K$24*$G$8,""))</f>
        <v>7500</v>
      </c>
      <c r="L145" s="280" t="str">
        <f t="shared" si="38"/>
        <v/>
      </c>
      <c r="M145" s="280" t="str">
        <f t="shared" si="39"/>
        <v/>
      </c>
      <c r="N145" s="280">
        <f>IF($F$8&gt;120,($N$14),IF(A144=$F$8,N133+N121+N109+N97+N85+N73+N61+N49+N37+N24,""))</f>
        <v>0</v>
      </c>
      <c r="O145" s="280"/>
      <c r="P145" s="289" t="str">
        <f>IF(A144=$D$8,XIRR(R$24:R144,C$24:C144),"")</f>
        <v/>
      </c>
      <c r="Q145" s="280" t="str">
        <f t="shared" si="32"/>
        <v/>
      </c>
      <c r="R145" s="283">
        <f t="shared" ca="1" si="27"/>
        <v>30732.527337695603</v>
      </c>
      <c r="S145" s="284">
        <f t="shared" ca="1" si="28"/>
        <v>2031</v>
      </c>
      <c r="T145" s="284">
        <f t="shared" ca="1" si="29"/>
        <v>365</v>
      </c>
    </row>
    <row r="146" spans="1:20" x14ac:dyDescent="0.35">
      <c r="A146" s="285">
        <f t="shared" si="30"/>
        <v>122</v>
      </c>
      <c r="B146" s="286">
        <f t="shared" ca="1" si="40"/>
        <v>48200</v>
      </c>
      <c r="C146" s="286">
        <f t="shared" ca="1" si="33"/>
        <v>48200</v>
      </c>
      <c r="D146" s="285">
        <f t="shared" ca="1" si="35"/>
        <v>30</v>
      </c>
      <c r="E146" s="280">
        <f t="shared" ca="1" si="31"/>
        <v>1551727.6324549534</v>
      </c>
      <c r="F146" s="280">
        <f ca="1">IF(AND(A145="",A147=""),"",IF(A146="",SUM($F$25:F145),IF(A146=$D$8,$E$24-SUM($F$25:F145),$F$13-G146)))</f>
        <v>6759.5315060204375</v>
      </c>
      <c r="G146" s="280">
        <f ca="1">IF(A145=$D$8,SUM($G$25:G145),IF(A145&gt;$D$8,"",E145*D146*$F$18/T145))</f>
        <v>16472.995831675165</v>
      </c>
      <c r="H146" s="280">
        <f ca="1">IF(A145=$D$8,SUM($H$25:H145),IF(A145="","",(G146+F146)))</f>
        <v>23232.527337695603</v>
      </c>
      <c r="I146" s="280" t="str">
        <f t="shared" si="36"/>
        <v/>
      </c>
      <c r="J146" s="280" t="str">
        <f t="shared" si="37"/>
        <v/>
      </c>
      <c r="K146" s="280"/>
      <c r="L146" s="280" t="str">
        <f t="shared" si="38"/>
        <v/>
      </c>
      <c r="M146" s="280" t="str">
        <f t="shared" si="39"/>
        <v/>
      </c>
      <c r="N146" s="283" t="str">
        <f t="shared" si="34"/>
        <v/>
      </c>
      <c r="O146" s="280"/>
      <c r="P146" s="289" t="str">
        <f>IF(A145=$D$8,XIRR(R$24:R145,C$24:C145),"")</f>
        <v/>
      </c>
      <c r="Q146" s="280" t="str">
        <f t="shared" si="32"/>
        <v/>
      </c>
      <c r="R146" s="283">
        <f t="shared" ca="1" si="27"/>
        <v>23232.527337695603</v>
      </c>
      <c r="S146" s="284">
        <f t="shared" ca="1" si="28"/>
        <v>2031</v>
      </c>
      <c r="T146" s="284">
        <f t="shared" ca="1" si="29"/>
        <v>365</v>
      </c>
    </row>
    <row r="147" spans="1:20" x14ac:dyDescent="0.35">
      <c r="A147" s="285">
        <f t="shared" si="30"/>
        <v>123</v>
      </c>
      <c r="B147" s="286">
        <f t="shared" ca="1" si="40"/>
        <v>48231</v>
      </c>
      <c r="C147" s="286">
        <f t="shared" ca="1" si="33"/>
        <v>48231</v>
      </c>
      <c r="D147" s="285">
        <f t="shared" ca="1" si="35"/>
        <v>31</v>
      </c>
      <c r="E147" s="280">
        <f t="shared" ca="1" si="31"/>
        <v>1545443.3719105315</v>
      </c>
      <c r="F147" s="280">
        <f ca="1">IF(AND(A146="",A148=""),"",IF(A147="",SUM($F$25:F146),IF(A147=$D$8,$E$24-SUM($F$25:F146),$F$13-G147)))</f>
        <v>6284.2605444218607</v>
      </c>
      <c r="G147" s="280">
        <f ca="1">IF(A146=$D$8,SUM($G$25:G146),IF(A146&gt;$D$8,"",E146*D147*$F$18/T146))</f>
        <v>16948.266793273742</v>
      </c>
      <c r="H147" s="280">
        <f ca="1">IF(A146=$D$8,SUM($H$25:H146),IF(A146="","",(G147+F147)))</f>
        <v>23232.527337695603</v>
      </c>
      <c r="I147" s="280" t="str">
        <f t="shared" si="36"/>
        <v/>
      </c>
      <c r="J147" s="280" t="str">
        <f t="shared" si="37"/>
        <v/>
      </c>
      <c r="K147" s="280"/>
      <c r="L147" s="280" t="str">
        <f t="shared" si="38"/>
        <v/>
      </c>
      <c r="M147" s="280" t="str">
        <f t="shared" si="39"/>
        <v/>
      </c>
      <c r="N147" s="283" t="str">
        <f t="shared" si="34"/>
        <v/>
      </c>
      <c r="O147" s="280"/>
      <c r="P147" s="289" t="str">
        <f>IF(A146=$D$8,XIRR(R$24:R146,C$24:C146),"")</f>
        <v/>
      </c>
      <c r="Q147" s="280" t="str">
        <f t="shared" si="32"/>
        <v/>
      </c>
      <c r="R147" s="283">
        <f t="shared" ca="1" si="27"/>
        <v>23232.527337695603</v>
      </c>
      <c r="S147" s="284">
        <f t="shared" ca="1" si="28"/>
        <v>2032</v>
      </c>
      <c r="T147" s="284">
        <f t="shared" ca="1" si="29"/>
        <v>366</v>
      </c>
    </row>
    <row r="148" spans="1:20" x14ac:dyDescent="0.35">
      <c r="A148" s="285">
        <f t="shared" si="30"/>
        <v>124</v>
      </c>
      <c r="B148" s="286">
        <f t="shared" ca="1" si="40"/>
        <v>48262</v>
      </c>
      <c r="C148" s="286">
        <f t="shared" ca="1" si="33"/>
        <v>48262</v>
      </c>
      <c r="D148" s="285">
        <f t="shared" ca="1" si="35"/>
        <v>31</v>
      </c>
      <c r="E148" s="280">
        <f t="shared" ca="1" si="31"/>
        <v>1539044.3542626132</v>
      </c>
      <c r="F148" s="280">
        <f ca="1">IF(AND(A147="",A149=""),"",IF(A148="",SUM($F$25:F147),IF(A148=$D$8,$E$24-SUM($F$25:F147),$F$13-G148)))</f>
        <v>6399.0176479182119</v>
      </c>
      <c r="G148" s="280">
        <f ca="1">IF(A147=$D$8,SUM($G$25:G147),IF(A147&gt;$D$8,"",E147*D148*$F$18/T147))</f>
        <v>16833.509689777391</v>
      </c>
      <c r="H148" s="280">
        <f ca="1">IF(A147=$D$8,SUM($H$25:H147),IF(A147="","",(G148+F148)))</f>
        <v>23232.527337695603</v>
      </c>
      <c r="I148" s="280" t="str">
        <f t="shared" si="36"/>
        <v/>
      </c>
      <c r="J148" s="280" t="str">
        <f t="shared" si="37"/>
        <v/>
      </c>
      <c r="K148" s="280"/>
      <c r="L148" s="280" t="str">
        <f t="shared" si="38"/>
        <v/>
      </c>
      <c r="M148" s="280" t="str">
        <f t="shared" si="39"/>
        <v/>
      </c>
      <c r="N148" s="283" t="str">
        <f t="shared" si="34"/>
        <v/>
      </c>
      <c r="O148" s="280"/>
      <c r="P148" s="289" t="str">
        <f>IF(A147=$D$8,XIRR(R$24:R147,C$24:C147),"")</f>
        <v/>
      </c>
      <c r="Q148" s="280" t="str">
        <f t="shared" si="32"/>
        <v/>
      </c>
      <c r="R148" s="283">
        <f t="shared" ca="1" si="27"/>
        <v>23232.527337695603</v>
      </c>
      <c r="S148" s="284">
        <f t="shared" ca="1" si="28"/>
        <v>2032</v>
      </c>
      <c r="T148" s="284">
        <f t="shared" ca="1" si="29"/>
        <v>366</v>
      </c>
    </row>
    <row r="149" spans="1:20" x14ac:dyDescent="0.35">
      <c r="A149" s="285">
        <f t="shared" si="30"/>
        <v>125</v>
      </c>
      <c r="B149" s="286">
        <f t="shared" ca="1" si="40"/>
        <v>48291</v>
      </c>
      <c r="C149" s="286">
        <f t="shared" ca="1" si="33"/>
        <v>48291</v>
      </c>
      <c r="D149" s="285">
        <f t="shared" ca="1" si="35"/>
        <v>29</v>
      </c>
      <c r="E149" s="280">
        <f t="shared" ca="1" si="31"/>
        <v>1531494.1001893629</v>
      </c>
      <c r="F149" s="280">
        <f ca="1">IF(AND(A148="",A150=""),"",IF(A149="",SUM($F$25:F148),IF(A149=$D$8,$E$24-SUM($F$25:F148),$F$13-G149)))</f>
        <v>7550.2540732502766</v>
      </c>
      <c r="G149" s="280">
        <f ca="1">IF(A148=$D$8,SUM($G$25:G148),IF(A148&gt;$D$8,"",E148*D149*$F$18/T148))</f>
        <v>15682.273264445326</v>
      </c>
      <c r="H149" s="280">
        <f ca="1">IF(A148=$D$8,SUM($H$25:H148),IF(A148="","",(G149+F149)))</f>
        <v>23232.527337695603</v>
      </c>
      <c r="I149" s="280" t="str">
        <f t="shared" si="36"/>
        <v/>
      </c>
      <c r="J149" s="280" t="str">
        <f t="shared" si="37"/>
        <v/>
      </c>
      <c r="K149" s="280"/>
      <c r="L149" s="280" t="str">
        <f t="shared" si="38"/>
        <v/>
      </c>
      <c r="M149" s="280" t="str">
        <f t="shared" si="39"/>
        <v/>
      </c>
      <c r="N149" s="283" t="str">
        <f t="shared" si="34"/>
        <v/>
      </c>
      <c r="O149" s="280"/>
      <c r="P149" s="289" t="str">
        <f>IF(A148=$D$8,XIRR(R$24:R148,C$24:C148),"")</f>
        <v/>
      </c>
      <c r="Q149" s="280" t="str">
        <f t="shared" si="32"/>
        <v/>
      </c>
      <c r="R149" s="283">
        <f t="shared" ca="1" si="27"/>
        <v>23232.527337695603</v>
      </c>
      <c r="S149" s="284">
        <f t="shared" ca="1" si="28"/>
        <v>2032</v>
      </c>
      <c r="T149" s="284">
        <f t="shared" ca="1" si="29"/>
        <v>366</v>
      </c>
    </row>
    <row r="150" spans="1:20" x14ac:dyDescent="0.35">
      <c r="A150" s="285">
        <f t="shared" si="30"/>
        <v>126</v>
      </c>
      <c r="B150" s="286">
        <f t="shared" ca="1" si="40"/>
        <v>48322</v>
      </c>
      <c r="C150" s="286">
        <f t="shared" ca="1" si="33"/>
        <v>48322</v>
      </c>
      <c r="D150" s="285">
        <f t="shared" ca="1" si="35"/>
        <v>31</v>
      </c>
      <c r="E150" s="280">
        <f t="shared" ca="1" si="31"/>
        <v>1524943.1421954238</v>
      </c>
      <c r="F150" s="280">
        <f ca="1">IF(AND(A149="",A151=""),"",IF(A150="",SUM($F$25:F149),IF(A150=$D$8,$E$24-SUM($F$25:F149),$F$13-G150)))</f>
        <v>6550.9579939390096</v>
      </c>
      <c r="G150" s="280">
        <f ca="1">IF(A149=$D$8,SUM($G$25:G149),IF(A149&gt;$D$8,"",E149*D150*$F$18/T149))</f>
        <v>16681.569343756593</v>
      </c>
      <c r="H150" s="280">
        <f ca="1">IF(A149=$D$8,SUM($H$25:H149),IF(A149="","",(G150+F150)))</f>
        <v>23232.527337695603</v>
      </c>
      <c r="I150" s="280" t="str">
        <f t="shared" si="36"/>
        <v/>
      </c>
      <c r="J150" s="280" t="str">
        <f t="shared" si="37"/>
        <v/>
      </c>
      <c r="K150" s="280"/>
      <c r="L150" s="280" t="str">
        <f t="shared" si="38"/>
        <v/>
      </c>
      <c r="M150" s="280" t="str">
        <f t="shared" si="39"/>
        <v/>
      </c>
      <c r="N150" s="283" t="str">
        <f t="shared" si="34"/>
        <v/>
      </c>
      <c r="O150" s="280"/>
      <c r="P150" s="289" t="str">
        <f>IF(A149=$D$8,XIRR(R$24:R149,C$24:C149),"")</f>
        <v/>
      </c>
      <c r="Q150" s="280" t="str">
        <f t="shared" si="32"/>
        <v/>
      </c>
      <c r="R150" s="283">
        <f t="shared" ca="1" si="27"/>
        <v>23232.527337695603</v>
      </c>
      <c r="S150" s="284">
        <f t="shared" ca="1" si="28"/>
        <v>2032</v>
      </c>
      <c r="T150" s="284">
        <f t="shared" ca="1" si="29"/>
        <v>366</v>
      </c>
    </row>
    <row r="151" spans="1:20" x14ac:dyDescent="0.35">
      <c r="A151" s="285">
        <f t="shared" si="30"/>
        <v>127</v>
      </c>
      <c r="B151" s="286">
        <f t="shared" ca="1" si="40"/>
        <v>48352</v>
      </c>
      <c r="C151" s="286">
        <f t="shared" ca="1" si="33"/>
        <v>48352</v>
      </c>
      <c r="D151" s="285">
        <f t="shared" ca="1" si="35"/>
        <v>30</v>
      </c>
      <c r="E151" s="280">
        <f t="shared" ca="1" si="31"/>
        <v>1517785.0155205424</v>
      </c>
      <c r="F151" s="280">
        <f ca="1">IF(AND(A150="",A152=""),"",IF(A151="",SUM($F$25:F150),IF(A151=$D$8,$E$24-SUM($F$25:F150),$F$13-G151)))</f>
        <v>7158.1266748815451</v>
      </c>
      <c r="G151" s="280">
        <f ca="1">IF(A150=$D$8,SUM($G$25:G150),IF(A150&gt;$D$8,"",E150*D151*$F$18/T150))</f>
        <v>16074.400662814058</v>
      </c>
      <c r="H151" s="280">
        <f ca="1">IF(A150=$D$8,SUM($H$25:H150),IF(A150="","",(G151+F151)))</f>
        <v>23232.527337695603</v>
      </c>
      <c r="I151" s="280" t="str">
        <f t="shared" si="36"/>
        <v/>
      </c>
      <c r="J151" s="280" t="str">
        <f t="shared" si="37"/>
        <v/>
      </c>
      <c r="K151" s="280"/>
      <c r="L151" s="280" t="str">
        <f t="shared" si="38"/>
        <v/>
      </c>
      <c r="M151" s="280" t="str">
        <f t="shared" si="39"/>
        <v/>
      </c>
      <c r="N151" s="283" t="str">
        <f t="shared" si="34"/>
        <v/>
      </c>
      <c r="O151" s="280"/>
      <c r="P151" s="289" t="str">
        <f>IF(A150=$D$8,XIRR(R$24:R150,C$24:C150),"")</f>
        <v/>
      </c>
      <c r="Q151" s="280" t="str">
        <f t="shared" si="32"/>
        <v/>
      </c>
      <c r="R151" s="283">
        <f t="shared" ca="1" si="27"/>
        <v>23232.527337695603</v>
      </c>
      <c r="S151" s="284">
        <f t="shared" ca="1" si="28"/>
        <v>2032</v>
      </c>
      <c r="T151" s="284">
        <f t="shared" ca="1" si="29"/>
        <v>366</v>
      </c>
    </row>
    <row r="152" spans="1:20" x14ac:dyDescent="0.35">
      <c r="A152" s="285">
        <f t="shared" si="30"/>
        <v>128</v>
      </c>
      <c r="B152" s="286">
        <f t="shared" ca="1" si="40"/>
        <v>48383</v>
      </c>
      <c r="C152" s="286">
        <f t="shared" ca="1" si="33"/>
        <v>48383</v>
      </c>
      <c r="D152" s="285">
        <f t="shared" ca="1" si="35"/>
        <v>31</v>
      </c>
      <c r="E152" s="280">
        <f t="shared" ca="1" si="31"/>
        <v>1511084.7333819566</v>
      </c>
      <c r="F152" s="280">
        <f ca="1">IF(AND(A151="",A153=""),"",IF(A152="",SUM($F$25:F151),IF(A152=$D$8,$E$24-SUM($F$25:F151),$F$13-G152)))</f>
        <v>6700.2821385857824</v>
      </c>
      <c r="G152" s="280">
        <f ca="1">IF(A151=$D$8,SUM($G$25:G151),IF(A151&gt;$D$8,"",E151*D152*$F$18/T151))</f>
        <v>16532.245199109821</v>
      </c>
      <c r="H152" s="280">
        <f ca="1">IF(A151=$D$8,SUM($H$25:H151),IF(A151="","",(G152+F152)))</f>
        <v>23232.527337695603</v>
      </c>
      <c r="I152" s="280" t="str">
        <f t="shared" si="36"/>
        <v/>
      </c>
      <c r="J152" s="280" t="str">
        <f t="shared" si="37"/>
        <v/>
      </c>
      <c r="K152" s="280"/>
      <c r="L152" s="280" t="str">
        <f t="shared" si="38"/>
        <v/>
      </c>
      <c r="M152" s="280" t="str">
        <f t="shared" si="39"/>
        <v/>
      </c>
      <c r="N152" s="283" t="str">
        <f t="shared" si="34"/>
        <v/>
      </c>
      <c r="O152" s="280"/>
      <c r="P152" s="289" t="str">
        <f>IF(A151=$D$8,XIRR(R$24:R151,C$24:C151),"")</f>
        <v/>
      </c>
      <c r="Q152" s="280" t="str">
        <f t="shared" si="32"/>
        <v/>
      </c>
      <c r="R152" s="283">
        <f t="shared" ca="1" si="27"/>
        <v>23232.527337695603</v>
      </c>
      <c r="S152" s="284">
        <f t="shared" ca="1" si="28"/>
        <v>2032</v>
      </c>
      <c r="T152" s="284">
        <f t="shared" ca="1" si="29"/>
        <v>366</v>
      </c>
    </row>
    <row r="153" spans="1:20" x14ac:dyDescent="0.35">
      <c r="A153" s="285">
        <f t="shared" si="30"/>
        <v>129</v>
      </c>
      <c r="B153" s="286">
        <f t="shared" ca="1" si="40"/>
        <v>48413</v>
      </c>
      <c r="C153" s="286">
        <f t="shared" ca="1" si="33"/>
        <v>48413</v>
      </c>
      <c r="D153" s="285">
        <f t="shared" ca="1" si="35"/>
        <v>30</v>
      </c>
      <c r="E153" s="280">
        <f t="shared" ca="1" si="31"/>
        <v>1503780.5254469593</v>
      </c>
      <c r="F153" s="280">
        <f ca="1">IF(AND(A152="",A154=""),"",IF(A153="",SUM($F$25:F152),IF(A153=$D$8,$E$24-SUM($F$25:F152),$F$13-G153)))</f>
        <v>7304.2079349972755</v>
      </c>
      <c r="G153" s="280">
        <f ca="1">IF(A152=$D$8,SUM($G$25:G152),IF(A152&gt;$D$8,"",E152*D153*$F$18/T152))</f>
        <v>15928.319402698327</v>
      </c>
      <c r="H153" s="280">
        <f ca="1">IF(A152=$D$8,SUM($H$25:H152),IF(A152="","",(G153+F153)))</f>
        <v>23232.527337695603</v>
      </c>
      <c r="I153" s="280" t="str">
        <f t="shared" si="36"/>
        <v/>
      </c>
      <c r="J153" s="280" t="str">
        <f t="shared" si="37"/>
        <v/>
      </c>
      <c r="K153" s="280"/>
      <c r="L153" s="280" t="str">
        <f t="shared" si="38"/>
        <v/>
      </c>
      <c r="M153" s="280" t="str">
        <f t="shared" si="39"/>
        <v/>
      </c>
      <c r="N153" s="283" t="str">
        <f t="shared" si="34"/>
        <v/>
      </c>
      <c r="O153" s="280"/>
      <c r="P153" s="289" t="str">
        <f>IF(A152=$D$8,XIRR(R$24:R152,C$24:C152),"")</f>
        <v/>
      </c>
      <c r="Q153" s="280" t="str">
        <f t="shared" si="32"/>
        <v/>
      </c>
      <c r="R153" s="283">
        <f t="shared" ca="1" si="27"/>
        <v>23232.527337695603</v>
      </c>
      <c r="S153" s="284">
        <f t="shared" ca="1" si="28"/>
        <v>2032</v>
      </c>
      <c r="T153" s="284">
        <f t="shared" ca="1" si="29"/>
        <v>366</v>
      </c>
    </row>
    <row r="154" spans="1:20" x14ac:dyDescent="0.35">
      <c r="A154" s="285">
        <f t="shared" si="30"/>
        <v>130</v>
      </c>
      <c r="B154" s="286">
        <f t="shared" ca="1" si="40"/>
        <v>48444</v>
      </c>
      <c r="C154" s="286">
        <f t="shared" ca="1" si="33"/>
        <v>48444</v>
      </c>
      <c r="D154" s="285">
        <f t="shared" ca="1" si="35"/>
        <v>31</v>
      </c>
      <c r="E154" s="280">
        <f t="shared" ca="1" si="31"/>
        <v>1496927.7015047469</v>
      </c>
      <c r="F154" s="280">
        <f ca="1">IF(AND(A153="",A155=""),"",IF(A154="",SUM($F$25:F153),IF(A154=$D$8,$E$24-SUM($F$25:F153),$F$13-G154)))</f>
        <v>6852.8239422124116</v>
      </c>
      <c r="G154" s="280">
        <f ca="1">IF(A153=$D$8,SUM($G$25:G153),IF(A153&gt;$D$8,"",E153*D154*$F$18/T153))</f>
        <v>16379.703395483191</v>
      </c>
      <c r="H154" s="280">
        <f ca="1">IF(A153=$D$8,SUM($H$25:H153),IF(A153="","",(G154+F154)))</f>
        <v>23232.527337695603</v>
      </c>
      <c r="I154" s="280" t="str">
        <f t="shared" si="36"/>
        <v/>
      </c>
      <c r="J154" s="280" t="str">
        <f t="shared" si="37"/>
        <v/>
      </c>
      <c r="K154" s="280"/>
      <c r="L154" s="280" t="str">
        <f t="shared" si="38"/>
        <v/>
      </c>
      <c r="M154" s="280" t="str">
        <f t="shared" si="39"/>
        <v/>
      </c>
      <c r="N154" s="283" t="str">
        <f t="shared" si="34"/>
        <v/>
      </c>
      <c r="O154" s="280"/>
      <c r="P154" s="289" t="str">
        <f>IF(A153=$D$8,XIRR(R$24:R153,C$24:C153),"")</f>
        <v/>
      </c>
      <c r="Q154" s="280" t="str">
        <f t="shared" si="32"/>
        <v/>
      </c>
      <c r="R154" s="283">
        <f t="shared" ref="R154:R217" ca="1" si="41">SUM(H154:Q154)</f>
        <v>23232.527337695603</v>
      </c>
      <c r="S154" s="284">
        <f t="shared" ref="S154:S217" ca="1" si="42">IF(C154="","",YEAR(C154))</f>
        <v>2032</v>
      </c>
      <c r="T154" s="284">
        <f t="shared" ref="T154:T217" ca="1" si="43">IF(OR(S154=2024,S154=2028,S154=2016,S154=2020,S154=2024,S154=2028,S154=2032,S154=2036,S154=2040),366,365)</f>
        <v>366</v>
      </c>
    </row>
    <row r="155" spans="1:20" x14ac:dyDescent="0.35">
      <c r="A155" s="285">
        <f t="shared" ref="A155:A218" si="44">IF(A154&lt;$D$8,A154+1,"")</f>
        <v>131</v>
      </c>
      <c r="B155" s="286">
        <f t="shared" ca="1" si="40"/>
        <v>48475</v>
      </c>
      <c r="C155" s="286">
        <f t="shared" ca="1" si="33"/>
        <v>48475</v>
      </c>
      <c r="D155" s="285">
        <f t="shared" ca="1" si="35"/>
        <v>31</v>
      </c>
      <c r="E155" s="280">
        <f t="shared" ca="1" si="31"/>
        <v>1490000.2342075398</v>
      </c>
      <c r="F155" s="280">
        <f ca="1">IF(AND(A154="",A156=""),"",IF(A155="",SUM($F$25:F154),IF(A155=$D$8,$E$24-SUM($F$25:F154),$F$13-G155)))</f>
        <v>6927.467297207013</v>
      </c>
      <c r="G155" s="280">
        <f ca="1">IF(A154=$D$8,SUM($G$25:G154),IF(A154&gt;$D$8,"",E154*D155*$F$18/T154))</f>
        <v>16305.06004048859</v>
      </c>
      <c r="H155" s="280">
        <f ca="1">IF(A154=$D$8,SUM($H$25:H154),IF(A154="","",(G155+F155)))</f>
        <v>23232.527337695603</v>
      </c>
      <c r="I155" s="280" t="str">
        <f t="shared" si="36"/>
        <v/>
      </c>
      <c r="J155" s="280" t="str">
        <f t="shared" si="37"/>
        <v/>
      </c>
      <c r="K155" s="280"/>
      <c r="L155" s="280" t="str">
        <f t="shared" si="38"/>
        <v/>
      </c>
      <c r="M155" s="280" t="str">
        <f t="shared" si="39"/>
        <v/>
      </c>
      <c r="N155" s="283" t="str">
        <f t="shared" si="34"/>
        <v/>
      </c>
      <c r="O155" s="280"/>
      <c r="P155" s="289" t="str">
        <f>IF(A154=$D$8,XIRR(R$24:R154,C$24:C154),"")</f>
        <v/>
      </c>
      <c r="Q155" s="280" t="str">
        <f t="shared" si="32"/>
        <v/>
      </c>
      <c r="R155" s="283">
        <f t="shared" ca="1" si="41"/>
        <v>23232.527337695603</v>
      </c>
      <c r="S155" s="284">
        <f t="shared" ca="1" si="42"/>
        <v>2032</v>
      </c>
      <c r="T155" s="284">
        <f t="shared" ca="1" si="43"/>
        <v>366</v>
      </c>
    </row>
    <row r="156" spans="1:20" x14ac:dyDescent="0.35">
      <c r="A156" s="285">
        <f t="shared" si="44"/>
        <v>132</v>
      </c>
      <c r="B156" s="286">
        <f t="shared" ca="1" si="40"/>
        <v>48505</v>
      </c>
      <c r="C156" s="286">
        <f t="shared" ca="1" si="33"/>
        <v>48505</v>
      </c>
      <c r="D156" s="285">
        <f t="shared" ca="1" si="35"/>
        <v>30</v>
      </c>
      <c r="E156" s="280">
        <f t="shared" ref="E156:E219" ca="1" si="45">IF(A156&gt;$D$8,"",E155-F156)</f>
        <v>1482473.7749123925</v>
      </c>
      <c r="F156" s="280">
        <f ca="1">IF(AND(A155="",A157=""),"",IF(A156="",SUM($F$25:F155),IF(A156=$D$8,$E$24-SUM($F$25:F155),$F$13-G156)))</f>
        <v>7526.459295147275</v>
      </c>
      <c r="G156" s="280">
        <f ca="1">IF(A155=$D$8,SUM($G$25:G155),IF(A155&gt;$D$8,"",E155*D156*$F$18/T155))</f>
        <v>15706.068042548328</v>
      </c>
      <c r="H156" s="280">
        <f ca="1">IF(A155=$D$8,SUM($H$25:H155),IF(A155="","",(G156+F156)))</f>
        <v>23232.527337695603</v>
      </c>
      <c r="I156" s="280" t="str">
        <f t="shared" si="36"/>
        <v/>
      </c>
      <c r="J156" s="280" t="str">
        <f t="shared" si="37"/>
        <v/>
      </c>
      <c r="K156" s="280"/>
      <c r="L156" s="280" t="str">
        <f t="shared" si="38"/>
        <v/>
      </c>
      <c r="M156" s="280" t="str">
        <f t="shared" si="39"/>
        <v/>
      </c>
      <c r="N156" s="283" t="str">
        <f t="shared" si="34"/>
        <v/>
      </c>
      <c r="O156" s="280"/>
      <c r="P156" s="289" t="str">
        <f>IF(A155=$D$8,XIRR(R$24:R155,C$24:C155),"")</f>
        <v/>
      </c>
      <c r="Q156" s="280" t="str">
        <f t="shared" ref="Q156:Q219" si="46">IF(A155=$D$8,G156+M156+F156+I156+J156+K156+L156+N156+O156,"")</f>
        <v/>
      </c>
      <c r="R156" s="283">
        <f t="shared" ca="1" si="41"/>
        <v>23232.527337695603</v>
      </c>
      <c r="S156" s="284">
        <f t="shared" ca="1" si="42"/>
        <v>2032</v>
      </c>
      <c r="T156" s="284">
        <f t="shared" ca="1" si="43"/>
        <v>366</v>
      </c>
    </row>
    <row r="157" spans="1:20" x14ac:dyDescent="0.35">
      <c r="A157" s="285">
        <f t="shared" si="44"/>
        <v>133</v>
      </c>
      <c r="B157" s="286">
        <f t="shared" ca="1" si="40"/>
        <v>48536</v>
      </c>
      <c r="C157" s="286">
        <f t="shared" ref="C157:C220" ca="1" si="47">IF(B157&gt;$E$20,"",IF(B157=$E$20,B157-1,B157))</f>
        <v>48536</v>
      </c>
      <c r="D157" s="285">
        <f t="shared" ca="1" si="35"/>
        <v>31</v>
      </c>
      <c r="E157" s="280">
        <f t="shared" ca="1" si="45"/>
        <v>1475388.8703918164</v>
      </c>
      <c r="F157" s="280">
        <f ca="1">IF(AND(A156="",A158=""),"",IF(A157="",SUM($F$25:F156),IF(A157=$D$8,$E$24-SUM($F$25:F156),$F$13-G157)))</f>
        <v>7084.9045205760849</v>
      </c>
      <c r="G157" s="280">
        <f ca="1">IF(A156=$D$8,SUM($G$25:G156),IF(A156&gt;$D$8,"",E156*D157*$F$18/T156))</f>
        <v>16147.622817119518</v>
      </c>
      <c r="H157" s="280">
        <f ca="1">IF(A156=$D$8,SUM($H$25:H156),IF(A156="","",(G157+F157)))</f>
        <v>23232.527337695603</v>
      </c>
      <c r="I157" s="280" t="str">
        <f t="shared" si="36"/>
        <v/>
      </c>
      <c r="J157" s="280" t="str">
        <f t="shared" si="37"/>
        <v/>
      </c>
      <c r="K157" s="280">
        <f>IF($F$8&gt;132,($O$8+$O$10),IF($A$156=$F$8,$K$24*$G$8,""))</f>
        <v>7500</v>
      </c>
      <c r="L157" s="280" t="str">
        <f t="shared" si="38"/>
        <v/>
      </c>
      <c r="M157" s="280" t="str">
        <f t="shared" si="39"/>
        <v/>
      </c>
      <c r="N157" s="280">
        <f>IF($F$8&gt;132,($N$14),IF(A156=$F$8,N145+N133+N121+N109+N97+N85+N73+N61+N49+N37+N24,""))</f>
        <v>0</v>
      </c>
      <c r="O157" s="280"/>
      <c r="P157" s="289" t="str">
        <f>IF(A156=$D$8,XIRR(R$24:R156,C$24:C156),"")</f>
        <v/>
      </c>
      <c r="Q157" s="280" t="str">
        <f t="shared" si="46"/>
        <v/>
      </c>
      <c r="R157" s="283">
        <f t="shared" ca="1" si="41"/>
        <v>30732.527337695603</v>
      </c>
      <c r="S157" s="284">
        <f t="shared" ca="1" si="42"/>
        <v>2032</v>
      </c>
      <c r="T157" s="284">
        <f t="shared" ca="1" si="43"/>
        <v>366</v>
      </c>
    </row>
    <row r="158" spans="1:20" x14ac:dyDescent="0.35">
      <c r="A158" s="285">
        <f t="shared" si="44"/>
        <v>134</v>
      </c>
      <c r="B158" s="286">
        <f t="shared" ca="1" si="40"/>
        <v>48566</v>
      </c>
      <c r="C158" s="286">
        <f t="shared" ca="1" si="47"/>
        <v>48566</v>
      </c>
      <c r="D158" s="285">
        <f t="shared" ca="1" si="35"/>
        <v>30</v>
      </c>
      <c r="E158" s="280">
        <f t="shared" ca="1" si="45"/>
        <v>1467708.3929502182</v>
      </c>
      <c r="F158" s="280">
        <f ca="1">IF(AND(A157="",A159=""),"",IF(A158="",SUM($F$25:F157),IF(A158=$D$8,$E$24-SUM($F$25:F157),$F$13-G158)))</f>
        <v>7680.4774415982611</v>
      </c>
      <c r="G158" s="280">
        <f ca="1">IF(A157=$D$8,SUM($G$25:G157),IF(A157&gt;$D$8,"",E157*D158*$F$18/T157))</f>
        <v>15552.049896097342</v>
      </c>
      <c r="H158" s="280">
        <f ca="1">IF(A157=$D$8,SUM($H$25:H157),IF(A157="","",(G158+F158)))</f>
        <v>23232.527337695603</v>
      </c>
      <c r="I158" s="280" t="str">
        <f t="shared" si="36"/>
        <v/>
      </c>
      <c r="J158" s="280" t="str">
        <f t="shared" si="37"/>
        <v/>
      </c>
      <c r="K158" s="280"/>
      <c r="L158" s="280" t="str">
        <f t="shared" si="38"/>
        <v/>
      </c>
      <c r="M158" s="280" t="str">
        <f t="shared" si="39"/>
        <v/>
      </c>
      <c r="N158" s="283" t="str">
        <f t="shared" ref="N158:N221" si="48">IF(A157=$D$8,$N$24,"")</f>
        <v/>
      </c>
      <c r="O158" s="280"/>
      <c r="P158" s="289" t="str">
        <f>IF(A157=$D$8,XIRR(R$24:R157,C$24:C157),"")</f>
        <v/>
      </c>
      <c r="Q158" s="280" t="str">
        <f t="shared" si="46"/>
        <v/>
      </c>
      <c r="R158" s="283">
        <f t="shared" ca="1" si="41"/>
        <v>23232.527337695603</v>
      </c>
      <c r="S158" s="284">
        <f t="shared" ca="1" si="42"/>
        <v>2032</v>
      </c>
      <c r="T158" s="284">
        <f t="shared" ca="1" si="43"/>
        <v>366</v>
      </c>
    </row>
    <row r="159" spans="1:20" x14ac:dyDescent="0.35">
      <c r="A159" s="285">
        <f t="shared" si="44"/>
        <v>135</v>
      </c>
      <c r="B159" s="286">
        <f t="shared" ca="1" si="40"/>
        <v>48597</v>
      </c>
      <c r="C159" s="286">
        <f t="shared" ca="1" si="47"/>
        <v>48597</v>
      </c>
      <c r="D159" s="285">
        <f t="shared" ca="1" si="35"/>
        <v>31</v>
      </c>
      <c r="E159" s="280">
        <f t="shared" ca="1" si="45"/>
        <v>1460462.6587254608</v>
      </c>
      <c r="F159" s="280">
        <f ca="1">IF(AND(A158="",A160=""),"",IF(A159="",SUM($F$25:F158),IF(A159=$D$8,$E$24-SUM($F$25:F158),$F$13-G159)))</f>
        <v>7245.7342247575198</v>
      </c>
      <c r="G159" s="280">
        <f ca="1">IF(A158=$D$8,SUM($G$25:G158),IF(A158&gt;$D$8,"",E158*D159*$F$18/T158))</f>
        <v>15986.793112938083</v>
      </c>
      <c r="H159" s="280">
        <f ca="1">IF(A158=$D$8,SUM($H$25:H158),IF(A158="","",(G159+F159)))</f>
        <v>23232.527337695603</v>
      </c>
      <c r="I159" s="280" t="str">
        <f t="shared" si="36"/>
        <v/>
      </c>
      <c r="J159" s="280" t="str">
        <f t="shared" si="37"/>
        <v/>
      </c>
      <c r="K159" s="280"/>
      <c r="L159" s="280" t="str">
        <f t="shared" si="38"/>
        <v/>
      </c>
      <c r="M159" s="280" t="str">
        <f t="shared" si="39"/>
        <v/>
      </c>
      <c r="N159" s="283" t="str">
        <f t="shared" si="48"/>
        <v/>
      </c>
      <c r="O159" s="280"/>
      <c r="P159" s="289" t="str">
        <f>IF(A158=$D$8,XIRR(R$24:R158,C$24:C158),"")</f>
        <v/>
      </c>
      <c r="Q159" s="280" t="str">
        <f t="shared" si="46"/>
        <v/>
      </c>
      <c r="R159" s="283">
        <f t="shared" ca="1" si="41"/>
        <v>23232.527337695603</v>
      </c>
      <c r="S159" s="284">
        <f t="shared" ca="1" si="42"/>
        <v>2033</v>
      </c>
      <c r="T159" s="284">
        <f t="shared" ca="1" si="43"/>
        <v>365</v>
      </c>
    </row>
    <row r="160" spans="1:20" x14ac:dyDescent="0.35">
      <c r="A160" s="285">
        <f t="shared" si="44"/>
        <v>136</v>
      </c>
      <c r="B160" s="286">
        <f t="shared" ca="1" si="40"/>
        <v>48628</v>
      </c>
      <c r="C160" s="286">
        <f t="shared" ca="1" si="47"/>
        <v>48628</v>
      </c>
      <c r="D160" s="285">
        <f t="shared" ca="1" si="35"/>
        <v>31</v>
      </c>
      <c r="E160" s="280">
        <f t="shared" ca="1" si="45"/>
        <v>1453181.5846350938</v>
      </c>
      <c r="F160" s="280">
        <f ca="1">IF(AND(A159="",A161=""),"",IF(A160="",SUM($F$25:F159),IF(A160=$D$8,$E$24-SUM($F$25:F159),$F$13-G160)))</f>
        <v>7281.0740903670521</v>
      </c>
      <c r="G160" s="280">
        <f ca="1">IF(A159=$D$8,SUM($G$25:G159),IF(A159&gt;$D$8,"",E159*D160*$F$18/T159))</f>
        <v>15951.453247328551</v>
      </c>
      <c r="H160" s="280">
        <f ca="1">IF(A159=$D$8,SUM($H$25:H159),IF(A159="","",(G160+F160)))</f>
        <v>23232.527337695603</v>
      </c>
      <c r="I160" s="280" t="str">
        <f t="shared" si="36"/>
        <v/>
      </c>
      <c r="J160" s="280" t="str">
        <f t="shared" si="37"/>
        <v/>
      </c>
      <c r="K160" s="280"/>
      <c r="L160" s="280" t="str">
        <f t="shared" si="38"/>
        <v/>
      </c>
      <c r="M160" s="280" t="str">
        <f t="shared" si="39"/>
        <v/>
      </c>
      <c r="N160" s="283" t="str">
        <f t="shared" si="48"/>
        <v/>
      </c>
      <c r="O160" s="280"/>
      <c r="P160" s="289" t="str">
        <f>IF(A159=$D$8,XIRR(R$24:R159,C$24:C159),"")</f>
        <v/>
      </c>
      <c r="Q160" s="280" t="str">
        <f t="shared" si="46"/>
        <v/>
      </c>
      <c r="R160" s="283">
        <f t="shared" ca="1" si="41"/>
        <v>23232.527337695603</v>
      </c>
      <c r="S160" s="284">
        <f t="shared" ca="1" si="42"/>
        <v>2033</v>
      </c>
      <c r="T160" s="284">
        <f t="shared" ca="1" si="43"/>
        <v>365</v>
      </c>
    </row>
    <row r="161" spans="1:20" x14ac:dyDescent="0.35">
      <c r="A161" s="285">
        <f t="shared" si="44"/>
        <v>137</v>
      </c>
      <c r="B161" s="286">
        <f t="shared" ca="1" si="40"/>
        <v>48656</v>
      </c>
      <c r="C161" s="286">
        <f t="shared" ca="1" si="47"/>
        <v>48656</v>
      </c>
      <c r="D161" s="285">
        <f t="shared" ca="1" si="35"/>
        <v>28</v>
      </c>
      <c r="E161" s="280">
        <f t="shared" ca="1" si="45"/>
        <v>1444284.9922287792</v>
      </c>
      <c r="F161" s="280">
        <f ca="1">IF(AND(A160="",A162=""),"",IF(A161="",SUM($F$25:F160),IF(A161=$D$8,$E$24-SUM($F$25:F160),$F$13-G161)))</f>
        <v>8896.5924063146558</v>
      </c>
      <c r="G161" s="280">
        <f ca="1">IF(A160=$D$8,SUM($G$25:G160),IF(A160&gt;$D$8,"",E160*D161*$F$18/T160))</f>
        <v>14335.934931380947</v>
      </c>
      <c r="H161" s="280">
        <f ca="1">IF(A160=$D$8,SUM($H$25:H160),IF(A160="","",(G161+F161)))</f>
        <v>23232.527337695603</v>
      </c>
      <c r="I161" s="280" t="str">
        <f t="shared" si="36"/>
        <v/>
      </c>
      <c r="J161" s="280" t="str">
        <f t="shared" si="37"/>
        <v/>
      </c>
      <c r="K161" s="280"/>
      <c r="L161" s="280" t="str">
        <f t="shared" si="38"/>
        <v/>
      </c>
      <c r="M161" s="280" t="str">
        <f t="shared" si="39"/>
        <v/>
      </c>
      <c r="N161" s="283" t="str">
        <f t="shared" si="48"/>
        <v/>
      </c>
      <c r="O161" s="280"/>
      <c r="P161" s="289" t="str">
        <f>IF(A160=$D$8,XIRR(R$24:R160,C$24:C160),"")</f>
        <v/>
      </c>
      <c r="Q161" s="280" t="str">
        <f t="shared" si="46"/>
        <v/>
      </c>
      <c r="R161" s="283">
        <f t="shared" ca="1" si="41"/>
        <v>23232.527337695603</v>
      </c>
      <c r="S161" s="284">
        <f t="shared" ca="1" si="42"/>
        <v>2033</v>
      </c>
      <c r="T161" s="284">
        <f t="shared" ca="1" si="43"/>
        <v>365</v>
      </c>
    </row>
    <row r="162" spans="1:20" x14ac:dyDescent="0.35">
      <c r="A162" s="285">
        <f t="shared" si="44"/>
        <v>138</v>
      </c>
      <c r="B162" s="286">
        <f t="shared" ca="1" si="40"/>
        <v>48687</v>
      </c>
      <c r="C162" s="286">
        <f t="shared" ca="1" si="47"/>
        <v>48687</v>
      </c>
      <c r="D162" s="285">
        <f t="shared" ca="1" si="35"/>
        <v>31</v>
      </c>
      <c r="E162" s="280">
        <f t="shared" ca="1" si="45"/>
        <v>1436827.2225623692</v>
      </c>
      <c r="F162" s="280">
        <f ca="1">IF(AND(A161="",A163=""),"",IF(A162="",SUM($F$25:F161),IF(A162=$D$8,$E$24-SUM($F$25:F161),$F$13-G162)))</f>
        <v>7457.769666409984</v>
      </c>
      <c r="G162" s="280">
        <f ca="1">IF(A161=$D$8,SUM($G$25:G161),IF(A161&gt;$D$8,"",E161*D162*$F$18/T161))</f>
        <v>15774.757671285619</v>
      </c>
      <c r="H162" s="280">
        <f ca="1">IF(A161=$D$8,SUM($H$25:H161),IF(A161="","",(G162+F162)))</f>
        <v>23232.527337695603</v>
      </c>
      <c r="I162" s="280" t="str">
        <f t="shared" si="36"/>
        <v/>
      </c>
      <c r="J162" s="280" t="str">
        <f t="shared" si="37"/>
        <v/>
      </c>
      <c r="K162" s="280"/>
      <c r="L162" s="280" t="str">
        <f t="shared" si="38"/>
        <v/>
      </c>
      <c r="M162" s="280" t="str">
        <f t="shared" si="39"/>
        <v/>
      </c>
      <c r="N162" s="283" t="str">
        <f t="shared" si="48"/>
        <v/>
      </c>
      <c r="O162" s="280"/>
      <c r="P162" s="289" t="str">
        <f>IF(A161=$D$8,XIRR(R$24:R161,C$24:C161),"")</f>
        <v/>
      </c>
      <c r="Q162" s="280" t="str">
        <f t="shared" si="46"/>
        <v/>
      </c>
      <c r="R162" s="283">
        <f t="shared" ca="1" si="41"/>
        <v>23232.527337695603</v>
      </c>
      <c r="S162" s="284">
        <f t="shared" ca="1" si="42"/>
        <v>2033</v>
      </c>
      <c r="T162" s="284">
        <f t="shared" ca="1" si="43"/>
        <v>365</v>
      </c>
    </row>
    <row r="163" spans="1:20" x14ac:dyDescent="0.35">
      <c r="A163" s="285">
        <f t="shared" si="44"/>
        <v>139</v>
      </c>
      <c r="B163" s="286">
        <f t="shared" ca="1" si="40"/>
        <v>48717</v>
      </c>
      <c r="C163" s="286">
        <f t="shared" ca="1" si="47"/>
        <v>48717</v>
      </c>
      <c r="D163" s="285">
        <f t="shared" ca="1" si="35"/>
        <v>30</v>
      </c>
      <c r="E163" s="280">
        <f t="shared" ca="1" si="45"/>
        <v>1428781.7621415108</v>
      </c>
      <c r="F163" s="280">
        <f ca="1">IF(AND(A162="",A164=""),"",IF(A163="",SUM($F$25:F162),IF(A163=$D$8,$E$24-SUM($F$25:F162),$F$13-G163)))</f>
        <v>8045.4604208582859</v>
      </c>
      <c r="G163" s="280">
        <f ca="1">IF(A162=$D$8,SUM($G$25:G162),IF(A162&gt;$D$8,"",E162*D163*$F$18/T162))</f>
        <v>15187.066916837317</v>
      </c>
      <c r="H163" s="280">
        <f ca="1">IF(A162=$D$8,SUM($H$25:H162),IF(A162="","",(G163+F163)))</f>
        <v>23232.527337695603</v>
      </c>
      <c r="I163" s="280" t="str">
        <f t="shared" si="36"/>
        <v/>
      </c>
      <c r="J163" s="280" t="str">
        <f t="shared" si="37"/>
        <v/>
      </c>
      <c r="K163" s="280"/>
      <c r="L163" s="280" t="str">
        <f t="shared" si="38"/>
        <v/>
      </c>
      <c r="M163" s="280" t="str">
        <f t="shared" si="39"/>
        <v/>
      </c>
      <c r="N163" s="283" t="str">
        <f t="shared" si="48"/>
        <v/>
      </c>
      <c r="O163" s="280"/>
      <c r="P163" s="289" t="str">
        <f>IF(A162=$D$8,XIRR(R$24:R162,C$24:C162),"")</f>
        <v/>
      </c>
      <c r="Q163" s="280" t="str">
        <f t="shared" si="46"/>
        <v/>
      </c>
      <c r="R163" s="283">
        <f t="shared" ca="1" si="41"/>
        <v>23232.527337695603</v>
      </c>
      <c r="S163" s="284">
        <f t="shared" ca="1" si="42"/>
        <v>2033</v>
      </c>
      <c r="T163" s="284">
        <f t="shared" ca="1" si="43"/>
        <v>365</v>
      </c>
    </row>
    <row r="164" spans="1:20" x14ac:dyDescent="0.35">
      <c r="A164" s="285">
        <f t="shared" si="44"/>
        <v>140</v>
      </c>
      <c r="B164" s="286">
        <f t="shared" ca="1" si="40"/>
        <v>48748</v>
      </c>
      <c r="C164" s="286">
        <f t="shared" ca="1" si="47"/>
        <v>48748</v>
      </c>
      <c r="D164" s="285">
        <f t="shared" ca="1" si="35"/>
        <v>31</v>
      </c>
      <c r="E164" s="280">
        <f t="shared" ca="1" si="45"/>
        <v>1421154.6632228654</v>
      </c>
      <c r="F164" s="280">
        <f ca="1">IF(AND(A163="",A165=""),"",IF(A164="",SUM($F$25:F163),IF(A164=$D$8,$E$24-SUM($F$25:F163),$F$13-G164)))</f>
        <v>7627.0989186453371</v>
      </c>
      <c r="G164" s="280">
        <f ca="1">IF(A163=$D$8,SUM($G$25:G163),IF(A163&gt;$D$8,"",E163*D164*$F$18/T163))</f>
        <v>15605.428419050266</v>
      </c>
      <c r="H164" s="280">
        <f ca="1">IF(A163=$D$8,SUM($H$25:H163),IF(A163="","",(G164+F164)))</f>
        <v>23232.527337695603</v>
      </c>
      <c r="I164" s="280" t="str">
        <f t="shared" si="36"/>
        <v/>
      </c>
      <c r="J164" s="280" t="str">
        <f t="shared" si="37"/>
        <v/>
      </c>
      <c r="K164" s="280"/>
      <c r="L164" s="280" t="str">
        <f t="shared" si="38"/>
        <v/>
      </c>
      <c r="M164" s="280" t="str">
        <f t="shared" si="39"/>
        <v/>
      </c>
      <c r="N164" s="283" t="str">
        <f t="shared" si="48"/>
        <v/>
      </c>
      <c r="O164" s="280"/>
      <c r="P164" s="289" t="str">
        <f>IF(A163=$D$8,XIRR(R$24:R163,C$24:C163),"")</f>
        <v/>
      </c>
      <c r="Q164" s="280" t="str">
        <f t="shared" si="46"/>
        <v/>
      </c>
      <c r="R164" s="283">
        <f t="shared" ca="1" si="41"/>
        <v>23232.527337695603</v>
      </c>
      <c r="S164" s="284">
        <f t="shared" ca="1" si="42"/>
        <v>2033</v>
      </c>
      <c r="T164" s="284">
        <f t="shared" ca="1" si="43"/>
        <v>365</v>
      </c>
    </row>
    <row r="165" spans="1:20" x14ac:dyDescent="0.35">
      <c r="A165" s="285">
        <f t="shared" si="44"/>
        <v>141</v>
      </c>
      <c r="B165" s="286">
        <f t="shared" ca="1" si="40"/>
        <v>48778</v>
      </c>
      <c r="C165" s="286">
        <f t="shared" ca="1" si="47"/>
        <v>48778</v>
      </c>
      <c r="D165" s="285">
        <f t="shared" ca="1" si="35"/>
        <v>30</v>
      </c>
      <c r="E165" s="280">
        <f t="shared" ca="1" si="45"/>
        <v>1412943.5459967146</v>
      </c>
      <c r="F165" s="280">
        <f ca="1">IF(AND(A164="",A166=""),"",IF(A165="",SUM($F$25:F164),IF(A165=$D$8,$E$24-SUM($F$25:F164),$F$13-G165)))</f>
        <v>8211.1172261509055</v>
      </c>
      <c r="G165" s="280">
        <f ca="1">IF(A164=$D$8,SUM($G$25:G164),IF(A164&gt;$D$8,"",E164*D165*$F$18/T164))</f>
        <v>15021.410111544697</v>
      </c>
      <c r="H165" s="280">
        <f ca="1">IF(A164=$D$8,SUM($H$25:H164),IF(A164="","",(G165+F165)))</f>
        <v>23232.527337695603</v>
      </c>
      <c r="I165" s="280" t="str">
        <f t="shared" si="36"/>
        <v/>
      </c>
      <c r="J165" s="280" t="str">
        <f t="shared" si="37"/>
        <v/>
      </c>
      <c r="K165" s="280"/>
      <c r="L165" s="280" t="str">
        <f t="shared" si="38"/>
        <v/>
      </c>
      <c r="M165" s="280" t="str">
        <f t="shared" si="39"/>
        <v/>
      </c>
      <c r="N165" s="283" t="str">
        <f t="shared" si="48"/>
        <v/>
      </c>
      <c r="O165" s="280"/>
      <c r="P165" s="289" t="str">
        <f>IF(A164=$D$8,XIRR(R$24:R164,C$24:C164),"")</f>
        <v/>
      </c>
      <c r="Q165" s="280" t="str">
        <f t="shared" si="46"/>
        <v/>
      </c>
      <c r="R165" s="283">
        <f t="shared" ca="1" si="41"/>
        <v>23232.527337695603</v>
      </c>
      <c r="S165" s="284">
        <f t="shared" ca="1" si="42"/>
        <v>2033</v>
      </c>
      <c r="T165" s="284">
        <f t="shared" ca="1" si="43"/>
        <v>365</v>
      </c>
    </row>
    <row r="166" spans="1:20" x14ac:dyDescent="0.35">
      <c r="A166" s="285">
        <f t="shared" si="44"/>
        <v>142</v>
      </c>
      <c r="B166" s="286">
        <f t="shared" ca="1" si="40"/>
        <v>48809</v>
      </c>
      <c r="C166" s="286">
        <f t="shared" ca="1" si="47"/>
        <v>48809</v>
      </c>
      <c r="D166" s="285">
        <f t="shared" ref="D166:D229" ca="1" si="49">IF(A166&gt;$D$8,"",C166-C165)</f>
        <v>31</v>
      </c>
      <c r="E166" s="280">
        <f t="shared" ca="1" si="45"/>
        <v>1405143.4590438697</v>
      </c>
      <c r="F166" s="280">
        <f ca="1">IF(AND(A165="",A167=""),"",IF(A166="",SUM($F$25:F165),IF(A166=$D$8,$E$24-SUM($F$25:F165),$F$13-G166)))</f>
        <v>7800.086952844913</v>
      </c>
      <c r="G166" s="280">
        <f ca="1">IF(A165=$D$8,SUM($G$25:G165),IF(A165&gt;$D$8,"",E165*D166*$F$18/T165))</f>
        <v>15432.44038485069</v>
      </c>
      <c r="H166" s="280">
        <f ca="1">IF(A165=$D$8,SUM($H$25:H165),IF(A165="","",(G166+F166)))</f>
        <v>23232.527337695603</v>
      </c>
      <c r="I166" s="280" t="str">
        <f t="shared" ref="I166:I229" si="50">IF(A165=$F$8,$I$24,"")</f>
        <v/>
      </c>
      <c r="J166" s="280" t="str">
        <f t="shared" ref="J166:J229" si="51">IF(A165=$F$8,$J$24,"")</f>
        <v/>
      </c>
      <c r="K166" s="280"/>
      <c r="L166" s="280" t="str">
        <f t="shared" ref="L166:L229" si="52">IF(A165=$F$8,$L$24,"")</f>
        <v/>
      </c>
      <c r="M166" s="280" t="str">
        <f t="shared" ref="M166:M229" si="53">IF(A165=$F$8,$M$24,"")</f>
        <v/>
      </c>
      <c r="N166" s="283" t="str">
        <f t="shared" si="48"/>
        <v/>
      </c>
      <c r="O166" s="280"/>
      <c r="P166" s="289" t="str">
        <f>IF(A165=$D$8,XIRR(R$24:R165,C$24:C165),"")</f>
        <v/>
      </c>
      <c r="Q166" s="280" t="str">
        <f t="shared" si="46"/>
        <v/>
      </c>
      <c r="R166" s="283">
        <f t="shared" ca="1" si="41"/>
        <v>23232.527337695603</v>
      </c>
      <c r="S166" s="284">
        <f t="shared" ca="1" si="42"/>
        <v>2033</v>
      </c>
      <c r="T166" s="284">
        <f t="shared" ca="1" si="43"/>
        <v>365</v>
      </c>
    </row>
    <row r="167" spans="1:20" x14ac:dyDescent="0.35">
      <c r="A167" s="285">
        <f t="shared" si="44"/>
        <v>143</v>
      </c>
      <c r="B167" s="286">
        <f t="shared" ca="1" si="40"/>
        <v>48840</v>
      </c>
      <c r="C167" s="286">
        <f t="shared" ca="1" si="47"/>
        <v>48840</v>
      </c>
      <c r="D167" s="285">
        <f t="shared" ca="1" si="49"/>
        <v>31</v>
      </c>
      <c r="E167" s="280">
        <f t="shared" ca="1" si="45"/>
        <v>1397258.1780454188</v>
      </c>
      <c r="F167" s="280">
        <f ca="1">IF(AND(A166="",A168=""),"",IF(A167="",SUM($F$25:F166),IF(A167=$D$8,$E$24-SUM($F$25:F166),$F$13-G167)))</f>
        <v>7885.2809984509695</v>
      </c>
      <c r="G167" s="280">
        <f ca="1">IF(A166=$D$8,SUM($G$25:G166),IF(A166&gt;$D$8,"",E166*D167*$F$18/T166))</f>
        <v>15347.246339244633</v>
      </c>
      <c r="H167" s="280">
        <f ca="1">IF(A166=$D$8,SUM($H$25:H166),IF(A166="","",(G167+F167)))</f>
        <v>23232.527337695603</v>
      </c>
      <c r="I167" s="280" t="str">
        <f t="shared" si="50"/>
        <v/>
      </c>
      <c r="J167" s="280" t="str">
        <f t="shared" si="51"/>
        <v/>
      </c>
      <c r="K167" s="280"/>
      <c r="L167" s="280" t="str">
        <f t="shared" si="52"/>
        <v/>
      </c>
      <c r="M167" s="280" t="str">
        <f t="shared" si="53"/>
        <v/>
      </c>
      <c r="N167" s="283" t="str">
        <f t="shared" si="48"/>
        <v/>
      </c>
      <c r="O167" s="280"/>
      <c r="P167" s="289" t="str">
        <f>IF(A166=$D$8,XIRR(R$24:R166,C$24:C166),"")</f>
        <v/>
      </c>
      <c r="Q167" s="280" t="str">
        <f t="shared" si="46"/>
        <v/>
      </c>
      <c r="R167" s="283">
        <f t="shared" ca="1" si="41"/>
        <v>23232.527337695603</v>
      </c>
      <c r="S167" s="284">
        <f t="shared" ca="1" si="42"/>
        <v>2033</v>
      </c>
      <c r="T167" s="284">
        <f t="shared" ca="1" si="43"/>
        <v>365</v>
      </c>
    </row>
    <row r="168" spans="1:20" x14ac:dyDescent="0.35">
      <c r="A168" s="285">
        <f t="shared" si="44"/>
        <v>144</v>
      </c>
      <c r="B168" s="286">
        <f t="shared" ca="1" si="40"/>
        <v>48870</v>
      </c>
      <c r="C168" s="286">
        <f t="shared" ca="1" si="47"/>
        <v>48870</v>
      </c>
      <c r="D168" s="285">
        <f t="shared" ca="1" si="49"/>
        <v>30</v>
      </c>
      <c r="E168" s="280">
        <f t="shared" ca="1" si="45"/>
        <v>1388794.4782444334</v>
      </c>
      <c r="F168" s="280">
        <f ca="1">IF(AND(A167="",A169=""),"",IF(A168="",SUM($F$25:F167),IF(A168=$D$8,$E$24-SUM($F$25:F167),$F$13-G168)))</f>
        <v>8463.699800985396</v>
      </c>
      <c r="G168" s="280">
        <f ca="1">IF(A167=$D$8,SUM($G$25:G167),IF(A167&gt;$D$8,"",E167*D168*$F$18/T167))</f>
        <v>14768.827536710207</v>
      </c>
      <c r="H168" s="280">
        <f ca="1">IF(A167=$D$8,SUM($H$25:H167),IF(A167="","",(G168+F168)))</f>
        <v>23232.527337695603</v>
      </c>
      <c r="I168" s="280" t="str">
        <f t="shared" si="50"/>
        <v/>
      </c>
      <c r="J168" s="280" t="str">
        <f t="shared" si="51"/>
        <v/>
      </c>
      <c r="K168" s="280"/>
      <c r="L168" s="280" t="str">
        <f t="shared" si="52"/>
        <v/>
      </c>
      <c r="M168" s="280" t="str">
        <f t="shared" si="53"/>
        <v/>
      </c>
      <c r="N168" s="283" t="str">
        <f t="shared" si="48"/>
        <v/>
      </c>
      <c r="O168" s="280"/>
      <c r="P168" s="289" t="str">
        <f>IF(A167=$D$8,XIRR(R$24:R167,C$24:C167),"")</f>
        <v/>
      </c>
      <c r="Q168" s="280" t="str">
        <f t="shared" si="46"/>
        <v/>
      </c>
      <c r="R168" s="283">
        <f t="shared" ca="1" si="41"/>
        <v>23232.527337695603</v>
      </c>
      <c r="S168" s="284">
        <f t="shared" ca="1" si="42"/>
        <v>2033</v>
      </c>
      <c r="T168" s="284">
        <f t="shared" ca="1" si="43"/>
        <v>365</v>
      </c>
    </row>
    <row r="169" spans="1:20" x14ac:dyDescent="0.35">
      <c r="A169" s="285">
        <f t="shared" si="44"/>
        <v>145</v>
      </c>
      <c r="B169" s="286">
        <f t="shared" ca="1" si="40"/>
        <v>48901</v>
      </c>
      <c r="C169" s="286">
        <f t="shared" ca="1" si="47"/>
        <v>48901</v>
      </c>
      <c r="D169" s="285">
        <f t="shared" ca="1" si="49"/>
        <v>31</v>
      </c>
      <c r="E169" s="280">
        <f t="shared" ca="1" si="45"/>
        <v>1380730.6305422699</v>
      </c>
      <c r="F169" s="280">
        <f ca="1">IF(AND(A168="",A170=""),"",IF(A169="",SUM($F$25:F168),IF(A169=$D$8,$E$24-SUM($F$25:F168),$F$13-G169)))</f>
        <v>8063.8477021633898</v>
      </c>
      <c r="G169" s="280">
        <f ca="1">IF(A168=$D$8,SUM($G$25:G168),IF(A168&gt;$D$8,"",E168*D169*$F$18/T168))</f>
        <v>15168.679635532213</v>
      </c>
      <c r="H169" s="280">
        <f ca="1">IF(A168=$D$8,SUM($H$25:H168),IF(A168="","",(G169+F169)))</f>
        <v>23232.527337695603</v>
      </c>
      <c r="I169" s="280" t="str">
        <f t="shared" si="50"/>
        <v/>
      </c>
      <c r="J169" s="280" t="str">
        <f t="shared" si="51"/>
        <v/>
      </c>
      <c r="K169" s="280">
        <f>IF($F$8&gt;144,($O$8+$O$10),IF($A$168=$F$8,$K$24*$G$8,""))</f>
        <v>7500</v>
      </c>
      <c r="L169" s="280" t="str">
        <f t="shared" si="52"/>
        <v/>
      </c>
      <c r="M169" s="280" t="str">
        <f t="shared" si="53"/>
        <v/>
      </c>
      <c r="N169" s="280">
        <f>IF($F$8&gt;144,($N$14),IF(A168=$F$8,N157+N145+N133+N121+N109+N97+N85+N73+N61+N49+N37+N24,""))</f>
        <v>0</v>
      </c>
      <c r="O169" s="280"/>
      <c r="P169" s="289" t="str">
        <f>IF(A168=$D$8,XIRR(R$24:R168,C$24:C168),"")</f>
        <v/>
      </c>
      <c r="Q169" s="280" t="str">
        <f t="shared" si="46"/>
        <v/>
      </c>
      <c r="R169" s="283">
        <f t="shared" ca="1" si="41"/>
        <v>30732.527337695603</v>
      </c>
      <c r="S169" s="284">
        <f t="shared" ca="1" si="42"/>
        <v>2033</v>
      </c>
      <c r="T169" s="284">
        <f t="shared" ca="1" si="43"/>
        <v>365</v>
      </c>
    </row>
    <row r="170" spans="1:20" x14ac:dyDescent="0.35">
      <c r="A170" s="285">
        <f t="shared" si="44"/>
        <v>146</v>
      </c>
      <c r="B170" s="286">
        <f t="shared" ca="1" si="40"/>
        <v>48931</v>
      </c>
      <c r="C170" s="286">
        <f t="shared" ca="1" si="47"/>
        <v>48931</v>
      </c>
      <c r="D170" s="285">
        <f t="shared" ca="1" si="49"/>
        <v>30</v>
      </c>
      <c r="E170" s="280">
        <f t="shared" ca="1" si="45"/>
        <v>1372092.2368282238</v>
      </c>
      <c r="F170" s="280">
        <f ca="1">IF(AND(A169="",A171=""),"",IF(A170="",SUM($F$25:F169),IF(A170=$D$8,$E$24-SUM($F$25:F169),$F$13-G170)))</f>
        <v>8638.3937140460785</v>
      </c>
      <c r="G170" s="280">
        <f ca="1">IF(A169=$D$8,SUM($G$25:G169),IF(A169&gt;$D$8,"",E169*D170*$F$18/T169))</f>
        <v>14594.133623649524</v>
      </c>
      <c r="H170" s="280">
        <f ca="1">IF(A169=$D$8,SUM($H$25:H169),IF(A169="","",(G170+F170)))</f>
        <v>23232.527337695603</v>
      </c>
      <c r="I170" s="280" t="str">
        <f t="shared" si="50"/>
        <v/>
      </c>
      <c r="J170" s="280" t="str">
        <f t="shared" si="51"/>
        <v/>
      </c>
      <c r="K170" s="280"/>
      <c r="L170" s="280" t="str">
        <f t="shared" si="52"/>
        <v/>
      </c>
      <c r="M170" s="280" t="str">
        <f t="shared" si="53"/>
        <v/>
      </c>
      <c r="N170" s="283" t="str">
        <f t="shared" si="48"/>
        <v/>
      </c>
      <c r="O170" s="280"/>
      <c r="P170" s="289" t="str">
        <f>IF(A169=$D$8,XIRR(R$24:R169,C$24:C169),"")</f>
        <v/>
      </c>
      <c r="Q170" s="280" t="str">
        <f t="shared" si="46"/>
        <v/>
      </c>
      <c r="R170" s="283">
        <f t="shared" ca="1" si="41"/>
        <v>23232.527337695603</v>
      </c>
      <c r="S170" s="284">
        <f t="shared" ca="1" si="42"/>
        <v>2033</v>
      </c>
      <c r="T170" s="284">
        <f t="shared" ca="1" si="43"/>
        <v>365</v>
      </c>
    </row>
    <row r="171" spans="1:20" x14ac:dyDescent="0.35">
      <c r="A171" s="285">
        <f t="shared" si="44"/>
        <v>147</v>
      </c>
      <c r="B171" s="286">
        <f t="shared" ca="1" si="40"/>
        <v>48962</v>
      </c>
      <c r="C171" s="286">
        <f t="shared" ca="1" si="47"/>
        <v>48962</v>
      </c>
      <c r="D171" s="285">
        <f t="shared" ca="1" si="49"/>
        <v>31</v>
      </c>
      <c r="E171" s="280">
        <f t="shared" ca="1" si="45"/>
        <v>1363845.964042143</v>
      </c>
      <c r="F171" s="280">
        <f ca="1">IF(AND(A170="",A172=""),"",IF(A171="",SUM($F$25:F170),IF(A171=$D$8,$E$24-SUM($F$25:F170),$F$13-G171)))</f>
        <v>8246.2727860808172</v>
      </c>
      <c r="G171" s="280">
        <f ca="1">IF(A170=$D$8,SUM($G$25:G170),IF(A170&gt;$D$8,"",E170*D171*$F$18/T170))</f>
        <v>14986.254551614786</v>
      </c>
      <c r="H171" s="280">
        <f ca="1">IF(A170=$D$8,SUM($H$25:H170),IF(A170="","",(G171+F171)))</f>
        <v>23232.527337695603</v>
      </c>
      <c r="I171" s="280" t="str">
        <f t="shared" si="50"/>
        <v/>
      </c>
      <c r="J171" s="280" t="str">
        <f t="shared" si="51"/>
        <v/>
      </c>
      <c r="K171" s="280"/>
      <c r="L171" s="280" t="str">
        <f t="shared" si="52"/>
        <v/>
      </c>
      <c r="M171" s="280" t="str">
        <f t="shared" si="53"/>
        <v/>
      </c>
      <c r="N171" s="283" t="str">
        <f t="shared" si="48"/>
        <v/>
      </c>
      <c r="O171" s="280"/>
      <c r="P171" s="289" t="str">
        <f>IF(A170=$D$8,XIRR(R$24:R170,C$24:C170),"")</f>
        <v/>
      </c>
      <c r="Q171" s="280" t="str">
        <f t="shared" si="46"/>
        <v/>
      </c>
      <c r="R171" s="283">
        <f t="shared" ca="1" si="41"/>
        <v>23232.527337695603</v>
      </c>
      <c r="S171" s="284">
        <f t="shared" ca="1" si="42"/>
        <v>2034</v>
      </c>
      <c r="T171" s="284">
        <f t="shared" ca="1" si="43"/>
        <v>365</v>
      </c>
    </row>
    <row r="172" spans="1:20" x14ac:dyDescent="0.35">
      <c r="A172" s="285">
        <f t="shared" si="44"/>
        <v>148</v>
      </c>
      <c r="B172" s="286">
        <f t="shared" ca="1" si="40"/>
        <v>48993</v>
      </c>
      <c r="C172" s="286">
        <f t="shared" ca="1" si="47"/>
        <v>48993</v>
      </c>
      <c r="D172" s="285">
        <f t="shared" ca="1" si="49"/>
        <v>31</v>
      </c>
      <c r="E172" s="280">
        <f t="shared" ca="1" si="45"/>
        <v>1355509.6238832157</v>
      </c>
      <c r="F172" s="280">
        <f ca="1">IF(AND(A171="",A173=""),"",IF(A172="",SUM($F$25:F171),IF(A172=$D$8,$E$24-SUM($F$25:F171),$F$13-G172)))</f>
        <v>8336.3401589273653</v>
      </c>
      <c r="G172" s="280">
        <f ca="1">IF(A171=$D$8,SUM($G$25:G171),IF(A171&gt;$D$8,"",E171*D172*$F$18/T171))</f>
        <v>14896.187178768238</v>
      </c>
      <c r="H172" s="280">
        <f ca="1">IF(A171=$D$8,SUM($H$25:H171),IF(A171="","",(G172+F172)))</f>
        <v>23232.527337695603</v>
      </c>
      <c r="I172" s="280" t="str">
        <f t="shared" si="50"/>
        <v/>
      </c>
      <c r="J172" s="280" t="str">
        <f t="shared" si="51"/>
        <v/>
      </c>
      <c r="K172" s="280"/>
      <c r="L172" s="280" t="str">
        <f t="shared" si="52"/>
        <v/>
      </c>
      <c r="M172" s="280" t="str">
        <f t="shared" si="53"/>
        <v/>
      </c>
      <c r="N172" s="283" t="str">
        <f t="shared" si="48"/>
        <v/>
      </c>
      <c r="O172" s="280"/>
      <c r="P172" s="289" t="str">
        <f>IF(A171=$D$8,XIRR(R$24:R171,C$24:C171),"")</f>
        <v/>
      </c>
      <c r="Q172" s="280" t="str">
        <f t="shared" si="46"/>
        <v/>
      </c>
      <c r="R172" s="283">
        <f t="shared" ca="1" si="41"/>
        <v>23232.527337695603</v>
      </c>
      <c r="S172" s="284">
        <f t="shared" ca="1" si="42"/>
        <v>2034</v>
      </c>
      <c r="T172" s="284">
        <f t="shared" ca="1" si="43"/>
        <v>365</v>
      </c>
    </row>
    <row r="173" spans="1:20" x14ac:dyDescent="0.35">
      <c r="A173" s="285">
        <f t="shared" si="44"/>
        <v>149</v>
      </c>
      <c r="B173" s="286">
        <f t="shared" ca="1" si="40"/>
        <v>49021</v>
      </c>
      <c r="C173" s="286">
        <f t="shared" ca="1" si="47"/>
        <v>49021</v>
      </c>
      <c r="D173" s="285">
        <f t="shared" ca="1" si="49"/>
        <v>28</v>
      </c>
      <c r="E173" s="280">
        <f t="shared" ca="1" si="45"/>
        <v>1345649.4775145028</v>
      </c>
      <c r="F173" s="280">
        <f ca="1">IF(AND(A172="",A174=""),"",IF(A173="",SUM($F$25:F172),IF(A173=$D$8,$E$24-SUM($F$25:F172),$F$13-G173)))</f>
        <v>9860.146368712909</v>
      </c>
      <c r="G173" s="280">
        <f ca="1">IF(A172=$D$8,SUM($G$25:G172),IF(A172&gt;$D$8,"",E172*D173*$F$18/T172))</f>
        <v>13372.380968982694</v>
      </c>
      <c r="H173" s="280">
        <f ca="1">IF(A172=$D$8,SUM($H$25:H172),IF(A172="","",(G173+F173)))</f>
        <v>23232.527337695603</v>
      </c>
      <c r="I173" s="280" t="str">
        <f t="shared" si="50"/>
        <v/>
      </c>
      <c r="J173" s="280" t="str">
        <f t="shared" si="51"/>
        <v/>
      </c>
      <c r="K173" s="280"/>
      <c r="L173" s="280" t="str">
        <f t="shared" si="52"/>
        <v/>
      </c>
      <c r="M173" s="280" t="str">
        <f t="shared" si="53"/>
        <v/>
      </c>
      <c r="N173" s="283" t="str">
        <f t="shared" si="48"/>
        <v/>
      </c>
      <c r="O173" s="280"/>
      <c r="P173" s="289" t="str">
        <f>IF(A172=$D$8,XIRR(R$24:R172,C$24:C172),"")</f>
        <v/>
      </c>
      <c r="Q173" s="280" t="str">
        <f t="shared" si="46"/>
        <v/>
      </c>
      <c r="R173" s="283">
        <f t="shared" ca="1" si="41"/>
        <v>23232.527337695603</v>
      </c>
      <c r="S173" s="284">
        <f t="shared" ca="1" si="42"/>
        <v>2034</v>
      </c>
      <c r="T173" s="284">
        <f t="shared" ca="1" si="43"/>
        <v>365</v>
      </c>
    </row>
    <row r="174" spans="1:20" x14ac:dyDescent="0.35">
      <c r="A174" s="285">
        <f t="shared" si="44"/>
        <v>150</v>
      </c>
      <c r="B174" s="286">
        <f t="shared" ref="B174:B237" ca="1" si="54">EDATE($B$24,A174)</f>
        <v>49052</v>
      </c>
      <c r="C174" s="286">
        <f t="shared" ca="1" si="47"/>
        <v>49052</v>
      </c>
      <c r="D174" s="285">
        <f t="shared" ca="1" si="49"/>
        <v>31</v>
      </c>
      <c r="E174" s="280">
        <f t="shared" ca="1" si="45"/>
        <v>1337114.3918399834</v>
      </c>
      <c r="F174" s="280">
        <f ca="1">IF(AND(A173="",A175=""),"",IF(A174="",SUM($F$25:F173),IF(A174=$D$8,$E$24-SUM($F$25:F173),$F$13-G174)))</f>
        <v>8535.0856745193942</v>
      </c>
      <c r="G174" s="280">
        <f ca="1">IF(A173=$D$8,SUM($G$25:G173),IF(A173&gt;$D$8,"",E173*D174*$F$18/T173))</f>
        <v>14697.441663176209</v>
      </c>
      <c r="H174" s="280">
        <f ca="1">IF(A173=$D$8,SUM($H$25:H173),IF(A173="","",(G174+F174)))</f>
        <v>23232.527337695603</v>
      </c>
      <c r="I174" s="280" t="str">
        <f t="shared" si="50"/>
        <v/>
      </c>
      <c r="J174" s="280" t="str">
        <f t="shared" si="51"/>
        <v/>
      </c>
      <c r="K174" s="280"/>
      <c r="L174" s="280" t="str">
        <f t="shared" si="52"/>
        <v/>
      </c>
      <c r="M174" s="280" t="str">
        <f t="shared" si="53"/>
        <v/>
      </c>
      <c r="N174" s="283" t="str">
        <f t="shared" si="48"/>
        <v/>
      </c>
      <c r="O174" s="280"/>
      <c r="P174" s="289" t="str">
        <f>IF(A173=$D$8,XIRR(R$24:R173,C$24:C173),"")</f>
        <v/>
      </c>
      <c r="Q174" s="280" t="str">
        <f t="shared" si="46"/>
        <v/>
      </c>
      <c r="R174" s="283">
        <f t="shared" ca="1" si="41"/>
        <v>23232.527337695603</v>
      </c>
      <c r="S174" s="284">
        <f t="shared" ca="1" si="42"/>
        <v>2034</v>
      </c>
      <c r="T174" s="284">
        <f t="shared" ca="1" si="43"/>
        <v>365</v>
      </c>
    </row>
    <row r="175" spans="1:20" x14ac:dyDescent="0.35">
      <c r="A175" s="285">
        <f t="shared" si="44"/>
        <v>151</v>
      </c>
      <c r="B175" s="286">
        <f t="shared" ca="1" si="54"/>
        <v>49082</v>
      </c>
      <c r="C175" s="286">
        <f t="shared" ca="1" si="47"/>
        <v>49082</v>
      </c>
      <c r="D175" s="285">
        <f t="shared" ca="1" si="49"/>
        <v>30</v>
      </c>
      <c r="E175" s="280">
        <f t="shared" ca="1" si="45"/>
        <v>1328014.9804576815</v>
      </c>
      <c r="F175" s="280">
        <f ca="1">IF(AND(A174="",A176=""),"",IF(A175="",SUM($F$25:F174),IF(A175=$D$8,$E$24-SUM($F$25:F174),$F$13-G175)))</f>
        <v>9099.4113823020271</v>
      </c>
      <c r="G175" s="280">
        <f ca="1">IF(A174=$D$8,SUM($G$25:G174),IF(A174&gt;$D$8,"",E174*D175*$F$18/T174))</f>
        <v>14133.115955393576</v>
      </c>
      <c r="H175" s="280">
        <f ca="1">IF(A174=$D$8,SUM($H$25:H174),IF(A174="","",(G175+F175)))</f>
        <v>23232.527337695603</v>
      </c>
      <c r="I175" s="280" t="str">
        <f t="shared" si="50"/>
        <v/>
      </c>
      <c r="J175" s="280" t="str">
        <f t="shared" si="51"/>
        <v/>
      </c>
      <c r="K175" s="280"/>
      <c r="L175" s="280" t="str">
        <f t="shared" si="52"/>
        <v/>
      </c>
      <c r="M175" s="280" t="str">
        <f t="shared" si="53"/>
        <v/>
      </c>
      <c r="N175" s="283" t="str">
        <f t="shared" si="48"/>
        <v/>
      </c>
      <c r="O175" s="280"/>
      <c r="P175" s="289" t="str">
        <f>IF(A174=$D$8,XIRR(R$24:R174,C$24:C174),"")</f>
        <v/>
      </c>
      <c r="Q175" s="280" t="str">
        <f t="shared" si="46"/>
        <v/>
      </c>
      <c r="R175" s="283">
        <f t="shared" ca="1" si="41"/>
        <v>23232.527337695603</v>
      </c>
      <c r="S175" s="284">
        <f t="shared" ca="1" si="42"/>
        <v>2034</v>
      </c>
      <c r="T175" s="284">
        <f t="shared" ca="1" si="43"/>
        <v>365</v>
      </c>
    </row>
    <row r="176" spans="1:20" x14ac:dyDescent="0.35">
      <c r="A176" s="285">
        <f t="shared" si="44"/>
        <v>152</v>
      </c>
      <c r="B176" s="286">
        <f t="shared" ca="1" si="54"/>
        <v>49113</v>
      </c>
      <c r="C176" s="286">
        <f t="shared" ca="1" si="47"/>
        <v>49113</v>
      </c>
      <c r="D176" s="285">
        <f t="shared" ca="1" si="49"/>
        <v>31</v>
      </c>
      <c r="E176" s="280">
        <f t="shared" ca="1" si="45"/>
        <v>1319287.2874243492</v>
      </c>
      <c r="F176" s="280">
        <f ca="1">IF(AND(A175="",A177=""),"",IF(A176="",SUM($F$25:F175),IF(A176=$D$8,$E$24-SUM($F$25:F175),$F$13-G176)))</f>
        <v>8727.6930333323344</v>
      </c>
      <c r="G176" s="280">
        <f ca="1">IF(A175=$D$8,SUM($G$25:G175),IF(A175&gt;$D$8,"",E175*D176*$F$18/T175))</f>
        <v>14504.834304363269</v>
      </c>
      <c r="H176" s="280">
        <f ca="1">IF(A175=$D$8,SUM($H$25:H175),IF(A175="","",(G176+F176)))</f>
        <v>23232.527337695603</v>
      </c>
      <c r="I176" s="280" t="str">
        <f t="shared" si="50"/>
        <v/>
      </c>
      <c r="J176" s="280" t="str">
        <f t="shared" si="51"/>
        <v/>
      </c>
      <c r="K176" s="280"/>
      <c r="L176" s="280" t="str">
        <f t="shared" si="52"/>
        <v/>
      </c>
      <c r="M176" s="280" t="str">
        <f t="shared" si="53"/>
        <v/>
      </c>
      <c r="N176" s="283" t="str">
        <f t="shared" si="48"/>
        <v/>
      </c>
      <c r="O176" s="280"/>
      <c r="P176" s="289" t="str">
        <f>IF(A175=$D$8,XIRR(R$24:R175,C$24:C175),"")</f>
        <v/>
      </c>
      <c r="Q176" s="280" t="str">
        <f t="shared" si="46"/>
        <v/>
      </c>
      <c r="R176" s="283">
        <f t="shared" ca="1" si="41"/>
        <v>23232.527337695603</v>
      </c>
      <c r="S176" s="284">
        <f t="shared" ca="1" si="42"/>
        <v>2034</v>
      </c>
      <c r="T176" s="284">
        <f t="shared" ca="1" si="43"/>
        <v>365</v>
      </c>
    </row>
    <row r="177" spans="1:20" x14ac:dyDescent="0.35">
      <c r="A177" s="285">
        <f t="shared" si="44"/>
        <v>153</v>
      </c>
      <c r="B177" s="286">
        <f t="shared" ca="1" si="54"/>
        <v>49143</v>
      </c>
      <c r="C177" s="286">
        <f t="shared" ca="1" si="47"/>
        <v>49143</v>
      </c>
      <c r="D177" s="285">
        <f t="shared" ca="1" si="49"/>
        <v>30</v>
      </c>
      <c r="E177" s="280">
        <f t="shared" ca="1" si="45"/>
        <v>1309999.445990443</v>
      </c>
      <c r="F177" s="280">
        <f ca="1">IF(AND(A176="",A178=""),"",IF(A177="",SUM($F$25:F176),IF(A177=$D$8,$E$24-SUM($F$25:F176),$F$13-G177)))</f>
        <v>9287.8414339061801</v>
      </c>
      <c r="G177" s="280">
        <f ca="1">IF(A176=$D$8,SUM($G$25:G176),IF(A176&gt;$D$8,"",E176*D177*$F$18/T176))</f>
        <v>13944.685903789423</v>
      </c>
      <c r="H177" s="280">
        <f ca="1">IF(A176=$D$8,SUM($H$25:H176),IF(A176="","",(G177+F177)))</f>
        <v>23232.527337695603</v>
      </c>
      <c r="I177" s="280" t="str">
        <f t="shared" si="50"/>
        <v/>
      </c>
      <c r="J177" s="280" t="str">
        <f t="shared" si="51"/>
        <v/>
      </c>
      <c r="K177" s="280"/>
      <c r="L177" s="280" t="str">
        <f t="shared" si="52"/>
        <v/>
      </c>
      <c r="M177" s="280" t="str">
        <f t="shared" si="53"/>
        <v/>
      </c>
      <c r="N177" s="283" t="str">
        <f t="shared" si="48"/>
        <v/>
      </c>
      <c r="O177" s="280"/>
      <c r="P177" s="289" t="str">
        <f>IF(A176=$D$8,XIRR(R$24:R176,C$24:C176),"")</f>
        <v/>
      </c>
      <c r="Q177" s="280" t="str">
        <f t="shared" si="46"/>
        <v/>
      </c>
      <c r="R177" s="283">
        <f t="shared" ca="1" si="41"/>
        <v>23232.527337695603</v>
      </c>
      <c r="S177" s="284">
        <f t="shared" ca="1" si="42"/>
        <v>2034</v>
      </c>
      <c r="T177" s="284">
        <f t="shared" ca="1" si="43"/>
        <v>365</v>
      </c>
    </row>
    <row r="178" spans="1:20" x14ac:dyDescent="0.35">
      <c r="A178" s="285">
        <f t="shared" si="44"/>
        <v>154</v>
      </c>
      <c r="B178" s="286">
        <f t="shared" ca="1" si="54"/>
        <v>49174</v>
      </c>
      <c r="C178" s="286">
        <f t="shared" ca="1" si="47"/>
        <v>49174</v>
      </c>
      <c r="D178" s="285">
        <f t="shared" ca="1" si="49"/>
        <v>31</v>
      </c>
      <c r="E178" s="280">
        <f t="shared" ca="1" si="45"/>
        <v>1301074.9838346255</v>
      </c>
      <c r="F178" s="280">
        <f ca="1">IF(AND(A177="",A179=""),"",IF(A178="",SUM($F$25:F177),IF(A178=$D$8,$E$24-SUM($F$25:F177),$F$13-G178)))</f>
        <v>8924.4621558175222</v>
      </c>
      <c r="G178" s="280">
        <f ca="1">IF(A177=$D$8,SUM($G$25:G177),IF(A177&gt;$D$8,"",E177*D178*$F$18/T177))</f>
        <v>14308.065181878081</v>
      </c>
      <c r="H178" s="280">
        <f ca="1">IF(A177=$D$8,SUM($H$25:H177),IF(A177="","",(G178+F178)))</f>
        <v>23232.527337695603</v>
      </c>
      <c r="I178" s="280" t="str">
        <f t="shared" si="50"/>
        <v/>
      </c>
      <c r="J178" s="280" t="str">
        <f t="shared" si="51"/>
        <v/>
      </c>
      <c r="K178" s="280"/>
      <c r="L178" s="280" t="str">
        <f t="shared" si="52"/>
        <v/>
      </c>
      <c r="M178" s="280" t="str">
        <f t="shared" si="53"/>
        <v/>
      </c>
      <c r="N178" s="283" t="str">
        <f t="shared" si="48"/>
        <v/>
      </c>
      <c r="O178" s="280"/>
      <c r="P178" s="289" t="str">
        <f>IF(A177=$D$8,XIRR(R$24:R177,C$24:C177),"")</f>
        <v/>
      </c>
      <c r="Q178" s="280" t="str">
        <f t="shared" si="46"/>
        <v/>
      </c>
      <c r="R178" s="283">
        <f t="shared" ca="1" si="41"/>
        <v>23232.527337695603</v>
      </c>
      <c r="S178" s="284">
        <f t="shared" ca="1" si="42"/>
        <v>2034</v>
      </c>
      <c r="T178" s="284">
        <f t="shared" ca="1" si="43"/>
        <v>365</v>
      </c>
    </row>
    <row r="179" spans="1:20" x14ac:dyDescent="0.35">
      <c r="A179" s="285">
        <f t="shared" si="44"/>
        <v>155</v>
      </c>
      <c r="B179" s="286">
        <f t="shared" ca="1" si="54"/>
        <v>49205</v>
      </c>
      <c r="C179" s="286">
        <f t="shared" ca="1" si="47"/>
        <v>49205</v>
      </c>
      <c r="D179" s="285">
        <f t="shared" ca="1" si="49"/>
        <v>31</v>
      </c>
      <c r="E179" s="280">
        <f t="shared" ca="1" si="45"/>
        <v>1292053.0469916014</v>
      </c>
      <c r="F179" s="280">
        <f ca="1">IF(AND(A178="",A180=""),"",IF(A179="",SUM($F$25:F178),IF(A179=$D$8,$E$24-SUM($F$25:F178),$F$13-G179)))</f>
        <v>9021.9368430240465</v>
      </c>
      <c r="G179" s="280">
        <f ca="1">IF(A178=$D$8,SUM($G$25:G178),IF(A178&gt;$D$8,"",E178*D179*$F$18/T178))</f>
        <v>14210.590494671556</v>
      </c>
      <c r="H179" s="280">
        <f ca="1">IF(A178=$D$8,SUM($H$25:H178),IF(A178="","",(G179+F179)))</f>
        <v>23232.527337695603</v>
      </c>
      <c r="I179" s="280" t="str">
        <f t="shared" si="50"/>
        <v/>
      </c>
      <c r="J179" s="280" t="str">
        <f t="shared" si="51"/>
        <v/>
      </c>
      <c r="K179" s="280"/>
      <c r="L179" s="280" t="str">
        <f t="shared" si="52"/>
        <v/>
      </c>
      <c r="M179" s="280" t="str">
        <f t="shared" si="53"/>
        <v/>
      </c>
      <c r="N179" s="283" t="str">
        <f t="shared" si="48"/>
        <v/>
      </c>
      <c r="O179" s="280"/>
      <c r="P179" s="289" t="str">
        <f>IF(A178=$D$8,XIRR(R$24:R178,C$24:C178),"")</f>
        <v/>
      </c>
      <c r="Q179" s="280" t="str">
        <f t="shared" si="46"/>
        <v/>
      </c>
      <c r="R179" s="283">
        <f t="shared" ca="1" si="41"/>
        <v>23232.527337695603</v>
      </c>
      <c r="S179" s="284">
        <f t="shared" ca="1" si="42"/>
        <v>2034</v>
      </c>
      <c r="T179" s="284">
        <f t="shared" ca="1" si="43"/>
        <v>365</v>
      </c>
    </row>
    <row r="180" spans="1:20" x14ac:dyDescent="0.35">
      <c r="A180" s="285">
        <f t="shared" si="44"/>
        <v>156</v>
      </c>
      <c r="B180" s="286">
        <f t="shared" ca="1" si="54"/>
        <v>49235</v>
      </c>
      <c r="C180" s="286">
        <f t="shared" ca="1" si="47"/>
        <v>49235</v>
      </c>
      <c r="D180" s="285">
        <f t="shared" ca="1" si="49"/>
        <v>30</v>
      </c>
      <c r="E180" s="280">
        <f t="shared" ca="1" si="45"/>
        <v>1282477.343367039</v>
      </c>
      <c r="F180" s="280">
        <f ca="1">IF(AND(A179="",A181=""),"",IF(A180="",SUM($F$25:F179),IF(A180=$D$8,$E$24-SUM($F$25:F179),$F$13-G180)))</f>
        <v>9575.7036245624586</v>
      </c>
      <c r="G180" s="280">
        <f ca="1">IF(A179=$D$8,SUM($G$25:G179),IF(A179&gt;$D$8,"",E179*D180*$F$18/T179))</f>
        <v>13656.823713133144</v>
      </c>
      <c r="H180" s="280">
        <f ca="1">IF(A179=$D$8,SUM($H$25:H179),IF(A179="","",(G180+F180)))</f>
        <v>23232.527337695603</v>
      </c>
      <c r="I180" s="280" t="str">
        <f t="shared" si="50"/>
        <v/>
      </c>
      <c r="J180" s="280" t="str">
        <f t="shared" si="51"/>
        <v/>
      </c>
      <c r="K180" s="280"/>
      <c r="L180" s="280" t="str">
        <f t="shared" si="52"/>
        <v/>
      </c>
      <c r="M180" s="280" t="str">
        <f t="shared" si="53"/>
        <v/>
      </c>
      <c r="N180" s="283" t="str">
        <f t="shared" si="48"/>
        <v/>
      </c>
      <c r="O180" s="280"/>
      <c r="P180" s="289" t="str">
        <f>IF(A179=$D$8,XIRR(R$24:R179,C$24:C179),"")</f>
        <v/>
      </c>
      <c r="Q180" s="280" t="str">
        <f t="shared" si="46"/>
        <v/>
      </c>
      <c r="R180" s="283">
        <f t="shared" ca="1" si="41"/>
        <v>23232.527337695603</v>
      </c>
      <c r="S180" s="284">
        <f t="shared" ca="1" si="42"/>
        <v>2034</v>
      </c>
      <c r="T180" s="284">
        <f t="shared" ca="1" si="43"/>
        <v>365</v>
      </c>
    </row>
    <row r="181" spans="1:20" x14ac:dyDescent="0.35">
      <c r="A181" s="285">
        <f t="shared" si="44"/>
        <v>157</v>
      </c>
      <c r="B181" s="286">
        <f t="shared" ca="1" si="54"/>
        <v>49266</v>
      </c>
      <c r="C181" s="286">
        <f t="shared" ca="1" si="47"/>
        <v>49266</v>
      </c>
      <c r="D181" s="285">
        <f t="shared" ca="1" si="49"/>
        <v>31</v>
      </c>
      <c r="E181" s="280">
        <f t="shared" ca="1" si="45"/>
        <v>1273252.2795281571</v>
      </c>
      <c r="F181" s="280">
        <f ca="1">IF(AND(A180="",A182=""),"",IF(A181="",SUM($F$25:F180),IF(A181=$D$8,$E$24-SUM($F$25:F180),$F$13-G181)))</f>
        <v>9225.0638388818043</v>
      </c>
      <c r="G181" s="280">
        <f ca="1">IF(A180=$D$8,SUM($G$25:G180),IF(A180&gt;$D$8,"",E180*D181*$F$18/T180))</f>
        <v>14007.463498813799</v>
      </c>
      <c r="H181" s="280">
        <f ca="1">IF(A180=$D$8,SUM($H$25:H180),IF(A180="","",(G181+F181)))</f>
        <v>23232.527337695603</v>
      </c>
      <c r="I181" s="280" t="str">
        <f t="shared" si="50"/>
        <v/>
      </c>
      <c r="J181" s="280" t="str">
        <f t="shared" si="51"/>
        <v/>
      </c>
      <c r="K181" s="280">
        <f>IF($F$8&gt;156,($O$8+$O$10),IF($A$180=$F$8,$K$24*$G$8,""))</f>
        <v>7500</v>
      </c>
      <c r="L181" s="280" t="str">
        <f t="shared" si="52"/>
        <v/>
      </c>
      <c r="M181" s="280" t="str">
        <f t="shared" si="53"/>
        <v/>
      </c>
      <c r="N181" s="280">
        <f>IF($F$8&gt;156,($N$14),IF(A180=$F$8,N169+N157+N145+N133+N121+N109+N97+N85+N73+N61+N49+N37+N24,""))</f>
        <v>0</v>
      </c>
      <c r="O181" s="280"/>
      <c r="P181" s="289" t="str">
        <f>IF(A180=$D$8,XIRR(R$24:R180,C$24:C180),"")</f>
        <v/>
      </c>
      <c r="Q181" s="280" t="str">
        <f t="shared" si="46"/>
        <v/>
      </c>
      <c r="R181" s="283">
        <f t="shared" ca="1" si="41"/>
        <v>30732.527337695603</v>
      </c>
      <c r="S181" s="284">
        <f t="shared" ca="1" si="42"/>
        <v>2034</v>
      </c>
      <c r="T181" s="284">
        <f t="shared" ca="1" si="43"/>
        <v>365</v>
      </c>
    </row>
    <row r="182" spans="1:20" x14ac:dyDescent="0.35">
      <c r="A182" s="285">
        <f t="shared" si="44"/>
        <v>158</v>
      </c>
      <c r="B182" s="286">
        <f t="shared" ca="1" si="54"/>
        <v>49296</v>
      </c>
      <c r="C182" s="286">
        <f t="shared" ca="1" si="47"/>
        <v>49296</v>
      </c>
      <c r="D182" s="285">
        <f t="shared" ca="1" si="49"/>
        <v>30</v>
      </c>
      <c r="E182" s="280">
        <f t="shared" ca="1" si="45"/>
        <v>1263477.8543669537</v>
      </c>
      <c r="F182" s="280">
        <f ca="1">IF(AND(A181="",A183=""),"",IF(A182="",SUM($F$25:F181),IF(A182=$D$8,$E$24-SUM($F$25:F181),$F$13-G182)))</f>
        <v>9774.4251612034641</v>
      </c>
      <c r="G182" s="280">
        <f ca="1">IF(A181=$D$8,SUM($G$25:G181),IF(A181&gt;$D$8,"",E181*D182*$F$18/T181))</f>
        <v>13458.102176492139</v>
      </c>
      <c r="H182" s="280">
        <f ca="1">IF(A181=$D$8,SUM($H$25:H181),IF(A181="","",(G182+F182)))</f>
        <v>23232.527337695603</v>
      </c>
      <c r="I182" s="280" t="str">
        <f t="shared" si="50"/>
        <v/>
      </c>
      <c r="J182" s="280" t="str">
        <f t="shared" si="51"/>
        <v/>
      </c>
      <c r="K182" s="280"/>
      <c r="L182" s="280" t="str">
        <f t="shared" si="52"/>
        <v/>
      </c>
      <c r="M182" s="280" t="str">
        <f t="shared" si="53"/>
        <v/>
      </c>
      <c r="N182" s="283" t="str">
        <f t="shared" si="48"/>
        <v/>
      </c>
      <c r="O182" s="280"/>
      <c r="P182" s="289" t="str">
        <f>IF(A181=$D$8,XIRR(R$24:R181,C$24:C181),"")</f>
        <v/>
      </c>
      <c r="Q182" s="280" t="str">
        <f t="shared" si="46"/>
        <v/>
      </c>
      <c r="R182" s="283">
        <f t="shared" ca="1" si="41"/>
        <v>23232.527337695603</v>
      </c>
      <c r="S182" s="284">
        <f t="shared" ca="1" si="42"/>
        <v>2034</v>
      </c>
      <c r="T182" s="284">
        <f t="shared" ca="1" si="43"/>
        <v>365</v>
      </c>
    </row>
    <row r="183" spans="1:20" x14ac:dyDescent="0.35">
      <c r="A183" s="285">
        <f t="shared" si="44"/>
        <v>159</v>
      </c>
      <c r="B183" s="286">
        <f t="shared" ca="1" si="54"/>
        <v>49327</v>
      </c>
      <c r="C183" s="286">
        <f t="shared" ca="1" si="47"/>
        <v>49327</v>
      </c>
      <c r="D183" s="285">
        <f t="shared" ca="1" si="49"/>
        <v>31</v>
      </c>
      <c r="E183" s="280">
        <f t="shared" ca="1" si="45"/>
        <v>1254045.2744654755</v>
      </c>
      <c r="F183" s="280">
        <f ca="1">IF(AND(A182="",A184=""),"",IF(A183="",SUM($F$25:F182),IF(A183=$D$8,$E$24-SUM($F$25:F182),$F$13-G183)))</f>
        <v>9432.5799014783479</v>
      </c>
      <c r="G183" s="280">
        <f ca="1">IF(A182=$D$8,SUM($G$25:G182),IF(A182&gt;$D$8,"",E182*D183*$F$18/T182))</f>
        <v>13799.947436217255</v>
      </c>
      <c r="H183" s="280">
        <f ca="1">IF(A182=$D$8,SUM($H$25:H182),IF(A182="","",(G183+F183)))</f>
        <v>23232.527337695603</v>
      </c>
      <c r="I183" s="280" t="str">
        <f t="shared" si="50"/>
        <v/>
      </c>
      <c r="J183" s="280" t="str">
        <f t="shared" si="51"/>
        <v/>
      </c>
      <c r="K183" s="280"/>
      <c r="L183" s="280" t="str">
        <f t="shared" si="52"/>
        <v/>
      </c>
      <c r="M183" s="280" t="str">
        <f t="shared" si="53"/>
        <v/>
      </c>
      <c r="N183" s="283" t="str">
        <f t="shared" si="48"/>
        <v/>
      </c>
      <c r="O183" s="280"/>
      <c r="P183" s="289" t="str">
        <f>IF(A182=$D$8,XIRR(R$24:R182,C$24:C182),"")</f>
        <v/>
      </c>
      <c r="Q183" s="280" t="str">
        <f t="shared" si="46"/>
        <v/>
      </c>
      <c r="R183" s="283">
        <f t="shared" ca="1" si="41"/>
        <v>23232.527337695603</v>
      </c>
      <c r="S183" s="284">
        <f t="shared" ca="1" si="42"/>
        <v>2035</v>
      </c>
      <c r="T183" s="284">
        <f t="shared" ca="1" si="43"/>
        <v>365</v>
      </c>
    </row>
    <row r="184" spans="1:20" x14ac:dyDescent="0.35">
      <c r="A184" s="285">
        <f t="shared" si="44"/>
        <v>160</v>
      </c>
      <c r="B184" s="286">
        <f t="shared" ca="1" si="54"/>
        <v>49358</v>
      </c>
      <c r="C184" s="286">
        <f t="shared" ca="1" si="47"/>
        <v>49358</v>
      </c>
      <c r="D184" s="285">
        <f t="shared" ca="1" si="49"/>
        <v>31</v>
      </c>
      <c r="E184" s="280">
        <f t="shared" ca="1" si="45"/>
        <v>1244509.6701173251</v>
      </c>
      <c r="F184" s="280">
        <f ca="1">IF(AND(A183="",A185=""),"",IF(A184="",SUM($F$25:F183),IF(A184=$D$8,$E$24-SUM($F$25:F183),$F$13-G184)))</f>
        <v>9535.6043481502238</v>
      </c>
      <c r="G184" s="280">
        <f ca="1">IF(A183=$D$8,SUM($G$25:G183),IF(A183&gt;$D$8,"",E183*D184*$F$18/T183))</f>
        <v>13696.922989545379</v>
      </c>
      <c r="H184" s="280">
        <f ca="1">IF(A183=$D$8,SUM($H$25:H183),IF(A183="","",(G184+F184)))</f>
        <v>23232.527337695603</v>
      </c>
      <c r="I184" s="280" t="str">
        <f t="shared" si="50"/>
        <v/>
      </c>
      <c r="J184" s="280" t="str">
        <f t="shared" si="51"/>
        <v/>
      </c>
      <c r="K184" s="280"/>
      <c r="L184" s="280" t="str">
        <f t="shared" si="52"/>
        <v/>
      </c>
      <c r="M184" s="280" t="str">
        <f t="shared" si="53"/>
        <v/>
      </c>
      <c r="N184" s="283" t="str">
        <f t="shared" si="48"/>
        <v/>
      </c>
      <c r="O184" s="280"/>
      <c r="P184" s="289" t="str">
        <f>IF(A183=$D$8,XIRR(R$24:R183,C$24:C183),"")</f>
        <v/>
      </c>
      <c r="Q184" s="280" t="str">
        <f t="shared" si="46"/>
        <v/>
      </c>
      <c r="R184" s="283">
        <f t="shared" ca="1" si="41"/>
        <v>23232.527337695603</v>
      </c>
      <c r="S184" s="284">
        <f t="shared" ca="1" si="42"/>
        <v>2035</v>
      </c>
      <c r="T184" s="284">
        <f t="shared" ca="1" si="43"/>
        <v>365</v>
      </c>
    </row>
    <row r="185" spans="1:20" x14ac:dyDescent="0.35">
      <c r="A185" s="285">
        <f t="shared" si="44"/>
        <v>161</v>
      </c>
      <c r="B185" s="286">
        <f t="shared" ca="1" si="54"/>
        <v>49386</v>
      </c>
      <c r="C185" s="286">
        <f t="shared" ca="1" si="47"/>
        <v>49386</v>
      </c>
      <c r="D185" s="285">
        <f t="shared" ca="1" si="49"/>
        <v>28</v>
      </c>
      <c r="E185" s="280">
        <f t="shared" ca="1" si="45"/>
        <v>1233554.486396502</v>
      </c>
      <c r="F185" s="280">
        <f ca="1">IF(AND(A184="",A186=""),"",IF(A185="",SUM($F$25:F184),IF(A185=$D$8,$E$24-SUM($F$25:F184),$F$13-G185)))</f>
        <v>10955.183720823101</v>
      </c>
      <c r="G185" s="280">
        <f ca="1">IF(A184=$D$8,SUM($G$25:G184),IF(A184&gt;$D$8,"",E184*D185*$F$18/T184))</f>
        <v>12277.343616872502</v>
      </c>
      <c r="H185" s="280">
        <f ca="1">IF(A184=$D$8,SUM($H$25:H184),IF(A184="","",(G185+F185)))</f>
        <v>23232.527337695603</v>
      </c>
      <c r="I185" s="280" t="str">
        <f t="shared" si="50"/>
        <v/>
      </c>
      <c r="J185" s="280" t="str">
        <f t="shared" si="51"/>
        <v/>
      </c>
      <c r="K185" s="280"/>
      <c r="L185" s="280" t="str">
        <f t="shared" si="52"/>
        <v/>
      </c>
      <c r="M185" s="280" t="str">
        <f t="shared" si="53"/>
        <v/>
      </c>
      <c r="N185" s="283" t="str">
        <f t="shared" si="48"/>
        <v/>
      </c>
      <c r="O185" s="280"/>
      <c r="P185" s="289" t="str">
        <f>IF(A184=$D$8,XIRR(R$24:R184,C$24:C184),"")</f>
        <v/>
      </c>
      <c r="Q185" s="280" t="str">
        <f t="shared" si="46"/>
        <v/>
      </c>
      <c r="R185" s="283">
        <f t="shared" ca="1" si="41"/>
        <v>23232.527337695603</v>
      </c>
      <c r="S185" s="284">
        <f t="shared" ca="1" si="42"/>
        <v>2035</v>
      </c>
      <c r="T185" s="284">
        <f t="shared" ca="1" si="43"/>
        <v>365</v>
      </c>
    </row>
    <row r="186" spans="1:20" x14ac:dyDescent="0.35">
      <c r="A186" s="285">
        <f t="shared" si="44"/>
        <v>162</v>
      </c>
      <c r="B186" s="286">
        <f t="shared" ca="1" si="54"/>
        <v>49417</v>
      </c>
      <c r="C186" s="286">
        <f t="shared" ca="1" si="47"/>
        <v>49417</v>
      </c>
      <c r="D186" s="285">
        <f t="shared" ca="1" si="49"/>
        <v>31</v>
      </c>
      <c r="E186" s="280">
        <f t="shared" ca="1" si="45"/>
        <v>1223795.0777313223</v>
      </c>
      <c r="F186" s="280">
        <f ca="1">IF(AND(A185="",A187=""),"",IF(A186="",SUM($F$25:F185),IF(A186=$D$8,$E$24-SUM($F$25:F185),$F$13-G186)))</f>
        <v>9759.4086651797279</v>
      </c>
      <c r="G186" s="280">
        <f ca="1">IF(A185=$D$8,SUM($G$25:G185),IF(A185&gt;$D$8,"",E185*D186*$F$18/T185))</f>
        <v>13473.118672515875</v>
      </c>
      <c r="H186" s="280">
        <f ca="1">IF(A185=$D$8,SUM($H$25:H185),IF(A185="","",(G186+F186)))</f>
        <v>23232.527337695603</v>
      </c>
      <c r="I186" s="280" t="str">
        <f t="shared" si="50"/>
        <v/>
      </c>
      <c r="J186" s="280" t="str">
        <f t="shared" si="51"/>
        <v/>
      </c>
      <c r="K186" s="280"/>
      <c r="L186" s="280" t="str">
        <f t="shared" si="52"/>
        <v/>
      </c>
      <c r="M186" s="280" t="str">
        <f t="shared" si="53"/>
        <v/>
      </c>
      <c r="N186" s="283" t="str">
        <f t="shared" si="48"/>
        <v/>
      </c>
      <c r="O186" s="280"/>
      <c r="P186" s="289" t="str">
        <f>IF(A185=$D$8,XIRR(R$24:R185,C$24:C185),"")</f>
        <v/>
      </c>
      <c r="Q186" s="280" t="str">
        <f t="shared" si="46"/>
        <v/>
      </c>
      <c r="R186" s="283">
        <f t="shared" ca="1" si="41"/>
        <v>23232.527337695603</v>
      </c>
      <c r="S186" s="284">
        <f t="shared" ca="1" si="42"/>
        <v>2035</v>
      </c>
      <c r="T186" s="284">
        <f t="shared" ca="1" si="43"/>
        <v>365</v>
      </c>
    </row>
    <row r="187" spans="1:20" x14ac:dyDescent="0.35">
      <c r="A187" s="285">
        <f t="shared" si="44"/>
        <v>163</v>
      </c>
      <c r="B187" s="286">
        <f t="shared" ca="1" si="54"/>
        <v>49447</v>
      </c>
      <c r="C187" s="286">
        <f t="shared" ca="1" si="47"/>
        <v>49447</v>
      </c>
      <c r="D187" s="285">
        <f t="shared" ca="1" si="49"/>
        <v>30</v>
      </c>
      <c r="E187" s="280">
        <f t="shared" ca="1" si="45"/>
        <v>1213497.8967220853</v>
      </c>
      <c r="F187" s="280">
        <f ca="1">IF(AND(A186="",A188=""),"",IF(A187="",SUM($F$25:F186),IF(A187=$D$8,$E$24-SUM($F$25:F186),$F$13-G187)))</f>
        <v>10297.181009236861</v>
      </c>
      <c r="G187" s="280">
        <f ca="1">IF(A186=$D$8,SUM($G$25:G186),IF(A186&gt;$D$8,"",E186*D187*$F$18/T186))</f>
        <v>12935.346328458741</v>
      </c>
      <c r="H187" s="280">
        <f ca="1">IF(A186=$D$8,SUM($H$25:H186),IF(A186="","",(G187+F187)))</f>
        <v>23232.527337695603</v>
      </c>
      <c r="I187" s="280" t="str">
        <f t="shared" si="50"/>
        <v/>
      </c>
      <c r="J187" s="280" t="str">
        <f t="shared" si="51"/>
        <v/>
      </c>
      <c r="K187" s="280"/>
      <c r="L187" s="280" t="str">
        <f t="shared" si="52"/>
        <v/>
      </c>
      <c r="M187" s="280" t="str">
        <f t="shared" si="53"/>
        <v/>
      </c>
      <c r="N187" s="283" t="str">
        <f t="shared" si="48"/>
        <v/>
      </c>
      <c r="P187" s="289" t="str">
        <f>IF(A186=$D$8,XIRR(R$24:R186,C$24:C186),"")</f>
        <v/>
      </c>
      <c r="Q187" s="280" t="str">
        <f t="shared" si="46"/>
        <v/>
      </c>
      <c r="R187" s="283">
        <f t="shared" ca="1" si="41"/>
        <v>23232.527337695603</v>
      </c>
      <c r="S187" s="284">
        <f t="shared" ca="1" si="42"/>
        <v>2035</v>
      </c>
      <c r="T187" s="284">
        <f t="shared" ca="1" si="43"/>
        <v>365</v>
      </c>
    </row>
    <row r="188" spans="1:20" x14ac:dyDescent="0.35">
      <c r="A188" s="285">
        <f t="shared" si="44"/>
        <v>164</v>
      </c>
      <c r="B188" s="286">
        <f t="shared" ca="1" si="54"/>
        <v>49478</v>
      </c>
      <c r="C188" s="286">
        <f t="shared" ca="1" si="47"/>
        <v>49478</v>
      </c>
      <c r="D188" s="285">
        <f t="shared" ca="1" si="49"/>
        <v>31</v>
      </c>
      <c r="E188" s="280">
        <f t="shared" ca="1" si="45"/>
        <v>1203519.4261380124</v>
      </c>
      <c r="F188" s="280">
        <f ca="1">IF(AND(A187="",A189=""),"",IF(A188="",SUM($F$25:F187),IF(A188=$D$8,$E$24-SUM($F$25:F187),$F$13-G188)))</f>
        <v>9978.4705840729603</v>
      </c>
      <c r="G188" s="280">
        <f ca="1">IF(A187=$D$8,SUM($G$25:G187),IF(A187&gt;$D$8,"",E187*D188*$F$18/T187))</f>
        <v>13254.056753622643</v>
      </c>
      <c r="H188" s="280">
        <f ca="1">IF(A187=$D$8,SUM($H$25:H187),IF(A187="","",(G188+F188)))</f>
        <v>23232.527337695603</v>
      </c>
      <c r="I188" s="280" t="str">
        <f t="shared" si="50"/>
        <v/>
      </c>
      <c r="J188" s="280" t="str">
        <f t="shared" si="51"/>
        <v/>
      </c>
      <c r="K188" s="280"/>
      <c r="L188" s="280" t="str">
        <f t="shared" si="52"/>
        <v/>
      </c>
      <c r="M188" s="280" t="str">
        <f t="shared" si="53"/>
        <v/>
      </c>
      <c r="N188" s="283" t="str">
        <f t="shared" si="48"/>
        <v/>
      </c>
      <c r="P188" s="289" t="str">
        <f>IF(A187=$D$8,XIRR(R$24:R187,C$24:C187),"")</f>
        <v/>
      </c>
      <c r="Q188" s="280" t="str">
        <f t="shared" si="46"/>
        <v/>
      </c>
      <c r="R188" s="283">
        <f t="shared" ca="1" si="41"/>
        <v>23232.527337695603</v>
      </c>
      <c r="S188" s="284">
        <f t="shared" ca="1" si="42"/>
        <v>2035</v>
      </c>
      <c r="T188" s="284">
        <f t="shared" ca="1" si="43"/>
        <v>365</v>
      </c>
    </row>
    <row r="189" spans="1:20" x14ac:dyDescent="0.35">
      <c r="A189" s="285">
        <f t="shared" si="44"/>
        <v>165</v>
      </c>
      <c r="B189" s="286">
        <f t="shared" ca="1" si="54"/>
        <v>49508</v>
      </c>
      <c r="C189" s="286">
        <f t="shared" ca="1" si="47"/>
        <v>49508</v>
      </c>
      <c r="D189" s="285">
        <f t="shared" ca="1" si="49"/>
        <v>30</v>
      </c>
      <c r="E189" s="280">
        <f t="shared" ca="1" si="45"/>
        <v>1193007.9342689209</v>
      </c>
      <c r="F189" s="280">
        <f ca="1">IF(AND(A188="",A190=""),"",IF(A189="",SUM($F$25:F188),IF(A189=$D$8,$E$24-SUM($F$25:F188),$F$13-G189)))</f>
        <v>10511.491869091626</v>
      </c>
      <c r="G189" s="280">
        <f ca="1">IF(A188=$D$8,SUM($G$25:G188),IF(A188&gt;$D$8,"",E188*D189*$F$18/T188))</f>
        <v>12721.035468603977</v>
      </c>
      <c r="H189" s="280">
        <f ca="1">IF(A188=$D$8,SUM($H$25:H188),IF(A188="","",(G189+F189)))</f>
        <v>23232.527337695603</v>
      </c>
      <c r="I189" s="280" t="str">
        <f t="shared" si="50"/>
        <v/>
      </c>
      <c r="J189" s="280" t="str">
        <f t="shared" si="51"/>
        <v/>
      </c>
      <c r="K189" s="280"/>
      <c r="L189" s="280" t="str">
        <f t="shared" si="52"/>
        <v/>
      </c>
      <c r="M189" s="280" t="str">
        <f t="shared" si="53"/>
        <v/>
      </c>
      <c r="N189" s="283" t="str">
        <f t="shared" si="48"/>
        <v/>
      </c>
      <c r="P189" s="289" t="str">
        <f>IF(A188=$D$8,XIRR(R$24:R188,C$24:C188),"")</f>
        <v/>
      </c>
      <c r="Q189" s="280" t="str">
        <f t="shared" si="46"/>
        <v/>
      </c>
      <c r="R189" s="283">
        <f t="shared" ca="1" si="41"/>
        <v>23232.527337695603</v>
      </c>
      <c r="S189" s="284">
        <f t="shared" ca="1" si="42"/>
        <v>2035</v>
      </c>
      <c r="T189" s="284">
        <f t="shared" ca="1" si="43"/>
        <v>365</v>
      </c>
    </row>
    <row r="190" spans="1:20" x14ac:dyDescent="0.35">
      <c r="A190" s="285">
        <f t="shared" si="44"/>
        <v>166</v>
      </c>
      <c r="B190" s="286">
        <f t="shared" ca="1" si="54"/>
        <v>49539</v>
      </c>
      <c r="C190" s="286">
        <f t="shared" ca="1" si="47"/>
        <v>49539</v>
      </c>
      <c r="D190" s="285">
        <f t="shared" ca="1" si="49"/>
        <v>31</v>
      </c>
      <c r="E190" s="280">
        <f t="shared" ca="1" si="45"/>
        <v>1182805.6683853527</v>
      </c>
      <c r="F190" s="280">
        <f ca="1">IF(AND(A189="",A191=""),"",IF(A190="",SUM($F$25:F189),IF(A190=$D$8,$E$24-SUM($F$25:F189),$F$13-G190)))</f>
        <v>10202.265883568261</v>
      </c>
      <c r="G190" s="280">
        <f ca="1">IF(A189=$D$8,SUM($G$25:G189),IF(A189&gt;$D$8,"",E189*D190*$F$18/T189))</f>
        <v>13030.261454127341</v>
      </c>
      <c r="H190" s="280">
        <f ca="1">IF(A189=$D$8,SUM($H$25:H189),IF(A189="","",(G190+F190)))</f>
        <v>23232.527337695603</v>
      </c>
      <c r="I190" s="280" t="str">
        <f t="shared" si="50"/>
        <v/>
      </c>
      <c r="J190" s="280" t="str">
        <f t="shared" si="51"/>
        <v/>
      </c>
      <c r="K190" s="280"/>
      <c r="L190" s="280" t="str">
        <f t="shared" si="52"/>
        <v/>
      </c>
      <c r="M190" s="280" t="str">
        <f t="shared" si="53"/>
        <v/>
      </c>
      <c r="N190" s="283" t="str">
        <f t="shared" si="48"/>
        <v/>
      </c>
      <c r="P190" s="289" t="str">
        <f>IF(A189=$D$8,XIRR(R$24:R189,C$24:C189),"")</f>
        <v/>
      </c>
      <c r="Q190" s="280" t="str">
        <f t="shared" si="46"/>
        <v/>
      </c>
      <c r="R190" s="283">
        <f t="shared" ca="1" si="41"/>
        <v>23232.527337695603</v>
      </c>
      <c r="S190" s="284">
        <f t="shared" ca="1" si="42"/>
        <v>2035</v>
      </c>
      <c r="T190" s="284">
        <f t="shared" ca="1" si="43"/>
        <v>365</v>
      </c>
    </row>
    <row r="191" spans="1:20" x14ac:dyDescent="0.35">
      <c r="A191" s="285">
        <f t="shared" si="44"/>
        <v>167</v>
      </c>
      <c r="B191" s="286">
        <f t="shared" ca="1" si="54"/>
        <v>49570</v>
      </c>
      <c r="C191" s="286">
        <f t="shared" ca="1" si="47"/>
        <v>49570</v>
      </c>
      <c r="D191" s="285">
        <f t="shared" ca="1" si="49"/>
        <v>31</v>
      </c>
      <c r="E191" s="280">
        <f t="shared" ca="1" si="45"/>
        <v>1172491.9713972053</v>
      </c>
      <c r="F191" s="280">
        <f ca="1">IF(AND(A190="",A192=""),"",IF(A191="",SUM($F$25:F190),IF(A191=$D$8,$E$24-SUM($F$25:F190),$F$13-G191)))</f>
        <v>10313.696988147529</v>
      </c>
      <c r="G191" s="280">
        <f ca="1">IF(A190=$D$8,SUM($G$25:G190),IF(A190&gt;$D$8,"",E190*D191*$F$18/T190))</f>
        <v>12918.830349548074</v>
      </c>
      <c r="H191" s="280">
        <f ca="1">IF(A190=$D$8,SUM($H$25:H190),IF(A190="","",(G191+F191)))</f>
        <v>23232.527337695603</v>
      </c>
      <c r="I191" s="280" t="str">
        <f t="shared" si="50"/>
        <v/>
      </c>
      <c r="J191" s="280" t="str">
        <f t="shared" si="51"/>
        <v/>
      </c>
      <c r="K191" s="280"/>
      <c r="L191" s="280" t="str">
        <f t="shared" si="52"/>
        <v/>
      </c>
      <c r="M191" s="280" t="str">
        <f t="shared" si="53"/>
        <v/>
      </c>
      <c r="N191" s="283" t="str">
        <f t="shared" si="48"/>
        <v/>
      </c>
      <c r="P191" s="289" t="str">
        <f>IF(A190=$D$8,XIRR(R$24:R190,C$24:C190),"")</f>
        <v/>
      </c>
      <c r="Q191" s="280" t="str">
        <f t="shared" si="46"/>
        <v/>
      </c>
      <c r="R191" s="283">
        <f t="shared" ca="1" si="41"/>
        <v>23232.527337695603</v>
      </c>
      <c r="S191" s="284">
        <f t="shared" ca="1" si="42"/>
        <v>2035</v>
      </c>
      <c r="T191" s="284">
        <f t="shared" ca="1" si="43"/>
        <v>365</v>
      </c>
    </row>
    <row r="192" spans="1:20" x14ac:dyDescent="0.35">
      <c r="A192" s="285">
        <f t="shared" si="44"/>
        <v>168</v>
      </c>
      <c r="B192" s="286">
        <f t="shared" ca="1" si="54"/>
        <v>49600</v>
      </c>
      <c r="C192" s="286">
        <f t="shared" ca="1" si="47"/>
        <v>49600</v>
      </c>
      <c r="D192" s="285">
        <f t="shared" ca="1" si="49"/>
        <v>30</v>
      </c>
      <c r="E192" s="280">
        <f t="shared" ca="1" si="45"/>
        <v>1161652.5235818396</v>
      </c>
      <c r="F192" s="280">
        <f ca="1">IF(AND(A191="",A193=""),"",IF(A192="",SUM($F$25:F191),IF(A192=$D$8,$E$24-SUM($F$25:F191),$F$13-G192)))</f>
        <v>10839.447815365693</v>
      </c>
      <c r="G192" s="280">
        <f ca="1">IF(A191=$D$8,SUM($G$25:G191),IF(A191&gt;$D$8,"",E191*D192*$F$18/T191))</f>
        <v>12393.07952232991</v>
      </c>
      <c r="H192" s="280">
        <f ca="1">IF(A191=$D$8,SUM($H$25:H191),IF(A191="","",(G192+F192)))</f>
        <v>23232.527337695603</v>
      </c>
      <c r="I192" s="280" t="str">
        <f t="shared" si="50"/>
        <v/>
      </c>
      <c r="J192" s="280" t="str">
        <f t="shared" si="51"/>
        <v/>
      </c>
      <c r="K192" s="280"/>
      <c r="L192" s="280" t="str">
        <f t="shared" si="52"/>
        <v/>
      </c>
      <c r="M192" s="280" t="str">
        <f t="shared" si="53"/>
        <v/>
      </c>
      <c r="N192" s="283" t="str">
        <f t="shared" si="48"/>
        <v/>
      </c>
      <c r="P192" s="289" t="str">
        <f>IF(A191=$D$8,XIRR(R$24:R191,C$24:C191),"")</f>
        <v/>
      </c>
      <c r="Q192" s="280" t="str">
        <f t="shared" si="46"/>
        <v/>
      </c>
      <c r="R192" s="283">
        <f t="shared" ca="1" si="41"/>
        <v>23232.527337695603</v>
      </c>
      <c r="S192" s="284">
        <f t="shared" ca="1" si="42"/>
        <v>2035</v>
      </c>
      <c r="T192" s="284">
        <f t="shared" ca="1" si="43"/>
        <v>365</v>
      </c>
    </row>
    <row r="193" spans="1:20" x14ac:dyDescent="0.35">
      <c r="A193" s="285">
        <f t="shared" si="44"/>
        <v>169</v>
      </c>
      <c r="B193" s="286">
        <f t="shared" ca="1" si="54"/>
        <v>49631</v>
      </c>
      <c r="C193" s="286">
        <f t="shared" ca="1" si="47"/>
        <v>49631</v>
      </c>
      <c r="D193" s="285">
        <f t="shared" ca="1" si="49"/>
        <v>31</v>
      </c>
      <c r="E193" s="280">
        <f t="shared" ca="1" si="45"/>
        <v>1151107.7878893807</v>
      </c>
      <c r="F193" s="280">
        <f ca="1">IF(AND(A192="",A194=""),"",IF(A193="",SUM($F$25:F192),IF(A193=$D$8,$E$24-SUM($F$25:F192),$F$13-G193)))</f>
        <v>10544.735692458997</v>
      </c>
      <c r="G193" s="280">
        <f ca="1">IF(A192=$D$8,SUM($G$25:G192),IF(A192&gt;$D$8,"",E192*D193*$F$18/T192))</f>
        <v>12687.791645236606</v>
      </c>
      <c r="H193" s="280">
        <f ca="1">IF(A192=$D$8,SUM($H$25:H192),IF(A192="","",(G193+F193)))</f>
        <v>23232.527337695603</v>
      </c>
      <c r="I193" s="280" t="str">
        <f t="shared" si="50"/>
        <v/>
      </c>
      <c r="J193" s="280" t="str">
        <f t="shared" si="51"/>
        <v/>
      </c>
      <c r="K193" s="280">
        <f>IF($F$8&gt;168,($O$8+$O$10),IF($A$192=$F$8,$K$24*$G$8,""))</f>
        <v>7500</v>
      </c>
      <c r="L193" s="280" t="str">
        <f t="shared" si="52"/>
        <v/>
      </c>
      <c r="M193" s="280" t="str">
        <f t="shared" si="53"/>
        <v/>
      </c>
      <c r="N193" s="280">
        <f>IF($F$8&gt;168,($N$14),IF(A192=$F$8,N181+N169+N157+N145+N133+N121+N109+N97+N85+N73+N61+N49+N37+N24,""))</f>
        <v>0</v>
      </c>
      <c r="P193" s="289" t="str">
        <f>IF(A192=$D$8,XIRR(R$24:R192,C$24:C192),"")</f>
        <v/>
      </c>
      <c r="Q193" s="280" t="str">
        <f t="shared" si="46"/>
        <v/>
      </c>
      <c r="R193" s="283">
        <f t="shared" ca="1" si="41"/>
        <v>30732.527337695603</v>
      </c>
      <c r="S193" s="284">
        <f t="shared" ca="1" si="42"/>
        <v>2035</v>
      </c>
      <c r="T193" s="284">
        <f t="shared" ca="1" si="43"/>
        <v>365</v>
      </c>
    </row>
    <row r="194" spans="1:20" x14ac:dyDescent="0.35">
      <c r="A194" s="285">
        <f t="shared" si="44"/>
        <v>170</v>
      </c>
      <c r="B194" s="286">
        <f t="shared" ca="1" si="54"/>
        <v>49661</v>
      </c>
      <c r="C194" s="286">
        <f t="shared" ca="1" si="47"/>
        <v>49661</v>
      </c>
      <c r="D194" s="285">
        <f t="shared" ca="1" si="49"/>
        <v>30</v>
      </c>
      <c r="E194" s="280">
        <f t="shared" ca="1" si="45"/>
        <v>1140042.3121836775</v>
      </c>
      <c r="F194" s="280">
        <f ca="1">IF(AND(A193="",A195=""),"",IF(A194="",SUM($F$25:F193),IF(A194=$D$8,$E$24-SUM($F$25:F193),$F$13-G194)))</f>
        <v>11065.475705703191</v>
      </c>
      <c r="G194" s="280">
        <f ca="1">IF(A193=$D$8,SUM($G$25:G193),IF(A193&gt;$D$8,"",E193*D194*$F$18/T193))</f>
        <v>12167.051631992412</v>
      </c>
      <c r="H194" s="280">
        <f ca="1">IF(A193=$D$8,SUM($H$25:H193),IF(A193="","",(G194+F194)))</f>
        <v>23232.527337695603</v>
      </c>
      <c r="I194" s="280" t="str">
        <f t="shared" si="50"/>
        <v/>
      </c>
      <c r="J194" s="280" t="str">
        <f t="shared" si="51"/>
        <v/>
      </c>
      <c r="K194" s="280"/>
      <c r="L194" s="280" t="str">
        <f t="shared" si="52"/>
        <v/>
      </c>
      <c r="M194" s="280" t="str">
        <f t="shared" si="53"/>
        <v/>
      </c>
      <c r="N194" s="283" t="str">
        <f t="shared" si="48"/>
        <v/>
      </c>
      <c r="P194" s="289" t="str">
        <f>IF(A193=$D$8,XIRR(R$24:R193,C$24:C193),"")</f>
        <v/>
      </c>
      <c r="Q194" s="280" t="str">
        <f t="shared" si="46"/>
        <v/>
      </c>
      <c r="R194" s="283">
        <f t="shared" ca="1" si="41"/>
        <v>23232.527337695603</v>
      </c>
      <c r="S194" s="284">
        <f t="shared" ca="1" si="42"/>
        <v>2035</v>
      </c>
      <c r="T194" s="284">
        <f t="shared" ca="1" si="43"/>
        <v>365</v>
      </c>
    </row>
    <row r="195" spans="1:20" x14ac:dyDescent="0.35">
      <c r="A195" s="285">
        <f t="shared" si="44"/>
        <v>171</v>
      </c>
      <c r="B195" s="286">
        <f t="shared" ca="1" si="54"/>
        <v>49692</v>
      </c>
      <c r="C195" s="286">
        <f t="shared" ca="1" si="47"/>
        <v>49692</v>
      </c>
      <c r="D195" s="285">
        <f t="shared" ca="1" si="49"/>
        <v>31</v>
      </c>
      <c r="E195" s="280">
        <f t="shared" ca="1" si="45"/>
        <v>1129261.5456179036</v>
      </c>
      <c r="F195" s="280">
        <f ca="1">IF(AND(A194="",A196=""),"",IF(A195="",SUM($F$25:F194),IF(A195=$D$8,$E$24-SUM($F$25:F194),$F$13-G195)))</f>
        <v>10780.766565773829</v>
      </c>
      <c r="G195" s="280">
        <f ca="1">IF(A194=$D$8,SUM($G$25:G194),IF(A194&gt;$D$8,"",E194*D195*$F$18/T194))</f>
        <v>12451.760771921774</v>
      </c>
      <c r="H195" s="280">
        <f ca="1">IF(A194=$D$8,SUM($H$25:H194),IF(A194="","",(G195+F195)))</f>
        <v>23232.527337695603</v>
      </c>
      <c r="I195" s="280" t="str">
        <f t="shared" si="50"/>
        <v/>
      </c>
      <c r="J195" s="280" t="str">
        <f t="shared" si="51"/>
        <v/>
      </c>
      <c r="K195" s="280"/>
      <c r="L195" s="280" t="str">
        <f t="shared" si="52"/>
        <v/>
      </c>
      <c r="M195" s="280" t="str">
        <f t="shared" si="53"/>
        <v/>
      </c>
      <c r="N195" s="283" t="str">
        <f t="shared" si="48"/>
        <v/>
      </c>
      <c r="P195" s="289" t="str">
        <f>IF(A194=$D$8,XIRR(R$24:R194,C$24:C194),"")</f>
        <v/>
      </c>
      <c r="Q195" s="280" t="str">
        <f t="shared" si="46"/>
        <v/>
      </c>
      <c r="R195" s="283">
        <f t="shared" ca="1" si="41"/>
        <v>23232.527337695603</v>
      </c>
      <c r="S195" s="284">
        <f t="shared" ca="1" si="42"/>
        <v>2036</v>
      </c>
      <c r="T195" s="284">
        <f t="shared" ca="1" si="43"/>
        <v>366</v>
      </c>
    </row>
    <row r="196" spans="1:20" x14ac:dyDescent="0.35">
      <c r="A196" s="285">
        <f t="shared" si="44"/>
        <v>172</v>
      </c>
      <c r="B196" s="286">
        <f t="shared" ca="1" si="54"/>
        <v>49723</v>
      </c>
      <c r="C196" s="286">
        <f t="shared" ca="1" si="47"/>
        <v>49723</v>
      </c>
      <c r="D196" s="285">
        <f t="shared" ca="1" si="49"/>
        <v>31</v>
      </c>
      <c r="E196" s="280">
        <f t="shared" ca="1" si="45"/>
        <v>1118329.3299680778</v>
      </c>
      <c r="F196" s="280">
        <f ca="1">IF(AND(A195="",A197=""),"",IF(A196="",SUM($F$25:F195),IF(A196=$D$8,$E$24-SUM($F$25:F195),$F$13-G196)))</f>
        <v>10932.215649825837</v>
      </c>
      <c r="G196" s="280">
        <f ca="1">IF(A195=$D$8,SUM($G$25:G195),IF(A195&gt;$D$8,"",E195*D196*$F$18/T195))</f>
        <v>12300.311687869766</v>
      </c>
      <c r="H196" s="280">
        <f ca="1">IF(A195=$D$8,SUM($H$25:H195),IF(A195="","",(G196+F196)))</f>
        <v>23232.527337695603</v>
      </c>
      <c r="I196" s="280" t="str">
        <f t="shared" si="50"/>
        <v/>
      </c>
      <c r="J196" s="280" t="str">
        <f t="shared" si="51"/>
        <v/>
      </c>
      <c r="K196" s="280"/>
      <c r="L196" s="280" t="str">
        <f t="shared" si="52"/>
        <v/>
      </c>
      <c r="M196" s="280" t="str">
        <f t="shared" si="53"/>
        <v/>
      </c>
      <c r="N196" s="283" t="str">
        <f t="shared" si="48"/>
        <v/>
      </c>
      <c r="P196" s="289" t="str">
        <f>IF(A195=$D$8,XIRR(R$24:R195,C$24:C195),"")</f>
        <v/>
      </c>
      <c r="Q196" s="280" t="str">
        <f t="shared" si="46"/>
        <v/>
      </c>
      <c r="R196" s="283">
        <f t="shared" ca="1" si="41"/>
        <v>23232.527337695603</v>
      </c>
      <c r="S196" s="284">
        <f t="shared" ca="1" si="42"/>
        <v>2036</v>
      </c>
      <c r="T196" s="284">
        <f t="shared" ca="1" si="43"/>
        <v>366</v>
      </c>
    </row>
    <row r="197" spans="1:20" x14ac:dyDescent="0.35">
      <c r="A197" s="285">
        <f t="shared" si="44"/>
        <v>173</v>
      </c>
      <c r="B197" s="286">
        <f t="shared" ca="1" si="54"/>
        <v>49752</v>
      </c>
      <c r="C197" s="286">
        <f t="shared" ca="1" si="47"/>
        <v>49752</v>
      </c>
      <c r="D197" s="285">
        <f t="shared" ca="1" si="49"/>
        <v>29</v>
      </c>
      <c r="E197" s="280">
        <f t="shared" ca="1" si="45"/>
        <v>1106492.1507265104</v>
      </c>
      <c r="F197" s="280">
        <f ca="1">IF(AND(A196="",A198=""),"",IF(A197="",SUM($F$25:F196),IF(A197=$D$8,$E$24-SUM($F$25:F196),$F$13-G197)))</f>
        <v>11837.179241567326</v>
      </c>
      <c r="G197" s="280">
        <f ca="1">IF(A196=$D$8,SUM($G$25:G196),IF(A196&gt;$D$8,"",E196*D197*$F$18/T196))</f>
        <v>11395.348096128277</v>
      </c>
      <c r="H197" s="280">
        <f ca="1">IF(A196=$D$8,SUM($H$25:H196),IF(A196="","",(G197+F197)))</f>
        <v>23232.527337695603</v>
      </c>
      <c r="I197" s="280" t="str">
        <f t="shared" si="50"/>
        <v/>
      </c>
      <c r="J197" s="280" t="str">
        <f t="shared" si="51"/>
        <v/>
      </c>
      <c r="K197" s="280"/>
      <c r="L197" s="280" t="str">
        <f t="shared" si="52"/>
        <v/>
      </c>
      <c r="M197" s="280" t="str">
        <f t="shared" si="53"/>
        <v/>
      </c>
      <c r="N197" s="283" t="str">
        <f t="shared" si="48"/>
        <v/>
      </c>
      <c r="P197" s="289" t="str">
        <f>IF(A196=$D$8,XIRR(R$24:R196,C$24:C196),"")</f>
        <v/>
      </c>
      <c r="Q197" s="280" t="str">
        <f t="shared" si="46"/>
        <v/>
      </c>
      <c r="R197" s="283">
        <f t="shared" ca="1" si="41"/>
        <v>23232.527337695603</v>
      </c>
      <c r="S197" s="284">
        <f t="shared" ca="1" si="42"/>
        <v>2036</v>
      </c>
      <c r="T197" s="284">
        <f t="shared" ca="1" si="43"/>
        <v>366</v>
      </c>
    </row>
    <row r="198" spans="1:20" x14ac:dyDescent="0.35">
      <c r="A198" s="285">
        <f t="shared" si="44"/>
        <v>174</v>
      </c>
      <c r="B198" s="286">
        <f t="shared" ca="1" si="54"/>
        <v>49783</v>
      </c>
      <c r="C198" s="286">
        <f t="shared" ca="1" si="47"/>
        <v>49783</v>
      </c>
      <c r="D198" s="285">
        <f t="shared" ca="1" si="49"/>
        <v>31</v>
      </c>
      <c r="E198" s="280">
        <f t="shared" ca="1" si="45"/>
        <v>1095311.9228644604</v>
      </c>
      <c r="F198" s="280">
        <f ca="1">IF(AND(A197="",A199=""),"",IF(A198="",SUM($F$25:F197),IF(A198=$D$8,$E$24-SUM($F$25:F197),$F$13-G198)))</f>
        <v>11180.227862049958</v>
      </c>
      <c r="G198" s="280">
        <f ca="1">IF(A197=$D$8,SUM($G$25:G197),IF(A197&gt;$D$8,"",E197*D198*$F$18/T197))</f>
        <v>12052.299475645645</v>
      </c>
      <c r="H198" s="280">
        <f ca="1">IF(A197=$D$8,SUM($H$25:H197),IF(A197="","",(G198+F198)))</f>
        <v>23232.527337695603</v>
      </c>
      <c r="I198" s="280" t="str">
        <f t="shared" si="50"/>
        <v/>
      </c>
      <c r="J198" s="280" t="str">
        <f t="shared" si="51"/>
        <v/>
      </c>
      <c r="K198" s="280"/>
      <c r="L198" s="280" t="str">
        <f t="shared" si="52"/>
        <v/>
      </c>
      <c r="M198" s="280" t="str">
        <f t="shared" si="53"/>
        <v/>
      </c>
      <c r="N198" s="283" t="str">
        <f t="shared" si="48"/>
        <v/>
      </c>
      <c r="P198" s="289" t="str">
        <f>IF(A197=$D$8,XIRR(R$24:R197,C$24:C197),"")</f>
        <v/>
      </c>
      <c r="Q198" s="280" t="str">
        <f t="shared" si="46"/>
        <v/>
      </c>
      <c r="R198" s="283">
        <f t="shared" ca="1" si="41"/>
        <v>23232.527337695603</v>
      </c>
      <c r="S198" s="284">
        <f t="shared" ca="1" si="42"/>
        <v>2036</v>
      </c>
      <c r="T198" s="284">
        <f t="shared" ca="1" si="43"/>
        <v>366</v>
      </c>
    </row>
    <row r="199" spans="1:20" x14ac:dyDescent="0.35">
      <c r="A199" s="285">
        <f t="shared" si="44"/>
        <v>175</v>
      </c>
      <c r="B199" s="286">
        <f t="shared" ca="1" si="54"/>
        <v>49813</v>
      </c>
      <c r="C199" s="286">
        <f t="shared" ca="1" si="47"/>
        <v>49813</v>
      </c>
      <c r="D199" s="285">
        <f t="shared" ca="1" si="49"/>
        <v>30</v>
      </c>
      <c r="E199" s="280">
        <f t="shared" ca="1" si="45"/>
        <v>1083625.0605497458</v>
      </c>
      <c r="F199" s="280">
        <f ca="1">IF(AND(A198="",A200=""),"",IF(A199="",SUM($F$25:F198),IF(A199=$D$8,$E$24-SUM($F$25:F198),$F$13-G199)))</f>
        <v>11686.862314714488</v>
      </c>
      <c r="G199" s="280">
        <f ca="1">IF(A198=$D$8,SUM($G$25:G198),IF(A198&gt;$D$8,"",E198*D199*$F$18/T198))</f>
        <v>11545.665022981115</v>
      </c>
      <c r="H199" s="280">
        <f ca="1">IF(A198=$D$8,SUM($H$25:H198),IF(A198="","",(G199+F199)))</f>
        <v>23232.527337695603</v>
      </c>
      <c r="I199" s="280" t="str">
        <f t="shared" si="50"/>
        <v/>
      </c>
      <c r="J199" s="280" t="str">
        <f t="shared" si="51"/>
        <v/>
      </c>
      <c r="K199" s="280"/>
      <c r="L199" s="280" t="str">
        <f t="shared" si="52"/>
        <v/>
      </c>
      <c r="M199" s="280" t="str">
        <f t="shared" si="53"/>
        <v/>
      </c>
      <c r="N199" s="283" t="str">
        <f t="shared" si="48"/>
        <v/>
      </c>
      <c r="P199" s="289" t="str">
        <f>IF(A198=$D$8,XIRR(R$24:R198,C$24:C198),"")</f>
        <v/>
      </c>
      <c r="Q199" s="280" t="str">
        <f t="shared" si="46"/>
        <v/>
      </c>
      <c r="R199" s="283">
        <f t="shared" ca="1" si="41"/>
        <v>23232.527337695603</v>
      </c>
      <c r="S199" s="284">
        <f t="shared" ca="1" si="42"/>
        <v>2036</v>
      </c>
      <c r="T199" s="284">
        <f t="shared" ca="1" si="43"/>
        <v>366</v>
      </c>
    </row>
    <row r="200" spans="1:20" x14ac:dyDescent="0.35">
      <c r="A200" s="285">
        <f t="shared" si="44"/>
        <v>176</v>
      </c>
      <c r="B200" s="286">
        <f t="shared" ca="1" si="54"/>
        <v>49844</v>
      </c>
      <c r="C200" s="286">
        <f t="shared" ca="1" si="47"/>
        <v>49844</v>
      </c>
      <c r="D200" s="285">
        <f t="shared" ca="1" si="49"/>
        <v>31</v>
      </c>
      <c r="E200" s="280">
        <f t="shared" ca="1" si="45"/>
        <v>1072195.7563442567</v>
      </c>
      <c r="F200" s="280">
        <f ca="1">IF(AND(A199="",A201=""),"",IF(A200="",SUM($F$25:F199),IF(A200=$D$8,$E$24-SUM($F$25:F199),$F$13-G200)))</f>
        <v>11429.304205488999</v>
      </c>
      <c r="G200" s="280">
        <f ca="1">IF(A199=$D$8,SUM($G$25:G199),IF(A199&gt;$D$8,"",E199*D200*$F$18/T199))</f>
        <v>11803.223132206604</v>
      </c>
      <c r="H200" s="280">
        <f ca="1">IF(A199=$D$8,SUM($H$25:H199),IF(A199="","",(G200+F200)))</f>
        <v>23232.527337695603</v>
      </c>
      <c r="I200" s="280" t="str">
        <f t="shared" si="50"/>
        <v/>
      </c>
      <c r="J200" s="280" t="str">
        <f t="shared" si="51"/>
        <v/>
      </c>
      <c r="K200" s="280"/>
      <c r="L200" s="280" t="str">
        <f t="shared" si="52"/>
        <v/>
      </c>
      <c r="M200" s="280" t="str">
        <f t="shared" si="53"/>
        <v/>
      </c>
      <c r="N200" s="283" t="str">
        <f t="shared" si="48"/>
        <v/>
      </c>
      <c r="P200" s="289" t="str">
        <f>IF(A199=$D$8,XIRR(R$24:R199,C$24:C199),"")</f>
        <v/>
      </c>
      <c r="Q200" s="280" t="str">
        <f t="shared" si="46"/>
        <v/>
      </c>
      <c r="R200" s="283">
        <f t="shared" ca="1" si="41"/>
        <v>23232.527337695603</v>
      </c>
      <c r="S200" s="284">
        <f t="shared" ca="1" si="42"/>
        <v>2036</v>
      </c>
      <c r="T200" s="284">
        <f t="shared" ca="1" si="43"/>
        <v>366</v>
      </c>
    </row>
    <row r="201" spans="1:20" x14ac:dyDescent="0.35">
      <c r="A201" s="285">
        <f t="shared" si="44"/>
        <v>177</v>
      </c>
      <c r="B201" s="286">
        <f t="shared" ca="1" si="54"/>
        <v>49874</v>
      </c>
      <c r="C201" s="286">
        <f t="shared" ca="1" si="47"/>
        <v>49874</v>
      </c>
      <c r="D201" s="285">
        <f t="shared" ca="1" si="49"/>
        <v>30</v>
      </c>
      <c r="E201" s="280">
        <f t="shared" ca="1" si="45"/>
        <v>1060265.2268972064</v>
      </c>
      <c r="F201" s="280">
        <f ca="1">IF(AND(A200="",A202=""),"",IF(A201="",SUM($F$25:F200),IF(A201=$D$8,$E$24-SUM($F$25:F200),$F$13-G201)))</f>
        <v>11930.529447050407</v>
      </c>
      <c r="G201" s="280">
        <f ca="1">IF(A200=$D$8,SUM($G$25:G200),IF(A200&gt;$D$8,"",E200*D201*$F$18/T200))</f>
        <v>11301.997890645196</v>
      </c>
      <c r="H201" s="280">
        <f ca="1">IF(A200=$D$8,SUM($H$25:H200),IF(A200="","",(G201+F201)))</f>
        <v>23232.527337695603</v>
      </c>
      <c r="I201" s="280" t="str">
        <f t="shared" si="50"/>
        <v/>
      </c>
      <c r="J201" s="280" t="str">
        <f t="shared" si="51"/>
        <v/>
      </c>
      <c r="K201" s="280"/>
      <c r="L201" s="280" t="str">
        <f t="shared" si="52"/>
        <v/>
      </c>
      <c r="M201" s="280" t="str">
        <f t="shared" si="53"/>
        <v/>
      </c>
      <c r="N201" s="283" t="str">
        <f t="shared" si="48"/>
        <v/>
      </c>
      <c r="P201" s="289" t="str">
        <f>IF(A200=$D$8,XIRR(R$24:R200,C$24:C200),"")</f>
        <v/>
      </c>
      <c r="Q201" s="280" t="str">
        <f t="shared" si="46"/>
        <v/>
      </c>
      <c r="R201" s="283">
        <f t="shared" ca="1" si="41"/>
        <v>23232.527337695603</v>
      </c>
      <c r="S201" s="284">
        <f t="shared" ca="1" si="42"/>
        <v>2036</v>
      </c>
      <c r="T201" s="284">
        <f t="shared" ca="1" si="43"/>
        <v>366</v>
      </c>
    </row>
    <row r="202" spans="1:20" x14ac:dyDescent="0.35">
      <c r="A202" s="285">
        <f t="shared" si="44"/>
        <v>178</v>
      </c>
      <c r="B202" s="286">
        <f t="shared" ca="1" si="54"/>
        <v>49905</v>
      </c>
      <c r="C202" s="286">
        <f t="shared" ca="1" si="47"/>
        <v>49905</v>
      </c>
      <c r="D202" s="285">
        <f t="shared" ca="1" si="49"/>
        <v>31</v>
      </c>
      <c r="E202" s="280">
        <f t="shared" ca="1" si="45"/>
        <v>1048581.4792140147</v>
      </c>
      <c r="F202" s="280">
        <f ca="1">IF(AND(A201="",A203=""),"",IF(A202="",SUM($F$25:F201),IF(A202=$D$8,$E$24-SUM($F$25:F201),$F$13-G202)))</f>
        <v>11683.74768319177</v>
      </c>
      <c r="G202" s="280">
        <f ca="1">IF(A201=$D$8,SUM($G$25:G201),IF(A201&gt;$D$8,"",E201*D202*$F$18/T201))</f>
        <v>11548.779654503833</v>
      </c>
      <c r="H202" s="280">
        <f ca="1">IF(A201=$D$8,SUM($H$25:H201),IF(A201="","",(G202+F202)))</f>
        <v>23232.527337695603</v>
      </c>
      <c r="I202" s="280" t="str">
        <f t="shared" si="50"/>
        <v/>
      </c>
      <c r="J202" s="280" t="str">
        <f t="shared" si="51"/>
        <v/>
      </c>
      <c r="K202" s="280"/>
      <c r="L202" s="280" t="str">
        <f t="shared" si="52"/>
        <v/>
      </c>
      <c r="M202" s="280" t="str">
        <f t="shared" si="53"/>
        <v/>
      </c>
      <c r="N202" s="283" t="str">
        <f t="shared" si="48"/>
        <v/>
      </c>
      <c r="P202" s="289" t="str">
        <f>IF(A201=$D$8,XIRR(R$24:R201,C$24:C201),"")</f>
        <v/>
      </c>
      <c r="Q202" s="280" t="str">
        <f t="shared" si="46"/>
        <v/>
      </c>
      <c r="R202" s="283">
        <f t="shared" ca="1" si="41"/>
        <v>23232.527337695603</v>
      </c>
      <c r="S202" s="284">
        <f t="shared" ca="1" si="42"/>
        <v>2036</v>
      </c>
      <c r="T202" s="284">
        <f t="shared" ca="1" si="43"/>
        <v>366</v>
      </c>
    </row>
    <row r="203" spans="1:20" x14ac:dyDescent="0.35">
      <c r="A203" s="285">
        <f t="shared" si="44"/>
        <v>179</v>
      </c>
      <c r="B203" s="286">
        <f t="shared" ca="1" si="54"/>
        <v>49936</v>
      </c>
      <c r="C203" s="286">
        <f t="shared" ca="1" si="47"/>
        <v>49936</v>
      </c>
      <c r="D203" s="285">
        <f t="shared" ca="1" si="49"/>
        <v>31</v>
      </c>
      <c r="E203" s="280">
        <f t="shared" ca="1" si="45"/>
        <v>1036770.4680649382</v>
      </c>
      <c r="F203" s="280">
        <f ca="1">IF(AND(A202="",A204=""),"",IF(A203="",SUM($F$25:F202),IF(A203=$D$8,$E$24-SUM($F$25:F202),$F$13-G203)))</f>
        <v>11811.011149076503</v>
      </c>
      <c r="G203" s="280">
        <f ca="1">IF(A202=$D$8,SUM($G$25:G202),IF(A202&gt;$D$8,"",E202*D203*$F$18/T202))</f>
        <v>11421.5161886191</v>
      </c>
      <c r="H203" s="280">
        <f ca="1">IF(A202=$D$8,SUM($H$25:H202),IF(A202="","",(G203+F203)))</f>
        <v>23232.527337695603</v>
      </c>
      <c r="I203" s="280" t="str">
        <f t="shared" si="50"/>
        <v/>
      </c>
      <c r="J203" s="280" t="str">
        <f t="shared" si="51"/>
        <v/>
      </c>
      <c r="K203" s="280"/>
      <c r="L203" s="280" t="str">
        <f t="shared" si="52"/>
        <v/>
      </c>
      <c r="M203" s="280" t="str">
        <f t="shared" si="53"/>
        <v/>
      </c>
      <c r="N203" s="283" t="str">
        <f t="shared" si="48"/>
        <v/>
      </c>
      <c r="P203" s="289" t="str">
        <f>IF(A202=$D$8,XIRR(R$24:R202,C$24:C202),"")</f>
        <v/>
      </c>
      <c r="Q203" s="280" t="str">
        <f t="shared" si="46"/>
        <v/>
      </c>
      <c r="R203" s="283">
        <f t="shared" ca="1" si="41"/>
        <v>23232.527337695603</v>
      </c>
      <c r="S203" s="284">
        <f t="shared" ca="1" si="42"/>
        <v>2036</v>
      </c>
      <c r="T203" s="284">
        <f t="shared" ca="1" si="43"/>
        <v>366</v>
      </c>
    </row>
    <row r="204" spans="1:20" x14ac:dyDescent="0.35">
      <c r="A204" s="285">
        <f t="shared" si="44"/>
        <v>180</v>
      </c>
      <c r="B204" s="286">
        <f t="shared" ca="1" si="54"/>
        <v>49966</v>
      </c>
      <c r="C204" s="286">
        <f t="shared" ca="1" si="47"/>
        <v>49966</v>
      </c>
      <c r="D204" s="285">
        <f t="shared" ca="1" si="49"/>
        <v>30</v>
      </c>
      <c r="E204" s="280">
        <f t="shared" ca="1" si="45"/>
        <v>1024466.521234878</v>
      </c>
      <c r="F204" s="280">
        <f ca="1">IF(AND(A203="",A205=""),"",IF(A204="",SUM($F$25:F203),IF(A204=$D$8,$E$24-SUM($F$25:F203),$F$13-G204)))</f>
        <v>12303.946830060271</v>
      </c>
      <c r="G204" s="280">
        <f ca="1">IF(A203=$D$8,SUM($G$25:G203),IF(A203&gt;$D$8,"",E203*D204*$F$18/T203))</f>
        <v>10928.580507635332</v>
      </c>
      <c r="H204" s="280">
        <f ca="1">IF(A203=$D$8,SUM($H$25:H203),IF(A203="","",(G204+F204)))</f>
        <v>23232.527337695603</v>
      </c>
      <c r="I204" s="280" t="str">
        <f t="shared" si="50"/>
        <v/>
      </c>
      <c r="J204" s="280" t="str">
        <f t="shared" si="51"/>
        <v/>
      </c>
      <c r="K204" s="280"/>
      <c r="L204" s="280" t="str">
        <f t="shared" si="52"/>
        <v/>
      </c>
      <c r="M204" s="280" t="str">
        <f t="shared" si="53"/>
        <v/>
      </c>
      <c r="N204" s="283" t="str">
        <f t="shared" si="48"/>
        <v/>
      </c>
      <c r="P204" s="289" t="str">
        <f>IF(A203=$D$8,XIRR(R$24:R203,C$24:C203),"")</f>
        <v/>
      </c>
      <c r="Q204" s="280" t="str">
        <f t="shared" si="46"/>
        <v/>
      </c>
      <c r="R204" s="283">
        <f t="shared" ca="1" si="41"/>
        <v>23232.527337695603</v>
      </c>
      <c r="S204" s="284">
        <f t="shared" ca="1" si="42"/>
        <v>2036</v>
      </c>
      <c r="T204" s="284">
        <f t="shared" ca="1" si="43"/>
        <v>366</v>
      </c>
    </row>
    <row r="205" spans="1:20" x14ac:dyDescent="0.35">
      <c r="A205" s="285">
        <f t="shared" si="44"/>
        <v>181</v>
      </c>
      <c r="B205" s="286">
        <f t="shared" ca="1" si="54"/>
        <v>49997</v>
      </c>
      <c r="C205" s="286">
        <f t="shared" ca="1" si="47"/>
        <v>49997</v>
      </c>
      <c r="D205" s="285">
        <f t="shared" ca="1" si="49"/>
        <v>31</v>
      </c>
      <c r="E205" s="280">
        <f t="shared" ca="1" si="45"/>
        <v>1012392.8415298462</v>
      </c>
      <c r="F205" s="280">
        <f ca="1">IF(AND(A204="",A206=""),"",IF(A205="",SUM($F$25:F204),IF(A205=$D$8,$E$24-SUM($F$25:F204),$F$13-G205)))</f>
        <v>12073.679705031765</v>
      </c>
      <c r="G205" s="280">
        <f ca="1">IF(A204=$D$8,SUM($G$25:G204),IF(A204&gt;$D$8,"",E204*D205*$F$18/T204))</f>
        <v>11158.847632663837</v>
      </c>
      <c r="H205" s="280">
        <f ca="1">IF(A204=$D$8,SUM($H$25:H204),IF(A204="","",(G205+F205)))</f>
        <v>23232.527337695603</v>
      </c>
      <c r="I205" s="280" t="str">
        <f t="shared" si="50"/>
        <v/>
      </c>
      <c r="J205" s="280" t="str">
        <f t="shared" si="51"/>
        <v/>
      </c>
      <c r="K205" s="280">
        <f>IF($F$8&gt;180,($O$8+$O$10),IF($A$204=$F$8,$K$24*$G$8,""))</f>
        <v>7500</v>
      </c>
      <c r="L205" s="280" t="str">
        <f t="shared" si="52"/>
        <v/>
      </c>
      <c r="M205" s="280" t="str">
        <f t="shared" si="53"/>
        <v/>
      </c>
      <c r="N205" s="280">
        <f>IF($F$8&gt;180,($N$14),IF(A204=$F$8,N193+N181+N169+N157+N145+N133+N121+N109+N97+N85+N73+N61+N49+N37+N24,""))</f>
        <v>0</v>
      </c>
      <c r="P205" s="289" t="str">
        <f>IF(A204=$D$8,XIRR(R$24:R204,C$24:C204),"")</f>
        <v/>
      </c>
      <c r="Q205" s="280" t="str">
        <f t="shared" si="46"/>
        <v/>
      </c>
      <c r="R205" s="283">
        <f t="shared" ca="1" si="41"/>
        <v>30732.527337695603</v>
      </c>
      <c r="S205" s="284">
        <f t="shared" ca="1" si="42"/>
        <v>2036</v>
      </c>
      <c r="T205" s="284">
        <f t="shared" ca="1" si="43"/>
        <v>366</v>
      </c>
    </row>
    <row r="206" spans="1:20" x14ac:dyDescent="0.35">
      <c r="A206" s="285">
        <f t="shared" si="44"/>
        <v>182</v>
      </c>
      <c r="B206" s="286">
        <f t="shared" ca="1" si="54"/>
        <v>50027</v>
      </c>
      <c r="C206" s="286">
        <f t="shared" ca="1" si="47"/>
        <v>50027</v>
      </c>
      <c r="D206" s="285">
        <f t="shared" ca="1" si="49"/>
        <v>30</v>
      </c>
      <c r="E206" s="280">
        <f t="shared" ca="1" si="45"/>
        <v>999831.93053811276</v>
      </c>
      <c r="F206" s="280">
        <f ca="1">IF(AND(A205="",A207=""),"",IF(A206="",SUM($F$25:F205),IF(A206=$D$8,$E$24-SUM($F$25:F205),$F$13-G206)))</f>
        <v>12560.910991733455</v>
      </c>
      <c r="G206" s="280">
        <f ca="1">IF(A205=$D$8,SUM($G$25:G205),IF(A205&gt;$D$8,"",E205*D206*$F$18/T205))</f>
        <v>10671.616345962148</v>
      </c>
      <c r="H206" s="280">
        <f ca="1">IF(A205=$D$8,SUM($H$25:H205),IF(A205="","",(G206+F206)))</f>
        <v>23232.527337695603</v>
      </c>
      <c r="I206" s="280" t="str">
        <f t="shared" si="50"/>
        <v/>
      </c>
      <c r="J206" s="280" t="str">
        <f t="shared" si="51"/>
        <v/>
      </c>
      <c r="K206" s="280"/>
      <c r="L206" s="280" t="str">
        <f t="shared" si="52"/>
        <v/>
      </c>
      <c r="M206" s="280" t="str">
        <f t="shared" si="53"/>
        <v/>
      </c>
      <c r="N206" s="283" t="str">
        <f t="shared" si="48"/>
        <v/>
      </c>
      <c r="P206" s="289" t="str">
        <f>IF(A205=$D$8,XIRR(R$24:R205,C$24:C205),"")</f>
        <v/>
      </c>
      <c r="Q206" s="280" t="str">
        <f t="shared" si="46"/>
        <v/>
      </c>
      <c r="R206" s="283">
        <f t="shared" ca="1" si="41"/>
        <v>23232.527337695603</v>
      </c>
      <c r="S206" s="284">
        <f t="shared" ca="1" si="42"/>
        <v>2036</v>
      </c>
      <c r="T206" s="284">
        <f t="shared" ca="1" si="43"/>
        <v>366</v>
      </c>
    </row>
    <row r="207" spans="1:20" x14ac:dyDescent="0.35">
      <c r="A207" s="285">
        <f t="shared" si="44"/>
        <v>183</v>
      </c>
      <c r="B207" s="286">
        <f t="shared" ca="1" si="54"/>
        <v>50058</v>
      </c>
      <c r="C207" s="286">
        <f t="shared" ca="1" si="47"/>
        <v>50058</v>
      </c>
      <c r="D207" s="285">
        <f t="shared" ca="1" si="49"/>
        <v>31</v>
      </c>
      <c r="E207" s="280">
        <f t="shared" ca="1" si="45"/>
        <v>987489.92225583585</v>
      </c>
      <c r="F207" s="280">
        <f ca="1">IF(AND(A206="",A208=""),"",IF(A207="",SUM($F$25:F206),IF(A207=$D$8,$E$24-SUM($F$25:F206),$F$13-G207)))</f>
        <v>12342.008282276915</v>
      </c>
      <c r="G207" s="280">
        <f ca="1">IF(A206=$D$8,SUM($G$25:G206),IF(A206&gt;$D$8,"",E206*D207*$F$18/T206))</f>
        <v>10890.519055418688</v>
      </c>
      <c r="H207" s="280">
        <f ca="1">IF(A206=$D$8,SUM($H$25:H206),IF(A206="","",(G207+F207)))</f>
        <v>23232.527337695603</v>
      </c>
      <c r="I207" s="280" t="str">
        <f t="shared" si="50"/>
        <v/>
      </c>
      <c r="J207" s="280" t="str">
        <f t="shared" si="51"/>
        <v/>
      </c>
      <c r="K207" s="280"/>
      <c r="L207" s="280" t="str">
        <f t="shared" si="52"/>
        <v/>
      </c>
      <c r="M207" s="280" t="str">
        <f t="shared" si="53"/>
        <v/>
      </c>
      <c r="N207" s="283" t="str">
        <f t="shared" si="48"/>
        <v/>
      </c>
      <c r="P207" s="289" t="str">
        <f>IF(A206=$D$8,XIRR(R$24:R206,C$24:C206),"")</f>
        <v/>
      </c>
      <c r="Q207" s="280" t="str">
        <f t="shared" si="46"/>
        <v/>
      </c>
      <c r="R207" s="283">
        <f t="shared" ca="1" si="41"/>
        <v>23232.527337695603</v>
      </c>
      <c r="S207" s="284">
        <f t="shared" ca="1" si="42"/>
        <v>2037</v>
      </c>
      <c r="T207" s="284">
        <f t="shared" ca="1" si="43"/>
        <v>365</v>
      </c>
    </row>
    <row r="208" spans="1:20" x14ac:dyDescent="0.35">
      <c r="A208" s="285">
        <f t="shared" si="44"/>
        <v>184</v>
      </c>
      <c r="B208" s="286">
        <f t="shared" ca="1" si="54"/>
        <v>50089</v>
      </c>
      <c r="C208" s="286">
        <f t="shared" ca="1" si="47"/>
        <v>50089</v>
      </c>
      <c r="D208" s="285">
        <f t="shared" ca="1" si="49"/>
        <v>31</v>
      </c>
      <c r="E208" s="280">
        <f t="shared" ca="1" si="45"/>
        <v>975042.94923064741</v>
      </c>
      <c r="F208" s="280">
        <f ca="1">IF(AND(A207="",A209=""),"",IF(A208="",SUM($F$25:F207),IF(A208=$D$8,$E$24-SUM($F$25:F207),$F$13-G208)))</f>
        <v>12446.973025188439</v>
      </c>
      <c r="G208" s="280">
        <f ca="1">IF(A207=$D$8,SUM($G$25:G207),IF(A207&gt;$D$8,"",E207*D208*$F$18/T207))</f>
        <v>10785.554312507164</v>
      </c>
      <c r="H208" s="280">
        <f ca="1">IF(A207=$D$8,SUM($H$25:H207),IF(A207="","",(G208+F208)))</f>
        <v>23232.527337695603</v>
      </c>
      <c r="I208" s="280" t="str">
        <f t="shared" si="50"/>
        <v/>
      </c>
      <c r="J208" s="280" t="str">
        <f t="shared" si="51"/>
        <v/>
      </c>
      <c r="K208" s="280"/>
      <c r="L208" s="280" t="str">
        <f t="shared" si="52"/>
        <v/>
      </c>
      <c r="M208" s="280" t="str">
        <f t="shared" si="53"/>
        <v/>
      </c>
      <c r="N208" s="283" t="str">
        <f t="shared" si="48"/>
        <v/>
      </c>
      <c r="P208" s="289" t="str">
        <f>IF(A207=$D$8,XIRR(R$24:R207,C$24:C207),"")</f>
        <v/>
      </c>
      <c r="Q208" s="280" t="str">
        <f t="shared" si="46"/>
        <v/>
      </c>
      <c r="R208" s="283">
        <f t="shared" ca="1" si="41"/>
        <v>23232.527337695603</v>
      </c>
      <c r="S208" s="284">
        <f t="shared" ca="1" si="42"/>
        <v>2037</v>
      </c>
      <c r="T208" s="284">
        <f t="shared" ca="1" si="43"/>
        <v>365</v>
      </c>
    </row>
    <row r="209" spans="1:20" x14ac:dyDescent="0.35">
      <c r="A209" s="285">
        <f t="shared" si="44"/>
        <v>185</v>
      </c>
      <c r="B209" s="286">
        <f t="shared" ca="1" si="54"/>
        <v>50117</v>
      </c>
      <c r="C209" s="286">
        <f t="shared" ca="1" si="47"/>
        <v>50117</v>
      </c>
      <c r="D209" s="285">
        <f t="shared" ca="1" si="49"/>
        <v>28</v>
      </c>
      <c r="E209" s="280">
        <f t="shared" ca="1" si="45"/>
        <v>961429.42093840311</v>
      </c>
      <c r="F209" s="280">
        <f ca="1">IF(AND(A208="",A210=""),"",IF(A209="",SUM($F$25:F208),IF(A209=$D$8,$E$24-SUM($F$25:F208),$F$13-G209)))</f>
        <v>13613.528292244329</v>
      </c>
      <c r="G209" s="280">
        <f ca="1">IF(A208=$D$8,SUM($G$25:G208),IF(A208&gt;$D$8,"",E208*D209*$F$18/T208))</f>
        <v>9618.9990454512736</v>
      </c>
      <c r="H209" s="280">
        <f ca="1">IF(A208=$D$8,SUM($H$25:H208),IF(A208="","",(G209+F209)))</f>
        <v>23232.527337695603</v>
      </c>
      <c r="I209" s="280" t="str">
        <f t="shared" si="50"/>
        <v/>
      </c>
      <c r="J209" s="280" t="str">
        <f t="shared" si="51"/>
        <v/>
      </c>
      <c r="K209" s="280"/>
      <c r="L209" s="280" t="str">
        <f t="shared" si="52"/>
        <v/>
      </c>
      <c r="M209" s="280" t="str">
        <f t="shared" si="53"/>
        <v/>
      </c>
      <c r="N209" s="283" t="str">
        <f t="shared" si="48"/>
        <v/>
      </c>
      <c r="P209" s="289" t="str">
        <f>IF(A208=$D$8,XIRR(R$24:R208,C$24:C208),"")</f>
        <v/>
      </c>
      <c r="Q209" s="280" t="str">
        <f t="shared" si="46"/>
        <v/>
      </c>
      <c r="R209" s="283">
        <f t="shared" ca="1" si="41"/>
        <v>23232.527337695603</v>
      </c>
      <c r="S209" s="284">
        <f t="shared" ca="1" si="42"/>
        <v>2037</v>
      </c>
      <c r="T209" s="284">
        <f t="shared" ca="1" si="43"/>
        <v>365</v>
      </c>
    </row>
    <row r="210" spans="1:20" x14ac:dyDescent="0.35">
      <c r="A210" s="285">
        <f t="shared" si="44"/>
        <v>186</v>
      </c>
      <c r="B210" s="286">
        <f t="shared" ca="1" si="54"/>
        <v>50148</v>
      </c>
      <c r="C210" s="286">
        <f t="shared" ca="1" si="47"/>
        <v>50148</v>
      </c>
      <c r="D210" s="285">
        <f t="shared" ca="1" si="49"/>
        <v>31</v>
      </c>
      <c r="E210" s="280">
        <f t="shared" ca="1" si="45"/>
        <v>948697.81011992134</v>
      </c>
      <c r="F210" s="280">
        <f ca="1">IF(AND(A209="",A211=""),"",IF(A210="",SUM($F$25:F209),IF(A210=$D$8,$E$24-SUM($F$25:F209),$F$13-G210)))</f>
        <v>12731.6108184818</v>
      </c>
      <c r="G210" s="280">
        <f ca="1">IF(A209=$D$8,SUM($G$25:G209),IF(A209&gt;$D$8,"",E209*D210*$F$18/T209))</f>
        <v>10500.916519213803</v>
      </c>
      <c r="H210" s="280">
        <f ca="1">IF(A209=$D$8,SUM($H$25:H209),IF(A209="","",(G210+F210)))</f>
        <v>23232.527337695603</v>
      </c>
      <c r="I210" s="280" t="str">
        <f t="shared" si="50"/>
        <v/>
      </c>
      <c r="J210" s="280" t="str">
        <f t="shared" si="51"/>
        <v/>
      </c>
      <c r="K210" s="280"/>
      <c r="L210" s="280" t="str">
        <f t="shared" si="52"/>
        <v/>
      </c>
      <c r="M210" s="280" t="str">
        <f t="shared" si="53"/>
        <v/>
      </c>
      <c r="N210" s="283" t="str">
        <f t="shared" si="48"/>
        <v/>
      </c>
      <c r="P210" s="289" t="str">
        <f>IF(A209=$D$8,XIRR(R$24:R209,C$24:C209),"")</f>
        <v/>
      </c>
      <c r="Q210" s="280" t="str">
        <f t="shared" si="46"/>
        <v/>
      </c>
      <c r="R210" s="283">
        <f t="shared" ca="1" si="41"/>
        <v>23232.527337695603</v>
      </c>
      <c r="S210" s="284">
        <f t="shared" ca="1" si="42"/>
        <v>2037</v>
      </c>
      <c r="T210" s="284">
        <f t="shared" ca="1" si="43"/>
        <v>365</v>
      </c>
    </row>
    <row r="211" spans="1:20" x14ac:dyDescent="0.35">
      <c r="A211" s="285">
        <f t="shared" si="44"/>
        <v>187</v>
      </c>
      <c r="B211" s="286">
        <f t="shared" ca="1" si="54"/>
        <v>50178</v>
      </c>
      <c r="C211" s="286">
        <f t="shared" ca="1" si="47"/>
        <v>50178</v>
      </c>
      <c r="D211" s="285">
        <f t="shared" ca="1" si="49"/>
        <v>30</v>
      </c>
      <c r="E211" s="280">
        <f t="shared" ca="1" si="45"/>
        <v>935492.88867658912</v>
      </c>
      <c r="F211" s="280">
        <f ca="1">IF(AND(A210="",A212=""),"",IF(A211="",SUM($F$25:F210),IF(A211=$D$8,$E$24-SUM($F$25:F210),$F$13-G211)))</f>
        <v>13204.921443332161</v>
      </c>
      <c r="G211" s="280">
        <f ca="1">IF(A210=$D$8,SUM($G$25:G210),IF(A210&gt;$D$8,"",E210*D211*$F$18/T210))</f>
        <v>10027.605894363442</v>
      </c>
      <c r="H211" s="280">
        <f ca="1">IF(A210=$D$8,SUM($H$25:H210),IF(A210="","",(G211+F211)))</f>
        <v>23232.527337695603</v>
      </c>
      <c r="I211" s="280" t="str">
        <f t="shared" si="50"/>
        <v/>
      </c>
      <c r="J211" s="280" t="str">
        <f t="shared" si="51"/>
        <v/>
      </c>
      <c r="K211" s="280"/>
      <c r="L211" s="280" t="str">
        <f t="shared" si="52"/>
        <v/>
      </c>
      <c r="M211" s="280" t="str">
        <f t="shared" si="53"/>
        <v/>
      </c>
      <c r="N211" s="283" t="str">
        <f t="shared" si="48"/>
        <v/>
      </c>
      <c r="P211" s="289" t="str">
        <f>IF(A210=$D$8,XIRR(R$24:R210,C$24:C210),"")</f>
        <v/>
      </c>
      <c r="Q211" s="280" t="str">
        <f t="shared" si="46"/>
        <v/>
      </c>
      <c r="R211" s="283">
        <f t="shared" ca="1" si="41"/>
        <v>23232.527337695603</v>
      </c>
      <c r="S211" s="284">
        <f t="shared" ca="1" si="42"/>
        <v>2037</v>
      </c>
      <c r="T211" s="284">
        <f t="shared" ca="1" si="43"/>
        <v>365</v>
      </c>
    </row>
    <row r="212" spans="1:20" x14ac:dyDescent="0.35">
      <c r="A212" s="285">
        <f t="shared" si="44"/>
        <v>188</v>
      </c>
      <c r="B212" s="286">
        <f t="shared" ca="1" si="54"/>
        <v>50209</v>
      </c>
      <c r="C212" s="286">
        <f t="shared" ca="1" si="47"/>
        <v>50209</v>
      </c>
      <c r="D212" s="285">
        <f t="shared" ca="1" si="49"/>
        <v>31</v>
      </c>
      <c r="E212" s="280">
        <f t="shared" ca="1" si="45"/>
        <v>922477.99407861428</v>
      </c>
      <c r="F212" s="280">
        <f ca="1">IF(AND(A211="",A213=""),"",IF(A212="",SUM($F$25:F211),IF(A212=$D$8,$E$24-SUM($F$25:F211),$F$13-G212)))</f>
        <v>13014.894597974808</v>
      </c>
      <c r="G212" s="280">
        <f ca="1">IF(A211=$D$8,SUM($G$25:G211),IF(A211&gt;$D$8,"",E211*D212*$F$18/T211))</f>
        <v>10217.632739720795</v>
      </c>
      <c r="H212" s="280">
        <f ca="1">IF(A211=$D$8,SUM($H$25:H211),IF(A211="","",(G212+F212)))</f>
        <v>23232.527337695603</v>
      </c>
      <c r="I212" s="280" t="str">
        <f t="shared" si="50"/>
        <v/>
      </c>
      <c r="J212" s="280" t="str">
        <f t="shared" si="51"/>
        <v/>
      </c>
      <c r="K212" s="280"/>
      <c r="L212" s="280" t="str">
        <f t="shared" si="52"/>
        <v/>
      </c>
      <c r="M212" s="280" t="str">
        <f t="shared" si="53"/>
        <v/>
      </c>
      <c r="N212" s="283" t="str">
        <f t="shared" si="48"/>
        <v/>
      </c>
      <c r="P212" s="289" t="str">
        <f>IF(A211=$D$8,XIRR(R$24:R211,C$24:C211),"")</f>
        <v/>
      </c>
      <c r="Q212" s="280" t="str">
        <f t="shared" si="46"/>
        <v/>
      </c>
      <c r="R212" s="283">
        <f t="shared" ca="1" si="41"/>
        <v>23232.527337695603</v>
      </c>
      <c r="S212" s="284">
        <f t="shared" ca="1" si="42"/>
        <v>2037</v>
      </c>
      <c r="T212" s="284">
        <f t="shared" ca="1" si="43"/>
        <v>365</v>
      </c>
    </row>
    <row r="213" spans="1:20" x14ac:dyDescent="0.35">
      <c r="A213" s="285">
        <f t="shared" si="44"/>
        <v>189</v>
      </c>
      <c r="B213" s="286">
        <f t="shared" ca="1" si="54"/>
        <v>50239</v>
      </c>
      <c r="C213" s="286">
        <f t="shared" ca="1" si="47"/>
        <v>50239</v>
      </c>
      <c r="D213" s="285">
        <f t="shared" ca="1" si="49"/>
        <v>30</v>
      </c>
      <c r="E213" s="280">
        <f t="shared" ca="1" si="45"/>
        <v>908995.93277148111</v>
      </c>
      <c r="F213" s="280">
        <f ca="1">IF(AND(A212="",A214=""),"",IF(A213="",SUM($F$25:F212),IF(A213=$D$8,$E$24-SUM($F$25:F212),$F$13-G213)))</f>
        <v>13482.061307133155</v>
      </c>
      <c r="G213" s="280">
        <f ca="1">IF(A212=$D$8,SUM($G$25:G212),IF(A212&gt;$D$8,"",E212*D213*$F$18/T212))</f>
        <v>9750.4660305624475</v>
      </c>
      <c r="H213" s="280">
        <f ca="1">IF(A212=$D$8,SUM($H$25:H212),IF(A212="","",(G213+F213)))</f>
        <v>23232.527337695603</v>
      </c>
      <c r="I213" s="280" t="str">
        <f t="shared" si="50"/>
        <v/>
      </c>
      <c r="J213" s="280" t="str">
        <f t="shared" si="51"/>
        <v/>
      </c>
      <c r="K213" s="280"/>
      <c r="L213" s="280" t="str">
        <f t="shared" si="52"/>
        <v/>
      </c>
      <c r="M213" s="280" t="str">
        <f t="shared" si="53"/>
        <v/>
      </c>
      <c r="N213" s="283" t="str">
        <f t="shared" si="48"/>
        <v/>
      </c>
      <c r="P213" s="289" t="str">
        <f>IF(A212=$D$8,XIRR(R$24:R212,C$24:C212),"")</f>
        <v/>
      </c>
      <c r="Q213" s="280" t="str">
        <f t="shared" si="46"/>
        <v/>
      </c>
      <c r="R213" s="283">
        <f t="shared" ca="1" si="41"/>
        <v>23232.527337695603</v>
      </c>
      <c r="S213" s="284">
        <f t="shared" ca="1" si="42"/>
        <v>2037</v>
      </c>
      <c r="T213" s="284">
        <f t="shared" ca="1" si="43"/>
        <v>365</v>
      </c>
    </row>
    <row r="214" spans="1:20" x14ac:dyDescent="0.35">
      <c r="A214" s="285">
        <f t="shared" si="44"/>
        <v>190</v>
      </c>
      <c r="B214" s="286">
        <f t="shared" ca="1" si="54"/>
        <v>50270</v>
      </c>
      <c r="C214" s="286">
        <f t="shared" ca="1" si="47"/>
        <v>50270</v>
      </c>
      <c r="D214" s="285">
        <f t="shared" ca="1" si="49"/>
        <v>31</v>
      </c>
      <c r="E214" s="280">
        <f t="shared" ca="1" si="45"/>
        <v>895691.63333950273</v>
      </c>
      <c r="F214" s="280">
        <f ca="1">IF(AND(A213="",A215=""),"",IF(A214="",SUM($F$25:F213),IF(A214=$D$8,$E$24-SUM($F$25:F213),$F$13-G214)))</f>
        <v>13304.299431978379</v>
      </c>
      <c r="G214" s="280">
        <f ca="1">IF(A213=$D$8,SUM($G$25:G213),IF(A213&gt;$D$8,"",E213*D214*$F$18/T213))</f>
        <v>9928.2279057172236</v>
      </c>
      <c r="H214" s="280">
        <f ca="1">IF(A213=$D$8,SUM($H$25:H213),IF(A213="","",(G214+F214)))</f>
        <v>23232.527337695603</v>
      </c>
      <c r="I214" s="280" t="str">
        <f t="shared" si="50"/>
        <v/>
      </c>
      <c r="J214" s="280" t="str">
        <f t="shared" si="51"/>
        <v/>
      </c>
      <c r="K214" s="280"/>
      <c r="L214" s="280" t="str">
        <f t="shared" si="52"/>
        <v/>
      </c>
      <c r="M214" s="280" t="str">
        <f t="shared" si="53"/>
        <v/>
      </c>
      <c r="N214" s="283" t="str">
        <f t="shared" si="48"/>
        <v/>
      </c>
      <c r="P214" s="289" t="str">
        <f>IF(A213=$D$8,XIRR(R$24:R213,C$24:C213),"")</f>
        <v/>
      </c>
      <c r="Q214" s="280" t="str">
        <f t="shared" si="46"/>
        <v/>
      </c>
      <c r="R214" s="283">
        <f t="shared" ca="1" si="41"/>
        <v>23232.527337695603</v>
      </c>
      <c r="S214" s="284">
        <f t="shared" ca="1" si="42"/>
        <v>2037</v>
      </c>
      <c r="T214" s="284">
        <f t="shared" ca="1" si="43"/>
        <v>365</v>
      </c>
    </row>
    <row r="215" spans="1:20" x14ac:dyDescent="0.35">
      <c r="A215" s="285">
        <f t="shared" si="44"/>
        <v>191</v>
      </c>
      <c r="B215" s="286">
        <f t="shared" ca="1" si="54"/>
        <v>50301</v>
      </c>
      <c r="C215" s="286">
        <f t="shared" ca="1" si="47"/>
        <v>50301</v>
      </c>
      <c r="D215" s="285">
        <f t="shared" ca="1" si="49"/>
        <v>31</v>
      </c>
      <c r="E215" s="280">
        <f t="shared" ca="1" si="45"/>
        <v>882242.02179761883</v>
      </c>
      <c r="F215" s="280">
        <f ca="1">IF(AND(A214="",A216=""),"",IF(A215="",SUM($F$25:F214),IF(A215=$D$8,$E$24-SUM($F$25:F214),$F$13-G215)))</f>
        <v>13449.611541883927</v>
      </c>
      <c r="G215" s="280">
        <f ca="1">IF(A214=$D$8,SUM($G$25:G214),IF(A214&gt;$D$8,"",E214*D215*$F$18/T214))</f>
        <v>9782.9157958116757</v>
      </c>
      <c r="H215" s="280">
        <f ca="1">IF(A214=$D$8,SUM($H$25:H214),IF(A214="","",(G215+F215)))</f>
        <v>23232.527337695603</v>
      </c>
      <c r="I215" s="280" t="str">
        <f t="shared" si="50"/>
        <v/>
      </c>
      <c r="J215" s="280" t="str">
        <f t="shared" si="51"/>
        <v/>
      </c>
      <c r="K215" s="280"/>
      <c r="L215" s="280" t="str">
        <f t="shared" si="52"/>
        <v/>
      </c>
      <c r="M215" s="280" t="str">
        <f t="shared" si="53"/>
        <v/>
      </c>
      <c r="N215" s="283" t="str">
        <f t="shared" si="48"/>
        <v/>
      </c>
      <c r="P215" s="289" t="str">
        <f>IF(A214=$D$8,XIRR(R$24:R214,C$24:C214),"")</f>
        <v/>
      </c>
      <c r="Q215" s="280" t="str">
        <f t="shared" si="46"/>
        <v/>
      </c>
      <c r="R215" s="283">
        <f t="shared" ca="1" si="41"/>
        <v>23232.527337695603</v>
      </c>
      <c r="S215" s="284">
        <f t="shared" ca="1" si="42"/>
        <v>2037</v>
      </c>
      <c r="T215" s="284">
        <f t="shared" ca="1" si="43"/>
        <v>365</v>
      </c>
    </row>
    <row r="216" spans="1:20" x14ac:dyDescent="0.35">
      <c r="A216" s="285">
        <f t="shared" si="44"/>
        <v>192</v>
      </c>
      <c r="B216" s="286">
        <f t="shared" ca="1" si="54"/>
        <v>50331</v>
      </c>
      <c r="C216" s="286">
        <f t="shared" ca="1" si="47"/>
        <v>50331</v>
      </c>
      <c r="D216" s="285">
        <f t="shared" ca="1" si="49"/>
        <v>30</v>
      </c>
      <c r="E216" s="280">
        <f t="shared" ca="1" si="45"/>
        <v>868334.67177525256</v>
      </c>
      <c r="F216" s="280">
        <f ca="1">IF(AND(A215="",A217=""),"",IF(A216="",SUM($F$25:F215),IF(A216=$D$8,$E$24-SUM($F$25:F215),$F$13-G216)))</f>
        <v>13907.350022366252</v>
      </c>
      <c r="G216" s="280">
        <f ca="1">IF(A215=$D$8,SUM($G$25:G215),IF(A215&gt;$D$8,"",E215*D216*$F$18/T215))</f>
        <v>9325.1773153293507</v>
      </c>
      <c r="H216" s="280">
        <f ca="1">IF(A215=$D$8,SUM($H$25:H215),IF(A215="","",(G216+F216)))</f>
        <v>23232.527337695603</v>
      </c>
      <c r="I216" s="280" t="str">
        <f t="shared" si="50"/>
        <v/>
      </c>
      <c r="J216" s="280" t="str">
        <f t="shared" si="51"/>
        <v/>
      </c>
      <c r="K216" s="280"/>
      <c r="L216" s="280" t="str">
        <f t="shared" si="52"/>
        <v/>
      </c>
      <c r="M216" s="280" t="str">
        <f t="shared" si="53"/>
        <v/>
      </c>
      <c r="N216" s="283" t="str">
        <f t="shared" si="48"/>
        <v/>
      </c>
      <c r="P216" s="289" t="str">
        <f>IF(A215=$D$8,XIRR(R$24:R215,C$24:C215),"")</f>
        <v/>
      </c>
      <c r="Q216" s="280" t="str">
        <f t="shared" si="46"/>
        <v/>
      </c>
      <c r="R216" s="283">
        <f t="shared" ca="1" si="41"/>
        <v>23232.527337695603</v>
      </c>
      <c r="S216" s="284">
        <f t="shared" ca="1" si="42"/>
        <v>2037</v>
      </c>
      <c r="T216" s="284">
        <f t="shared" ca="1" si="43"/>
        <v>365</v>
      </c>
    </row>
    <row r="217" spans="1:20" x14ac:dyDescent="0.35">
      <c r="A217" s="285">
        <f t="shared" si="44"/>
        <v>193</v>
      </c>
      <c r="B217" s="286">
        <f t="shared" ca="1" si="54"/>
        <v>50362</v>
      </c>
      <c r="C217" s="286">
        <f t="shared" ca="1" si="47"/>
        <v>50362</v>
      </c>
      <c r="D217" s="285">
        <f t="shared" ca="1" si="49"/>
        <v>31</v>
      </c>
      <c r="E217" s="280">
        <f t="shared" ca="1" si="45"/>
        <v>854586.26225262333</v>
      </c>
      <c r="F217" s="280">
        <f ca="1">IF(AND(A216="",A218=""),"",IF(A217="",SUM($F$25:F216),IF(A217=$D$8,$E$24-SUM($F$25:F216),$F$13-G217)))</f>
        <v>13748.409522629241</v>
      </c>
      <c r="G217" s="280">
        <f ca="1">IF(A216=$D$8,SUM($G$25:G216),IF(A216&gt;$D$8,"",E216*D217*$F$18/T216))</f>
        <v>9484.1178150663618</v>
      </c>
      <c r="H217" s="280">
        <f ca="1">IF(A216=$D$8,SUM($H$25:H216),IF(A216="","",(G217+F217)))</f>
        <v>23232.527337695603</v>
      </c>
      <c r="I217" s="280" t="str">
        <f t="shared" si="50"/>
        <v/>
      </c>
      <c r="J217" s="280" t="str">
        <f t="shared" si="51"/>
        <v/>
      </c>
      <c r="K217" s="280">
        <f>IF($F$8&gt;192,($O$8+$O$10),IF($A$216=$F$8,$K$24*$G$8,""))</f>
        <v>7500</v>
      </c>
      <c r="L217" s="280" t="str">
        <f t="shared" si="52"/>
        <v/>
      </c>
      <c r="M217" s="280" t="str">
        <f t="shared" si="53"/>
        <v/>
      </c>
      <c r="N217" s="280">
        <f>IF($F$8&gt;192,($N$14),IF(A216=$F$8,N205+N193+N181+N169+N157+N145+N133+N121+N109+N97+N85+N73+N61+N49+N37+N24,""))</f>
        <v>0</v>
      </c>
      <c r="P217" s="289" t="str">
        <f>IF(A216=$D$8,XIRR(R$24:R216,C$24:C216),"")</f>
        <v/>
      </c>
      <c r="Q217" s="280" t="str">
        <f t="shared" si="46"/>
        <v/>
      </c>
      <c r="R217" s="283">
        <f t="shared" ca="1" si="41"/>
        <v>30732.527337695603</v>
      </c>
      <c r="S217" s="284">
        <f t="shared" ca="1" si="42"/>
        <v>2037</v>
      </c>
      <c r="T217" s="284">
        <f t="shared" ca="1" si="43"/>
        <v>365</v>
      </c>
    </row>
    <row r="218" spans="1:20" x14ac:dyDescent="0.35">
      <c r="A218" s="285">
        <f t="shared" si="44"/>
        <v>194</v>
      </c>
      <c r="B218" s="286">
        <f t="shared" ca="1" si="54"/>
        <v>50392</v>
      </c>
      <c r="C218" s="286">
        <f t="shared" ca="1" si="47"/>
        <v>50392</v>
      </c>
      <c r="D218" s="285">
        <f t="shared" ca="1" si="49"/>
        <v>30</v>
      </c>
      <c r="E218" s="280">
        <f t="shared" ca="1" si="45"/>
        <v>840386.59464032669</v>
      </c>
      <c r="F218" s="280">
        <f ca="1">IF(AND(A217="",A219=""),"",IF(A218="",SUM($F$25:F217),IF(A218=$D$8,$E$24-SUM($F$25:F217),$F$13-G218)))</f>
        <v>14199.667612296642</v>
      </c>
      <c r="G218" s="280">
        <f ca="1">IF(A217=$D$8,SUM($G$25:G217),IF(A217&gt;$D$8,"",E217*D218*$F$18/T217))</f>
        <v>9032.859725398961</v>
      </c>
      <c r="H218" s="280">
        <f ca="1">IF(A217=$D$8,SUM($H$25:H217),IF(A217="","",(G218+F218)))</f>
        <v>23232.527337695603</v>
      </c>
      <c r="I218" s="280" t="str">
        <f t="shared" si="50"/>
        <v/>
      </c>
      <c r="J218" s="280" t="str">
        <f t="shared" si="51"/>
        <v/>
      </c>
      <c r="K218" s="280"/>
      <c r="L218" s="280" t="str">
        <f t="shared" si="52"/>
        <v/>
      </c>
      <c r="M218" s="280" t="str">
        <f t="shared" si="53"/>
        <v/>
      </c>
      <c r="N218" s="283" t="str">
        <f t="shared" si="48"/>
        <v/>
      </c>
      <c r="P218" s="289" t="str">
        <f>IF(A217=$D$8,XIRR(R$24:R217,C$24:C217),"")</f>
        <v/>
      </c>
      <c r="Q218" s="280" t="str">
        <f t="shared" si="46"/>
        <v/>
      </c>
      <c r="R218" s="283">
        <f t="shared" ref="R218:R264" ca="1" si="55">SUM(H218:Q218)</f>
        <v>23232.527337695603</v>
      </c>
      <c r="S218" s="284">
        <f t="shared" ref="S218:S264" ca="1" si="56">IF(C218="","",YEAR(C218))</f>
        <v>2037</v>
      </c>
      <c r="T218" s="284">
        <f t="shared" ref="T218:T264" ca="1" si="57">IF(OR(S218=2024,S218=2028,S218=2016,S218=2020,S218=2024,S218=2028,S218=2032,S218=2036,S218=2040),366,365)</f>
        <v>365</v>
      </c>
    </row>
    <row r="219" spans="1:20" x14ac:dyDescent="0.35">
      <c r="A219" s="285">
        <f t="shared" ref="A219:A275" si="58">IF(A218&lt;$D$8,A218+1,"")</f>
        <v>195</v>
      </c>
      <c r="B219" s="286">
        <f t="shared" ca="1" si="54"/>
        <v>50423</v>
      </c>
      <c r="C219" s="286">
        <f t="shared" ca="1" si="47"/>
        <v>50423</v>
      </c>
      <c r="D219" s="285">
        <f t="shared" ca="1" si="49"/>
        <v>31</v>
      </c>
      <c r="E219" s="280">
        <f t="shared" ca="1" si="45"/>
        <v>826332.93085932452</v>
      </c>
      <c r="F219" s="280">
        <f ca="1">IF(AND(A218="",A220=""),"",IF(A219="",SUM($F$25:F218),IF(A219=$D$8,$E$24-SUM($F$25:F218),$F$13-G219)))</f>
        <v>14053.663781002106</v>
      </c>
      <c r="G219" s="280">
        <f ca="1">IF(A218=$D$8,SUM($G$25:G218),IF(A218&gt;$D$8,"",E218*D219*$F$18/T218))</f>
        <v>9178.8635566934972</v>
      </c>
      <c r="H219" s="280">
        <f ca="1">IF(A218=$D$8,SUM($H$25:H218),IF(A218="","",(G219+F219)))</f>
        <v>23232.527337695603</v>
      </c>
      <c r="I219" s="280" t="str">
        <f t="shared" si="50"/>
        <v/>
      </c>
      <c r="J219" s="280" t="str">
        <f t="shared" si="51"/>
        <v/>
      </c>
      <c r="K219" s="280"/>
      <c r="L219" s="280" t="str">
        <f t="shared" si="52"/>
        <v/>
      </c>
      <c r="M219" s="280" t="str">
        <f t="shared" si="53"/>
        <v/>
      </c>
      <c r="N219" s="283" t="str">
        <f t="shared" si="48"/>
        <v/>
      </c>
      <c r="P219" s="289" t="str">
        <f>IF(A218=$D$8,XIRR(R$24:R218,C$24:C218),"")</f>
        <v/>
      </c>
      <c r="Q219" s="280" t="str">
        <f t="shared" si="46"/>
        <v/>
      </c>
      <c r="R219" s="283">
        <f t="shared" ca="1" si="55"/>
        <v>23232.527337695603</v>
      </c>
      <c r="S219" s="284">
        <f t="shared" ca="1" si="56"/>
        <v>2038</v>
      </c>
      <c r="T219" s="284">
        <f t="shared" ca="1" si="57"/>
        <v>365</v>
      </c>
    </row>
    <row r="220" spans="1:20" x14ac:dyDescent="0.35">
      <c r="A220" s="285">
        <f t="shared" si="58"/>
        <v>196</v>
      </c>
      <c r="B220" s="286">
        <f t="shared" ca="1" si="54"/>
        <v>50454</v>
      </c>
      <c r="C220" s="286">
        <f t="shared" ca="1" si="47"/>
        <v>50454</v>
      </c>
      <c r="D220" s="285">
        <f t="shared" ca="1" si="49"/>
        <v>31</v>
      </c>
      <c r="E220" s="280">
        <f t="shared" ref="E220:E264" ca="1" si="59">IF(A220&gt;$D$8,"",E219-F220)</f>
        <v>812125.77026728308</v>
      </c>
      <c r="F220" s="280">
        <f ca="1">IF(AND(A219="",A221=""),"",IF(A220="",SUM($F$25:F219),IF(A220=$D$8,$E$24-SUM($F$25:F219),$F$13-G220)))</f>
        <v>14207.160592041402</v>
      </c>
      <c r="G220" s="280">
        <f ca="1">IF(A219=$D$8,SUM($G$25:G219),IF(A219&gt;$D$8,"",E219*D220*$F$18/T219))</f>
        <v>9025.3667456542007</v>
      </c>
      <c r="H220" s="280">
        <f ca="1">IF(A219=$D$8,SUM($H$25:H219),IF(A219="","",(G220+F220)))</f>
        <v>23232.527337695603</v>
      </c>
      <c r="I220" s="280" t="str">
        <f t="shared" si="50"/>
        <v/>
      </c>
      <c r="J220" s="280" t="str">
        <f t="shared" si="51"/>
        <v/>
      </c>
      <c r="K220" s="280"/>
      <c r="L220" s="280" t="str">
        <f t="shared" si="52"/>
        <v/>
      </c>
      <c r="M220" s="280" t="str">
        <f t="shared" si="53"/>
        <v/>
      </c>
      <c r="N220" s="283" t="str">
        <f t="shared" si="48"/>
        <v/>
      </c>
      <c r="P220" s="289" t="str">
        <f>IF(A219=$D$8,XIRR(R$24:R219,C$24:C219),"")</f>
        <v/>
      </c>
      <c r="Q220" s="280" t="str">
        <f t="shared" ref="Q220:Q265" si="60">IF(A219=$D$8,G220+M220+F220+I220+J220+K220+L220+N220+O220,"")</f>
        <v/>
      </c>
      <c r="R220" s="283">
        <f t="shared" ca="1" si="55"/>
        <v>23232.527337695603</v>
      </c>
      <c r="S220" s="284">
        <f t="shared" ca="1" si="56"/>
        <v>2038</v>
      </c>
      <c r="T220" s="284">
        <f t="shared" ca="1" si="57"/>
        <v>365</v>
      </c>
    </row>
    <row r="221" spans="1:20" x14ac:dyDescent="0.35">
      <c r="A221" s="285">
        <f t="shared" si="58"/>
        <v>197</v>
      </c>
      <c r="B221" s="286">
        <f t="shared" ca="1" si="54"/>
        <v>50482</v>
      </c>
      <c r="C221" s="286">
        <f t="shared" ref="C221:C264" ca="1" si="61">IF(B221&gt;$E$20,"",IF(B221=$E$20,B221-1,B221))</f>
        <v>50482</v>
      </c>
      <c r="D221" s="285">
        <f t="shared" ca="1" si="49"/>
        <v>28</v>
      </c>
      <c r="E221" s="280">
        <f t="shared" ca="1" si="59"/>
        <v>796905.03052843246</v>
      </c>
      <c r="F221" s="280">
        <f ca="1">IF(AND(A220="",A222=""),"",IF(A221="",SUM($F$25:F220),IF(A221=$D$8,$E$24-SUM($F$25:F220),$F$13-G221)))</f>
        <v>15220.739738850581</v>
      </c>
      <c r="G221" s="280">
        <f ca="1">IF(A220=$D$8,SUM($G$25:G220),IF(A220&gt;$D$8,"",E220*D221*$F$18/T220))</f>
        <v>8011.7875988450205</v>
      </c>
      <c r="H221" s="280">
        <f ca="1">IF(A220=$D$8,SUM($H$25:H220),IF(A220="","",(G221+F221)))</f>
        <v>23232.527337695603</v>
      </c>
      <c r="I221" s="280" t="str">
        <f t="shared" si="50"/>
        <v/>
      </c>
      <c r="J221" s="280" t="str">
        <f t="shared" si="51"/>
        <v/>
      </c>
      <c r="K221" s="280"/>
      <c r="L221" s="280" t="str">
        <f t="shared" si="52"/>
        <v/>
      </c>
      <c r="M221" s="280" t="str">
        <f t="shared" si="53"/>
        <v/>
      </c>
      <c r="N221" s="283" t="str">
        <f t="shared" si="48"/>
        <v/>
      </c>
      <c r="P221" s="289" t="str">
        <f>IF(A220=$D$8,XIRR(R$24:R220,C$24:C220),"")</f>
        <v/>
      </c>
      <c r="Q221" s="280" t="str">
        <f t="shared" si="60"/>
        <v/>
      </c>
      <c r="R221" s="283">
        <f t="shared" ca="1" si="55"/>
        <v>23232.527337695603</v>
      </c>
      <c r="S221" s="284">
        <f t="shared" ca="1" si="56"/>
        <v>2038</v>
      </c>
      <c r="T221" s="284">
        <f t="shared" ca="1" si="57"/>
        <v>365</v>
      </c>
    </row>
    <row r="222" spans="1:20" x14ac:dyDescent="0.35">
      <c r="A222" s="285">
        <f t="shared" si="58"/>
        <v>198</v>
      </c>
      <c r="B222" s="286">
        <f t="shared" ca="1" si="54"/>
        <v>50513</v>
      </c>
      <c r="C222" s="286">
        <f t="shared" ca="1" si="61"/>
        <v>50513</v>
      </c>
      <c r="D222" s="285">
        <f t="shared" ca="1" si="49"/>
        <v>31</v>
      </c>
      <c r="E222" s="280">
        <f t="shared" ca="1" si="59"/>
        <v>782376.45276527014</v>
      </c>
      <c r="F222" s="280">
        <f ca="1">IF(AND(A221="",A223=""),"",IF(A222="",SUM($F$25:F221),IF(A222=$D$8,$E$24-SUM($F$25:F221),$F$13-G222)))</f>
        <v>14528.577763162319</v>
      </c>
      <c r="G222" s="280">
        <f ca="1">IF(A221=$D$8,SUM($G$25:G221),IF(A221&gt;$D$8,"",E221*D222*$F$18/T221))</f>
        <v>8703.9495745332842</v>
      </c>
      <c r="H222" s="280">
        <f ca="1">IF(A221=$D$8,SUM($H$25:H221),IF(A221="","",(G222+F222)))</f>
        <v>23232.527337695603</v>
      </c>
      <c r="I222" s="280" t="str">
        <f t="shared" si="50"/>
        <v/>
      </c>
      <c r="J222" s="280" t="str">
        <f t="shared" si="51"/>
        <v/>
      </c>
      <c r="K222" s="280"/>
      <c r="L222" s="280" t="str">
        <f t="shared" si="52"/>
        <v/>
      </c>
      <c r="M222" s="280" t="str">
        <f t="shared" si="53"/>
        <v/>
      </c>
      <c r="N222" s="283" t="str">
        <f t="shared" ref="N222:N264" si="62">IF(A221=$D$8,$N$24,"")</f>
        <v/>
      </c>
      <c r="P222" s="289" t="str">
        <f>IF(A221=$D$8,XIRR(R$24:R221,C$24:C221),"")</f>
        <v/>
      </c>
      <c r="Q222" s="280" t="str">
        <f t="shared" si="60"/>
        <v/>
      </c>
      <c r="R222" s="283">
        <f t="shared" ca="1" si="55"/>
        <v>23232.527337695603</v>
      </c>
      <c r="S222" s="284">
        <f t="shared" ca="1" si="56"/>
        <v>2038</v>
      </c>
      <c r="T222" s="284">
        <f t="shared" ca="1" si="57"/>
        <v>365</v>
      </c>
    </row>
    <row r="223" spans="1:20" x14ac:dyDescent="0.35">
      <c r="A223" s="285">
        <f t="shared" si="58"/>
        <v>199</v>
      </c>
      <c r="B223" s="286">
        <f t="shared" ca="1" si="54"/>
        <v>50543</v>
      </c>
      <c r="C223" s="286">
        <f t="shared" ca="1" si="61"/>
        <v>50543</v>
      </c>
      <c r="D223" s="285">
        <f t="shared" ca="1" si="49"/>
        <v>30</v>
      </c>
      <c r="E223" s="280">
        <f t="shared" ca="1" si="59"/>
        <v>767413.53735844686</v>
      </c>
      <c r="F223" s="280">
        <f ca="1">IF(AND(A222="",A224=""),"",IF(A223="",SUM($F$25:F222),IF(A223=$D$8,$E$24-SUM($F$25:F222),$F$13-G223)))</f>
        <v>14962.915406823242</v>
      </c>
      <c r="G223" s="280">
        <f ca="1">IF(A222=$D$8,SUM($G$25:G222),IF(A222&gt;$D$8,"",E222*D223*$F$18/T222))</f>
        <v>8269.611930872361</v>
      </c>
      <c r="H223" s="280">
        <f ca="1">IF(A222=$D$8,SUM($H$25:H222),IF(A222="","",(G223+F223)))</f>
        <v>23232.527337695603</v>
      </c>
      <c r="I223" s="280" t="str">
        <f t="shared" si="50"/>
        <v/>
      </c>
      <c r="J223" s="280" t="str">
        <f t="shared" si="51"/>
        <v/>
      </c>
      <c r="K223" s="280"/>
      <c r="L223" s="280" t="str">
        <f t="shared" si="52"/>
        <v/>
      </c>
      <c r="M223" s="280" t="str">
        <f t="shared" si="53"/>
        <v/>
      </c>
      <c r="N223" s="283" t="str">
        <f t="shared" si="62"/>
        <v/>
      </c>
      <c r="P223" s="289" t="str">
        <f>IF(A222=$D$8,XIRR(R$24:R222,C$24:C222),"")</f>
        <v/>
      </c>
      <c r="Q223" s="280" t="str">
        <f t="shared" si="60"/>
        <v/>
      </c>
      <c r="R223" s="283">
        <f t="shared" ca="1" si="55"/>
        <v>23232.527337695603</v>
      </c>
      <c r="S223" s="284">
        <f t="shared" ca="1" si="56"/>
        <v>2038</v>
      </c>
      <c r="T223" s="284">
        <f t="shared" ca="1" si="57"/>
        <v>365</v>
      </c>
    </row>
    <row r="224" spans="1:20" x14ac:dyDescent="0.35">
      <c r="A224" s="285">
        <f t="shared" si="58"/>
        <v>200</v>
      </c>
      <c r="B224" s="286">
        <f t="shared" ca="1" si="54"/>
        <v>50574</v>
      </c>
      <c r="C224" s="286">
        <f t="shared" ca="1" si="61"/>
        <v>50574</v>
      </c>
      <c r="D224" s="285">
        <f t="shared" ca="1" si="49"/>
        <v>31</v>
      </c>
      <c r="E224" s="280">
        <f t="shared" ca="1" si="59"/>
        <v>752562.84785097919</v>
      </c>
      <c r="F224" s="280">
        <f ca="1">IF(AND(A223="",A225=""),"",IF(A224="",SUM($F$25:F223),IF(A224=$D$8,$E$24-SUM($F$25:F223),$F$13-G224)))</f>
        <v>14850.689507467701</v>
      </c>
      <c r="G224" s="280">
        <f ca="1">IF(A223=$D$8,SUM($G$25:G223),IF(A223&gt;$D$8,"",E223*D224*$F$18/T223))</f>
        <v>8381.8378302279016</v>
      </c>
      <c r="H224" s="280">
        <f ca="1">IF(A223=$D$8,SUM($H$25:H223),IF(A223="","",(G224+F224)))</f>
        <v>23232.527337695603</v>
      </c>
      <c r="I224" s="280" t="str">
        <f t="shared" si="50"/>
        <v/>
      </c>
      <c r="J224" s="280" t="str">
        <f t="shared" si="51"/>
        <v/>
      </c>
      <c r="K224" s="280"/>
      <c r="L224" s="280" t="str">
        <f t="shared" si="52"/>
        <v/>
      </c>
      <c r="M224" s="280" t="str">
        <f t="shared" si="53"/>
        <v/>
      </c>
      <c r="N224" s="283" t="str">
        <f t="shared" si="62"/>
        <v/>
      </c>
      <c r="P224" s="289" t="str">
        <f>IF(A223=$D$8,XIRR(R$24:R223,C$24:C223),"")</f>
        <v/>
      </c>
      <c r="Q224" s="280" t="str">
        <f t="shared" si="60"/>
        <v/>
      </c>
      <c r="R224" s="283">
        <f t="shared" ca="1" si="55"/>
        <v>23232.527337695603</v>
      </c>
      <c r="S224" s="284">
        <f t="shared" ca="1" si="56"/>
        <v>2038</v>
      </c>
      <c r="T224" s="284">
        <f t="shared" ca="1" si="57"/>
        <v>365</v>
      </c>
    </row>
    <row r="225" spans="1:20" x14ac:dyDescent="0.35">
      <c r="A225" s="285">
        <f t="shared" si="58"/>
        <v>201</v>
      </c>
      <c r="B225" s="286">
        <f t="shared" ca="1" si="54"/>
        <v>50604</v>
      </c>
      <c r="C225" s="286">
        <f t="shared" ca="1" si="61"/>
        <v>50604</v>
      </c>
      <c r="D225" s="285">
        <f t="shared" ca="1" si="49"/>
        <v>30</v>
      </c>
      <c r="E225" s="280">
        <f t="shared" ca="1" si="59"/>
        <v>737284.80672426731</v>
      </c>
      <c r="F225" s="280">
        <f ca="1">IF(AND(A224="",A226=""),"",IF(A225="",SUM($F$25:F224),IF(A225=$D$8,$E$24-SUM($F$25:F224),$F$13-G225)))</f>
        <v>15278.041126711829</v>
      </c>
      <c r="G225" s="280">
        <f ca="1">IF(A224=$D$8,SUM($G$25:G224),IF(A224&gt;$D$8,"",E224*D225*$F$18/T224))</f>
        <v>7954.486210983775</v>
      </c>
      <c r="H225" s="280">
        <f ca="1">IF(A224=$D$8,SUM($H$25:H224),IF(A224="","",(G225+F225)))</f>
        <v>23232.527337695603</v>
      </c>
      <c r="I225" s="280" t="str">
        <f t="shared" si="50"/>
        <v/>
      </c>
      <c r="J225" s="280" t="str">
        <f t="shared" si="51"/>
        <v/>
      </c>
      <c r="K225" s="280"/>
      <c r="L225" s="280" t="str">
        <f t="shared" si="52"/>
        <v/>
      </c>
      <c r="M225" s="280" t="str">
        <f t="shared" si="53"/>
        <v/>
      </c>
      <c r="N225" s="283" t="str">
        <f t="shared" si="62"/>
        <v/>
      </c>
      <c r="P225" s="289" t="str">
        <f>IF(A224=$D$8,XIRR(R$24:R224,C$24:C224),"")</f>
        <v/>
      </c>
      <c r="Q225" s="280" t="str">
        <f t="shared" si="60"/>
        <v/>
      </c>
      <c r="R225" s="283">
        <f t="shared" ca="1" si="55"/>
        <v>23232.527337695603</v>
      </c>
      <c r="S225" s="284">
        <f t="shared" ca="1" si="56"/>
        <v>2038</v>
      </c>
      <c r="T225" s="284">
        <f t="shared" ca="1" si="57"/>
        <v>365</v>
      </c>
    </row>
    <row r="226" spans="1:20" x14ac:dyDescent="0.35">
      <c r="A226" s="285">
        <f t="shared" si="58"/>
        <v>202</v>
      </c>
      <c r="B226" s="286">
        <f t="shared" ca="1" si="54"/>
        <v>50635</v>
      </c>
      <c r="C226" s="286">
        <f t="shared" ca="1" si="61"/>
        <v>50635</v>
      </c>
      <c r="D226" s="285">
        <f t="shared" ca="1" si="49"/>
        <v>31</v>
      </c>
      <c r="E226" s="280">
        <f t="shared" ca="1" si="59"/>
        <v>722105.04544270039</v>
      </c>
      <c r="F226" s="280">
        <f ca="1">IF(AND(A225="",A227=""),"",IF(A226="",SUM($F$25:F225),IF(A226=$D$8,$E$24-SUM($F$25:F225),$F$13-G226)))</f>
        <v>15179.761281566934</v>
      </c>
      <c r="G226" s="280">
        <f ca="1">IF(A225=$D$8,SUM($G$25:G225),IF(A225&gt;$D$8,"",E225*D226*$F$18/T225))</f>
        <v>8052.7660561286675</v>
      </c>
      <c r="H226" s="280">
        <f ca="1">IF(A225=$D$8,SUM($H$25:H225),IF(A225="","",(G226+F226)))</f>
        <v>23232.527337695603</v>
      </c>
      <c r="I226" s="280" t="str">
        <f t="shared" si="50"/>
        <v/>
      </c>
      <c r="J226" s="280" t="str">
        <f t="shared" si="51"/>
        <v/>
      </c>
      <c r="K226" s="280"/>
      <c r="L226" s="280" t="str">
        <f t="shared" si="52"/>
        <v/>
      </c>
      <c r="M226" s="280" t="str">
        <f t="shared" si="53"/>
        <v/>
      </c>
      <c r="N226" s="283" t="str">
        <f t="shared" si="62"/>
        <v/>
      </c>
      <c r="P226" s="289" t="str">
        <f>IF(A225=$D$8,XIRR(R$24:R225,C$24:C225),"")</f>
        <v/>
      </c>
      <c r="Q226" s="280" t="str">
        <f t="shared" si="60"/>
        <v/>
      </c>
      <c r="R226" s="283">
        <f t="shared" ca="1" si="55"/>
        <v>23232.527337695603</v>
      </c>
      <c r="S226" s="284">
        <f t="shared" ca="1" si="56"/>
        <v>2038</v>
      </c>
      <c r="T226" s="284">
        <f t="shared" ca="1" si="57"/>
        <v>365</v>
      </c>
    </row>
    <row r="227" spans="1:20" x14ac:dyDescent="0.35">
      <c r="A227" s="285">
        <f t="shared" si="58"/>
        <v>203</v>
      </c>
      <c r="B227" s="286">
        <f t="shared" ca="1" si="54"/>
        <v>50666</v>
      </c>
      <c r="C227" s="286">
        <f t="shared" ca="1" si="61"/>
        <v>50666</v>
      </c>
      <c r="D227" s="285">
        <f t="shared" ca="1" si="49"/>
        <v>31</v>
      </c>
      <c r="E227" s="280">
        <f t="shared" ca="1" si="59"/>
        <v>706759.48789722903</v>
      </c>
      <c r="F227" s="280">
        <f ca="1">IF(AND(A226="",A228=""),"",IF(A227="",SUM($F$25:F226),IF(A227=$D$8,$E$24-SUM($F$25:F226),$F$13-G227)))</f>
        <v>15345.557545471303</v>
      </c>
      <c r="G227" s="280">
        <f ca="1">IF(A226=$D$8,SUM($G$25:G226),IF(A226&gt;$D$8,"",E226*D227*$F$18/T226))</f>
        <v>7886.9697922242995</v>
      </c>
      <c r="H227" s="280">
        <f ca="1">IF(A226=$D$8,SUM($H$25:H226),IF(A226="","",(G227+F227)))</f>
        <v>23232.527337695603</v>
      </c>
      <c r="I227" s="280" t="str">
        <f t="shared" si="50"/>
        <v/>
      </c>
      <c r="J227" s="280" t="str">
        <f t="shared" si="51"/>
        <v/>
      </c>
      <c r="K227" s="280"/>
      <c r="L227" s="280" t="str">
        <f t="shared" si="52"/>
        <v/>
      </c>
      <c r="M227" s="280" t="str">
        <f t="shared" si="53"/>
        <v/>
      </c>
      <c r="N227" s="283" t="str">
        <f t="shared" si="62"/>
        <v/>
      </c>
      <c r="P227" s="289" t="str">
        <f>IF(A226=$D$8,XIRR(R$24:R226,C$24:C226),"")</f>
        <v/>
      </c>
      <c r="Q227" s="280" t="str">
        <f t="shared" si="60"/>
        <v/>
      </c>
      <c r="R227" s="283">
        <f t="shared" ca="1" si="55"/>
        <v>23232.527337695603</v>
      </c>
      <c r="S227" s="284">
        <f t="shared" ca="1" si="56"/>
        <v>2038</v>
      </c>
      <c r="T227" s="284">
        <f t="shared" ca="1" si="57"/>
        <v>365</v>
      </c>
    </row>
    <row r="228" spans="1:20" x14ac:dyDescent="0.35">
      <c r="A228" s="285">
        <f t="shared" si="58"/>
        <v>204</v>
      </c>
      <c r="B228" s="286">
        <f t="shared" ca="1" si="54"/>
        <v>50696</v>
      </c>
      <c r="C228" s="286">
        <f t="shared" ca="1" si="61"/>
        <v>50696</v>
      </c>
      <c r="D228" s="285">
        <f t="shared" ca="1" si="49"/>
        <v>30</v>
      </c>
      <c r="E228" s="280">
        <f t="shared" ca="1" si="59"/>
        <v>690997.31153023895</v>
      </c>
      <c r="F228" s="280">
        <f ca="1">IF(AND(A227="",A229=""),"",IF(A228="",SUM($F$25:F227),IF(A228=$D$8,$E$24-SUM($F$25:F227),$F$13-G228)))</f>
        <v>15762.176366990097</v>
      </c>
      <c r="G228" s="280">
        <f ca="1">IF(A227=$D$8,SUM($G$25:G227),IF(A227&gt;$D$8,"",E227*D228*$F$18/T227))</f>
        <v>7470.3509707055055</v>
      </c>
      <c r="H228" s="280">
        <f ca="1">IF(A227=$D$8,SUM($H$25:H227),IF(A227="","",(G228+F228)))</f>
        <v>23232.527337695603</v>
      </c>
      <c r="I228" s="280" t="str">
        <f t="shared" si="50"/>
        <v/>
      </c>
      <c r="J228" s="280" t="str">
        <f t="shared" si="51"/>
        <v/>
      </c>
      <c r="K228" s="280"/>
      <c r="L228" s="280" t="str">
        <f t="shared" si="52"/>
        <v/>
      </c>
      <c r="M228" s="280" t="str">
        <f t="shared" si="53"/>
        <v/>
      </c>
      <c r="N228" s="283" t="str">
        <f t="shared" si="62"/>
        <v/>
      </c>
      <c r="P228" s="289" t="str">
        <f>IF(A227=$D$8,XIRR(R$24:R227,C$24:C227),"")</f>
        <v/>
      </c>
      <c r="Q228" s="280" t="str">
        <f t="shared" si="60"/>
        <v/>
      </c>
      <c r="R228" s="283">
        <f t="shared" ca="1" si="55"/>
        <v>23232.527337695603</v>
      </c>
      <c r="S228" s="284">
        <f t="shared" ca="1" si="56"/>
        <v>2038</v>
      </c>
      <c r="T228" s="284">
        <f t="shared" ca="1" si="57"/>
        <v>365</v>
      </c>
    </row>
    <row r="229" spans="1:20" x14ac:dyDescent="0.35">
      <c r="A229" s="285">
        <f t="shared" si="58"/>
        <v>205</v>
      </c>
      <c r="B229" s="286">
        <f t="shared" ca="1" si="54"/>
        <v>50727</v>
      </c>
      <c r="C229" s="286">
        <f t="shared" ca="1" si="61"/>
        <v>50727</v>
      </c>
      <c r="D229" s="285">
        <f t="shared" ca="1" si="49"/>
        <v>31</v>
      </c>
      <c r="E229" s="280">
        <f t="shared" ca="1" si="59"/>
        <v>675311.989349109</v>
      </c>
      <c r="F229" s="280">
        <f ca="1">IF(AND(A228="",A230=""),"",IF(A229="",SUM($F$25:F228),IF(A229=$D$8,$E$24-SUM($F$25:F228),$F$13-G229)))</f>
        <v>15685.322181129985</v>
      </c>
      <c r="G229" s="280">
        <f ca="1">IF(A228=$D$8,SUM($G$25:G228),IF(A228&gt;$D$8,"",E228*D229*$F$18/T228))</f>
        <v>7547.2051565656175</v>
      </c>
      <c r="H229" s="280">
        <f ca="1">IF(A228=$D$8,SUM($H$25:H228),IF(A228="","",(G229+F229)))</f>
        <v>23232.527337695603</v>
      </c>
      <c r="I229" s="280" t="str">
        <f t="shared" si="50"/>
        <v/>
      </c>
      <c r="J229" s="280" t="str">
        <f t="shared" si="51"/>
        <v/>
      </c>
      <c r="K229" s="280">
        <f>IF($F$8&gt;204,($O$8+$O$10),IF($A$228=$F$8,$K$24*$G$8,""))</f>
        <v>7500</v>
      </c>
      <c r="L229" s="280" t="str">
        <f t="shared" si="52"/>
        <v/>
      </c>
      <c r="M229" s="280" t="str">
        <f t="shared" si="53"/>
        <v/>
      </c>
      <c r="N229" s="280">
        <f>IF($F$8&gt;204,($N$14),IF(A228=$F$8,N217+N205+N193+N181+N169+N157+N145+N133+N121+N109+N97+N85+N73+N61+N49+N37+N24,""))</f>
        <v>0</v>
      </c>
      <c r="P229" s="289" t="str">
        <f>IF(A228=$D$8,XIRR(R$24:R228,C$24:C228),"")</f>
        <v/>
      </c>
      <c r="Q229" s="280" t="str">
        <f t="shared" si="60"/>
        <v/>
      </c>
      <c r="R229" s="283">
        <f t="shared" ca="1" si="55"/>
        <v>30732.527337695603</v>
      </c>
      <c r="S229" s="284">
        <f t="shared" ca="1" si="56"/>
        <v>2038</v>
      </c>
      <c r="T229" s="284">
        <f t="shared" ca="1" si="57"/>
        <v>365</v>
      </c>
    </row>
    <row r="230" spans="1:20" x14ac:dyDescent="0.35">
      <c r="A230" s="285">
        <f t="shared" si="58"/>
        <v>206</v>
      </c>
      <c r="B230" s="286">
        <f t="shared" ca="1" si="54"/>
        <v>50757</v>
      </c>
      <c r="C230" s="286">
        <f t="shared" ca="1" si="61"/>
        <v>50757</v>
      </c>
      <c r="D230" s="285">
        <f t="shared" ref="D230:D264" ca="1" si="63">IF(A230&gt;$D$8,"",C230-C229)</f>
        <v>30</v>
      </c>
      <c r="E230" s="280">
        <f t="shared" ca="1" si="59"/>
        <v>659217.41723034182</v>
      </c>
      <c r="F230" s="280">
        <f ca="1">IF(AND(A229="",A231=""),"",IF(A230="",SUM($F$25:F229),IF(A230=$D$8,$E$24-SUM($F$25:F229),$F$13-G230)))</f>
        <v>16094.572118767213</v>
      </c>
      <c r="G230" s="280">
        <f ca="1">IF(A229=$D$8,SUM($G$25:G229),IF(A229&gt;$D$8,"",E229*D230*$F$18/T229))</f>
        <v>7137.9552189283904</v>
      </c>
      <c r="H230" s="280">
        <f ca="1">IF(A229=$D$8,SUM($H$25:H229),IF(A229="","",(G230+F230)))</f>
        <v>23232.527337695603</v>
      </c>
      <c r="I230" s="280" t="str">
        <f t="shared" ref="I230:I265" si="64">IF(A229=$F$8,$I$24,"")</f>
        <v/>
      </c>
      <c r="J230" s="280" t="str">
        <f t="shared" ref="J230:J265" si="65">IF(A229=$F$8,$J$24,"")</f>
        <v/>
      </c>
      <c r="K230" s="280"/>
      <c r="L230" s="280" t="str">
        <f t="shared" ref="L230:L265" si="66">IF(A229=$F$8,$L$24,"")</f>
        <v/>
      </c>
      <c r="M230" s="280" t="str">
        <f t="shared" ref="M230:M265" si="67">IF(A229=$F$8,$M$24,"")</f>
        <v/>
      </c>
      <c r="N230" s="283" t="str">
        <f t="shared" si="62"/>
        <v/>
      </c>
      <c r="P230" s="289" t="str">
        <f>IF(A229=$D$8,XIRR(R$24:R229,C$24:C229),"")</f>
        <v/>
      </c>
      <c r="Q230" s="280" t="str">
        <f t="shared" si="60"/>
        <v/>
      </c>
      <c r="R230" s="283">
        <f t="shared" ca="1" si="55"/>
        <v>23232.527337695603</v>
      </c>
      <c r="S230" s="284">
        <f t="shared" ca="1" si="56"/>
        <v>2038</v>
      </c>
      <c r="T230" s="284">
        <f t="shared" ca="1" si="57"/>
        <v>365</v>
      </c>
    </row>
    <row r="231" spans="1:20" x14ac:dyDescent="0.35">
      <c r="A231" s="285">
        <f t="shared" si="58"/>
        <v>207</v>
      </c>
      <c r="B231" s="286">
        <f t="shared" ca="1" si="54"/>
        <v>50788</v>
      </c>
      <c r="C231" s="286">
        <f t="shared" ca="1" si="61"/>
        <v>50788</v>
      </c>
      <c r="D231" s="285">
        <f t="shared" ca="1" si="63"/>
        <v>31</v>
      </c>
      <c r="E231" s="280">
        <f t="shared" ca="1" si="59"/>
        <v>643184.98894889408</v>
      </c>
      <c r="F231" s="280">
        <f ca="1">IF(AND(A230="",A232=""),"",IF(A231="",SUM($F$25:F230),IF(A231=$D$8,$E$24-SUM($F$25:F230),$F$13-G231)))</f>
        <v>16032.428281447712</v>
      </c>
      <c r="G231" s="280">
        <f ca="1">IF(A230=$D$8,SUM($G$25:G230),IF(A230&gt;$D$8,"",E230*D231*$F$18/T230))</f>
        <v>7200.0990562478919</v>
      </c>
      <c r="H231" s="280">
        <f ca="1">IF(A230=$D$8,SUM($H$25:H230),IF(A230="","",(G231+F231)))</f>
        <v>23232.527337695603</v>
      </c>
      <c r="I231" s="280" t="str">
        <f t="shared" si="64"/>
        <v/>
      </c>
      <c r="J231" s="280" t="str">
        <f t="shared" si="65"/>
        <v/>
      </c>
      <c r="K231" s="280"/>
      <c r="L231" s="280" t="str">
        <f t="shared" si="66"/>
        <v/>
      </c>
      <c r="M231" s="280" t="str">
        <f t="shared" si="67"/>
        <v/>
      </c>
      <c r="N231" s="283" t="str">
        <f t="shared" si="62"/>
        <v/>
      </c>
      <c r="P231" s="289" t="str">
        <f>IF(A230=$D$8,XIRR(R$24:R230,C$24:C230),"")</f>
        <v/>
      </c>
      <c r="Q231" s="280" t="str">
        <f t="shared" si="60"/>
        <v/>
      </c>
      <c r="R231" s="283">
        <f t="shared" ca="1" si="55"/>
        <v>23232.527337695603</v>
      </c>
      <c r="S231" s="284">
        <f t="shared" ca="1" si="56"/>
        <v>2039</v>
      </c>
      <c r="T231" s="284">
        <f t="shared" ca="1" si="57"/>
        <v>365</v>
      </c>
    </row>
    <row r="232" spans="1:20" x14ac:dyDescent="0.35">
      <c r="A232" s="285">
        <f t="shared" si="58"/>
        <v>208</v>
      </c>
      <c r="B232" s="286">
        <f t="shared" ca="1" si="54"/>
        <v>50819</v>
      </c>
      <c r="C232" s="286">
        <f t="shared" ca="1" si="61"/>
        <v>50819</v>
      </c>
      <c r="D232" s="285">
        <f t="shared" ca="1" si="63"/>
        <v>31</v>
      </c>
      <c r="E232" s="280">
        <f t="shared" ca="1" si="59"/>
        <v>626977.45141104411</v>
      </c>
      <c r="F232" s="280">
        <f ca="1">IF(AND(A231="",A233=""),"",IF(A232="",SUM($F$25:F231),IF(A232=$D$8,$E$24-SUM($F$25:F231),$F$13-G232)))</f>
        <v>16207.537537849956</v>
      </c>
      <c r="G232" s="280">
        <f ca="1">IF(A231=$D$8,SUM($G$25:G231),IF(A231&gt;$D$8,"",E231*D232*$F$18/T231))</f>
        <v>7024.9897998456472</v>
      </c>
      <c r="H232" s="280">
        <f ca="1">IF(A231=$D$8,SUM($H$25:H231),IF(A231="","",(G232+F232)))</f>
        <v>23232.527337695603</v>
      </c>
      <c r="I232" s="280" t="str">
        <f t="shared" si="64"/>
        <v/>
      </c>
      <c r="J232" s="280" t="str">
        <f t="shared" si="65"/>
        <v/>
      </c>
      <c r="K232" s="280"/>
      <c r="L232" s="280" t="str">
        <f t="shared" si="66"/>
        <v/>
      </c>
      <c r="M232" s="280" t="str">
        <f t="shared" si="67"/>
        <v/>
      </c>
      <c r="N232" s="283" t="str">
        <f t="shared" si="62"/>
        <v/>
      </c>
      <c r="P232" s="289" t="str">
        <f>IF(A231=$D$8,XIRR(R$24:R231,C$24:C231),"")</f>
        <v/>
      </c>
      <c r="Q232" s="280" t="str">
        <f t="shared" si="60"/>
        <v/>
      </c>
      <c r="R232" s="283">
        <f t="shared" ca="1" si="55"/>
        <v>23232.527337695603</v>
      </c>
      <c r="S232" s="284">
        <f t="shared" ca="1" si="56"/>
        <v>2039</v>
      </c>
      <c r="T232" s="284">
        <f t="shared" ca="1" si="57"/>
        <v>365</v>
      </c>
    </row>
    <row r="233" spans="1:20" x14ac:dyDescent="0.35">
      <c r="A233" s="285">
        <f t="shared" si="58"/>
        <v>209</v>
      </c>
      <c r="B233" s="286">
        <f t="shared" ca="1" si="54"/>
        <v>50847</v>
      </c>
      <c r="C233" s="286">
        <f t="shared" ca="1" si="61"/>
        <v>50847</v>
      </c>
      <c r="D233" s="285">
        <f t="shared" ca="1" si="63"/>
        <v>28</v>
      </c>
      <c r="E233" s="280">
        <f t="shared" ca="1" si="59"/>
        <v>609930.1854625016</v>
      </c>
      <c r="F233" s="280">
        <f ca="1">IF(AND(A232="",A234=""),"",IF(A233="",SUM($F$25:F232),IF(A233=$D$8,$E$24-SUM($F$25:F232),$F$13-G233)))</f>
        <v>17047.265948542488</v>
      </c>
      <c r="G233" s="280">
        <f ca="1">IF(A232=$D$8,SUM($G$25:G232),IF(A232&gt;$D$8,"",E232*D233*$F$18/T232))</f>
        <v>6185.2613891531164</v>
      </c>
      <c r="H233" s="280">
        <f ca="1">IF(A232=$D$8,SUM($H$25:H232),IF(A232="","",(G233+F233)))</f>
        <v>23232.527337695603</v>
      </c>
      <c r="I233" s="280" t="str">
        <f t="shared" si="64"/>
        <v/>
      </c>
      <c r="J233" s="280" t="str">
        <f t="shared" si="65"/>
        <v/>
      </c>
      <c r="K233" s="280"/>
      <c r="L233" s="280" t="str">
        <f t="shared" si="66"/>
        <v/>
      </c>
      <c r="M233" s="280" t="str">
        <f t="shared" si="67"/>
        <v/>
      </c>
      <c r="N233" s="283" t="str">
        <f t="shared" si="62"/>
        <v/>
      </c>
      <c r="P233" s="289" t="str">
        <f>IF(A232=$D$8,XIRR(R$24:R232,C$24:C232),"")</f>
        <v/>
      </c>
      <c r="Q233" s="280" t="str">
        <f t="shared" si="60"/>
        <v/>
      </c>
      <c r="R233" s="283">
        <f t="shared" ca="1" si="55"/>
        <v>23232.527337695603</v>
      </c>
      <c r="S233" s="284">
        <f t="shared" ca="1" si="56"/>
        <v>2039</v>
      </c>
      <c r="T233" s="284">
        <f t="shared" ca="1" si="57"/>
        <v>365</v>
      </c>
    </row>
    <row r="234" spans="1:20" x14ac:dyDescent="0.35">
      <c r="A234" s="285">
        <f t="shared" si="58"/>
        <v>210</v>
      </c>
      <c r="B234" s="286">
        <f t="shared" ca="1" si="54"/>
        <v>50878</v>
      </c>
      <c r="C234" s="286">
        <f t="shared" ca="1" si="61"/>
        <v>50878</v>
      </c>
      <c r="D234" s="285">
        <f t="shared" ca="1" si="63"/>
        <v>31</v>
      </c>
      <c r="E234" s="280">
        <f t="shared" ca="1" si="59"/>
        <v>593359.43258333975</v>
      </c>
      <c r="F234" s="280">
        <f ca="1">IF(AND(A233="",A235=""),"",IF(A234="",SUM($F$25:F233),IF(A234=$D$8,$E$24-SUM($F$25:F233),$F$13-G234)))</f>
        <v>16570.752879161879</v>
      </c>
      <c r="G234" s="280">
        <f ca="1">IF(A233=$D$8,SUM($G$25:G233),IF(A233&gt;$D$8,"",E233*D234*$F$18/T233))</f>
        <v>6661.7744585337232</v>
      </c>
      <c r="H234" s="280">
        <f ca="1">IF(A233=$D$8,SUM($H$25:H233),IF(A233="","",(G234+F234)))</f>
        <v>23232.527337695603</v>
      </c>
      <c r="I234" s="280" t="str">
        <f t="shared" si="64"/>
        <v/>
      </c>
      <c r="J234" s="280" t="str">
        <f t="shared" si="65"/>
        <v/>
      </c>
      <c r="K234" s="280"/>
      <c r="L234" s="280" t="str">
        <f t="shared" si="66"/>
        <v/>
      </c>
      <c r="M234" s="280" t="str">
        <f t="shared" si="67"/>
        <v/>
      </c>
      <c r="N234" s="283" t="str">
        <f t="shared" si="62"/>
        <v/>
      </c>
      <c r="P234" s="289" t="str">
        <f>IF(A233=$D$8,XIRR(R$24:R233,C$24:C233),"")</f>
        <v/>
      </c>
      <c r="Q234" s="280" t="str">
        <f t="shared" si="60"/>
        <v/>
      </c>
      <c r="R234" s="283">
        <f t="shared" ca="1" si="55"/>
        <v>23232.527337695603</v>
      </c>
      <c r="S234" s="284">
        <f t="shared" ca="1" si="56"/>
        <v>2039</v>
      </c>
      <c r="T234" s="284">
        <f t="shared" ca="1" si="57"/>
        <v>365</v>
      </c>
    </row>
    <row r="235" spans="1:20" x14ac:dyDescent="0.35">
      <c r="A235" s="285">
        <f t="shared" si="58"/>
        <v>211</v>
      </c>
      <c r="B235" s="286">
        <f t="shared" ca="1" si="54"/>
        <v>50908</v>
      </c>
      <c r="C235" s="286">
        <f t="shared" ca="1" si="61"/>
        <v>50908</v>
      </c>
      <c r="D235" s="285">
        <f t="shared" ca="1" si="63"/>
        <v>30</v>
      </c>
      <c r="E235" s="280">
        <f t="shared" ca="1" si="59"/>
        <v>576398.63316593599</v>
      </c>
      <c r="F235" s="280">
        <f ca="1">IF(AND(A234="",A236=""),"",IF(A235="",SUM($F$25:F234),IF(A235=$D$8,$E$24-SUM($F$25:F234),$F$13-G235)))</f>
        <v>16960.799417403756</v>
      </c>
      <c r="G235" s="280">
        <f ca="1">IF(A234=$D$8,SUM($G$25:G234),IF(A234&gt;$D$8,"",E234*D235*$F$18/T234))</f>
        <v>6271.727920291848</v>
      </c>
      <c r="H235" s="280">
        <f ca="1">IF(A234=$D$8,SUM($H$25:H234),IF(A234="","",(G235+F235)))</f>
        <v>23232.527337695603</v>
      </c>
      <c r="I235" s="280" t="str">
        <f t="shared" si="64"/>
        <v/>
      </c>
      <c r="J235" s="280" t="str">
        <f t="shared" si="65"/>
        <v/>
      </c>
      <c r="K235" s="280"/>
      <c r="L235" s="280" t="str">
        <f t="shared" si="66"/>
        <v/>
      </c>
      <c r="M235" s="280" t="str">
        <f t="shared" si="67"/>
        <v/>
      </c>
      <c r="N235" s="283" t="str">
        <f t="shared" si="62"/>
        <v/>
      </c>
      <c r="P235" s="289" t="str">
        <f>IF(A234=$D$8,XIRR(R$24:R234,C$24:C234),"")</f>
        <v/>
      </c>
      <c r="Q235" s="280" t="str">
        <f t="shared" si="60"/>
        <v/>
      </c>
      <c r="R235" s="283">
        <f t="shared" ca="1" si="55"/>
        <v>23232.527337695603</v>
      </c>
      <c r="S235" s="284">
        <f t="shared" ca="1" si="56"/>
        <v>2039</v>
      </c>
      <c r="T235" s="284">
        <f t="shared" ca="1" si="57"/>
        <v>365</v>
      </c>
    </row>
    <row r="236" spans="1:20" x14ac:dyDescent="0.35">
      <c r="A236" s="285">
        <f t="shared" si="58"/>
        <v>212</v>
      </c>
      <c r="B236" s="286">
        <f t="shared" ca="1" si="54"/>
        <v>50939</v>
      </c>
      <c r="C236" s="286">
        <f t="shared" ca="1" si="61"/>
        <v>50939</v>
      </c>
      <c r="D236" s="285">
        <f t="shared" ca="1" si="63"/>
        <v>31</v>
      </c>
      <c r="E236" s="280">
        <f t="shared" ca="1" si="59"/>
        <v>559461.64224188239</v>
      </c>
      <c r="F236" s="280">
        <f ca="1">IF(AND(A235="",A237=""),"",IF(A236="",SUM($F$25:F235),IF(A236=$D$8,$E$24-SUM($F$25:F235),$F$13-G236)))</f>
        <v>16936.990924053629</v>
      </c>
      <c r="G236" s="280">
        <f ca="1">IF(A235=$D$8,SUM($G$25:G235),IF(A235&gt;$D$8,"",E235*D236*$F$18/T235))</f>
        <v>6295.536413641973</v>
      </c>
      <c r="H236" s="280">
        <f ca="1">IF(A235=$D$8,SUM($H$25:H235),IF(A235="","",(G236+F236)))</f>
        <v>23232.527337695603</v>
      </c>
      <c r="I236" s="280" t="str">
        <f t="shared" si="64"/>
        <v/>
      </c>
      <c r="J236" s="280" t="str">
        <f t="shared" si="65"/>
        <v/>
      </c>
      <c r="K236" s="280"/>
      <c r="L236" s="280" t="str">
        <f t="shared" si="66"/>
        <v/>
      </c>
      <c r="M236" s="280" t="str">
        <f t="shared" si="67"/>
        <v/>
      </c>
      <c r="N236" s="283" t="str">
        <f t="shared" si="62"/>
        <v/>
      </c>
      <c r="P236" s="289" t="str">
        <f>IF(A235=$D$8,XIRR(R$24:R235,C$24:C235),"")</f>
        <v/>
      </c>
      <c r="Q236" s="280" t="str">
        <f t="shared" si="60"/>
        <v/>
      </c>
      <c r="R236" s="283">
        <f t="shared" ca="1" si="55"/>
        <v>23232.527337695603</v>
      </c>
      <c r="S236" s="284">
        <f t="shared" ca="1" si="56"/>
        <v>2039</v>
      </c>
      <c r="T236" s="284">
        <f t="shared" ca="1" si="57"/>
        <v>365</v>
      </c>
    </row>
    <row r="237" spans="1:20" x14ac:dyDescent="0.35">
      <c r="A237" s="285">
        <f t="shared" si="58"/>
        <v>213</v>
      </c>
      <c r="B237" s="286">
        <f t="shared" ca="1" si="54"/>
        <v>50969</v>
      </c>
      <c r="C237" s="286">
        <f t="shared" ca="1" si="61"/>
        <v>50969</v>
      </c>
      <c r="D237" s="285">
        <f t="shared" ca="1" si="63"/>
        <v>30</v>
      </c>
      <c r="E237" s="280">
        <f t="shared" ca="1" si="59"/>
        <v>542142.54782410234</v>
      </c>
      <c r="F237" s="280">
        <f ca="1">IF(AND(A236="",A238=""),"",IF(A237="",SUM($F$25:F236),IF(A237=$D$8,$E$24-SUM($F$25:F236),$F$13-G237)))</f>
        <v>17319.094417780034</v>
      </c>
      <c r="G237" s="280">
        <f ca="1">IF(A236=$D$8,SUM($G$25:G236),IF(A236&gt;$D$8,"",E236*D237*$F$18/T236))</f>
        <v>5913.4329199155682</v>
      </c>
      <c r="H237" s="280">
        <f ca="1">IF(A236=$D$8,SUM($H$25:H236),IF(A236="","",(G237+F237)))</f>
        <v>23232.527337695603</v>
      </c>
      <c r="I237" s="280" t="str">
        <f t="shared" si="64"/>
        <v/>
      </c>
      <c r="J237" s="280" t="str">
        <f t="shared" si="65"/>
        <v/>
      </c>
      <c r="K237" s="280"/>
      <c r="L237" s="280" t="str">
        <f t="shared" si="66"/>
        <v/>
      </c>
      <c r="M237" s="280" t="str">
        <f t="shared" si="67"/>
        <v/>
      </c>
      <c r="N237" s="283" t="str">
        <f t="shared" si="62"/>
        <v/>
      </c>
      <c r="P237" s="289" t="str">
        <f>IF(A236=$D$8,XIRR(R$24:R236,C$24:C236),"")</f>
        <v/>
      </c>
      <c r="Q237" s="280" t="str">
        <f t="shared" si="60"/>
        <v/>
      </c>
      <c r="R237" s="283">
        <f t="shared" ca="1" si="55"/>
        <v>23232.527337695603</v>
      </c>
      <c r="S237" s="284">
        <f t="shared" ca="1" si="56"/>
        <v>2039</v>
      </c>
      <c r="T237" s="284">
        <f t="shared" ca="1" si="57"/>
        <v>365</v>
      </c>
    </row>
    <row r="238" spans="1:20" x14ac:dyDescent="0.35">
      <c r="A238" s="285">
        <f t="shared" si="58"/>
        <v>214</v>
      </c>
      <c r="B238" s="286">
        <f t="shared" ref="B238:B264" ca="1" si="68">EDATE($B$24,A238)</f>
        <v>51000</v>
      </c>
      <c r="C238" s="286">
        <f t="shared" ca="1" si="61"/>
        <v>51000</v>
      </c>
      <c r="D238" s="285">
        <f t="shared" ca="1" si="63"/>
        <v>31</v>
      </c>
      <c r="E238" s="280">
        <f t="shared" ca="1" si="59"/>
        <v>524831.40536628501</v>
      </c>
      <c r="F238" s="280">
        <f ca="1">IF(AND(A237="",A239=""),"",IF(A238="",SUM($F$25:F237),IF(A238=$D$8,$E$24-SUM($F$25:F237),$F$13-G238)))</f>
        <v>17311.142457817339</v>
      </c>
      <c r="G238" s="280">
        <f ca="1">IF(A237=$D$8,SUM($G$25:G237),IF(A237&gt;$D$8,"",E237*D238*$F$18/T237))</f>
        <v>5921.3848798782628</v>
      </c>
      <c r="H238" s="280">
        <f ca="1">IF(A237=$D$8,SUM($H$25:H237),IF(A237="","",(G238+F238)))</f>
        <v>23232.527337695603</v>
      </c>
      <c r="I238" s="280" t="str">
        <f t="shared" si="64"/>
        <v/>
      </c>
      <c r="J238" s="280" t="str">
        <f t="shared" si="65"/>
        <v/>
      </c>
      <c r="K238" s="280"/>
      <c r="L238" s="280" t="str">
        <f t="shared" si="66"/>
        <v/>
      </c>
      <c r="M238" s="280" t="str">
        <f t="shared" si="67"/>
        <v/>
      </c>
      <c r="N238" s="283" t="str">
        <f t="shared" si="62"/>
        <v/>
      </c>
      <c r="P238" s="289" t="str">
        <f>IF(A237=$D$8,XIRR(R$24:R237,C$24:C237),"")</f>
        <v/>
      </c>
      <c r="Q238" s="280" t="str">
        <f t="shared" si="60"/>
        <v/>
      </c>
      <c r="R238" s="283">
        <f t="shared" ca="1" si="55"/>
        <v>23232.527337695603</v>
      </c>
      <c r="S238" s="284">
        <f t="shared" ca="1" si="56"/>
        <v>2039</v>
      </c>
      <c r="T238" s="284">
        <f t="shared" ca="1" si="57"/>
        <v>365</v>
      </c>
    </row>
    <row r="239" spans="1:20" x14ac:dyDescent="0.35">
      <c r="A239" s="285">
        <f t="shared" si="58"/>
        <v>215</v>
      </c>
      <c r="B239" s="286">
        <f t="shared" ca="1" si="68"/>
        <v>51031</v>
      </c>
      <c r="C239" s="286">
        <f t="shared" ca="1" si="61"/>
        <v>51031</v>
      </c>
      <c r="D239" s="285">
        <f t="shared" ca="1" si="63"/>
        <v>31</v>
      </c>
      <c r="E239" s="280">
        <f t="shared" ca="1" si="59"/>
        <v>507331.18729059823</v>
      </c>
      <c r="F239" s="280">
        <f ca="1">IF(AND(A238="",A240=""),"",IF(A239="",SUM($F$25:F238),IF(A239=$D$8,$E$24-SUM($F$25:F238),$F$13-G239)))</f>
        <v>17500.218075686749</v>
      </c>
      <c r="G239" s="280">
        <f ca="1">IF(A238=$D$8,SUM($G$25:G238),IF(A238&gt;$D$8,"",E238*D239*$F$18/T238))</f>
        <v>5732.3092620088537</v>
      </c>
      <c r="H239" s="280">
        <f ca="1">IF(A238=$D$8,SUM($H$25:H238),IF(A238="","",(G239+F239)))</f>
        <v>23232.527337695603</v>
      </c>
      <c r="I239" s="280" t="str">
        <f t="shared" si="64"/>
        <v/>
      </c>
      <c r="J239" s="280" t="str">
        <f t="shared" si="65"/>
        <v/>
      </c>
      <c r="K239" s="280"/>
      <c r="L239" s="280" t="str">
        <f t="shared" si="66"/>
        <v/>
      </c>
      <c r="M239" s="280" t="str">
        <f t="shared" si="67"/>
        <v/>
      </c>
      <c r="N239" s="283" t="str">
        <f t="shared" si="62"/>
        <v/>
      </c>
      <c r="P239" s="289" t="str">
        <f>IF(A238=$D$8,XIRR(R$24:R238,C$24:C238),"")</f>
        <v/>
      </c>
      <c r="Q239" s="280" t="str">
        <f t="shared" si="60"/>
        <v/>
      </c>
      <c r="R239" s="283">
        <f t="shared" ca="1" si="55"/>
        <v>23232.527337695603</v>
      </c>
      <c r="S239" s="284">
        <f t="shared" ca="1" si="56"/>
        <v>2039</v>
      </c>
      <c r="T239" s="284">
        <f t="shared" ca="1" si="57"/>
        <v>365</v>
      </c>
    </row>
    <row r="240" spans="1:20" x14ac:dyDescent="0.35">
      <c r="A240" s="285">
        <f t="shared" si="58"/>
        <v>216</v>
      </c>
      <c r="B240" s="286">
        <f t="shared" ca="1" si="68"/>
        <v>51061</v>
      </c>
      <c r="C240" s="286">
        <f t="shared" ca="1" si="61"/>
        <v>51061</v>
      </c>
      <c r="D240" s="285">
        <f t="shared" ca="1" si="63"/>
        <v>30</v>
      </c>
      <c r="E240" s="280">
        <f t="shared" ca="1" si="59"/>
        <v>489461.08110514132</v>
      </c>
      <c r="F240" s="280">
        <f ca="1">IF(AND(A239="",A241=""),"",IF(A240="",SUM($F$25:F239),IF(A240=$D$8,$E$24-SUM($F$25:F239),$F$13-G240)))</f>
        <v>17870.106185456898</v>
      </c>
      <c r="G240" s="280">
        <f ca="1">IF(A239=$D$8,SUM($G$25:G239),IF(A239&gt;$D$8,"",E239*D240*$F$18/T239))</f>
        <v>5362.4211522387059</v>
      </c>
      <c r="H240" s="280">
        <f ca="1">IF(A239=$D$8,SUM($H$25:H239),IF(A239="","",(G240+F240)))</f>
        <v>23232.527337695603</v>
      </c>
      <c r="I240" s="280" t="str">
        <f t="shared" si="64"/>
        <v/>
      </c>
      <c r="J240" s="280" t="str">
        <f t="shared" si="65"/>
        <v/>
      </c>
      <c r="K240" s="280"/>
      <c r="L240" s="280" t="str">
        <f t="shared" si="66"/>
        <v/>
      </c>
      <c r="M240" s="280" t="str">
        <f t="shared" si="67"/>
        <v/>
      </c>
      <c r="N240" s="283" t="str">
        <f t="shared" si="62"/>
        <v/>
      </c>
      <c r="P240" s="289" t="str">
        <f>IF(A239=$D$8,XIRR(R$24:R239,C$24:C239),"")</f>
        <v/>
      </c>
      <c r="Q240" s="280" t="str">
        <f t="shared" si="60"/>
        <v/>
      </c>
      <c r="R240" s="283">
        <f t="shared" ca="1" si="55"/>
        <v>23232.527337695603</v>
      </c>
      <c r="S240" s="284">
        <f t="shared" ca="1" si="56"/>
        <v>2039</v>
      </c>
      <c r="T240" s="284">
        <f t="shared" ca="1" si="57"/>
        <v>365</v>
      </c>
    </row>
    <row r="241" spans="1:20" x14ac:dyDescent="0.35">
      <c r="A241" s="285">
        <f t="shared" si="58"/>
        <v>217</v>
      </c>
      <c r="B241" s="286">
        <f t="shared" ca="1" si="68"/>
        <v>51092</v>
      </c>
      <c r="C241" s="286">
        <f t="shared" ca="1" si="61"/>
        <v>51092</v>
      </c>
      <c r="D241" s="285">
        <f t="shared" ca="1" si="63"/>
        <v>31</v>
      </c>
      <c r="E241" s="280">
        <f t="shared" ca="1" si="59"/>
        <v>471574.54156452452</v>
      </c>
      <c r="F241" s="280">
        <f ca="1">IF(AND(A240="",A242=""),"",IF(A241="",SUM($F$25:F240),IF(A241=$D$8,$E$24-SUM($F$25:F240),$F$13-G241)))</f>
        <v>17886.539540616817</v>
      </c>
      <c r="G241" s="280">
        <f ca="1">IF(A240=$D$8,SUM($G$25:G240),IF(A240&gt;$D$8,"",E240*D241*$F$18/T240))</f>
        <v>5345.9877970787848</v>
      </c>
      <c r="H241" s="280">
        <f ca="1">IF(A240=$D$8,SUM($H$25:H240),IF(A240="","",(G241+F241)))</f>
        <v>23232.527337695603</v>
      </c>
      <c r="I241" s="280" t="str">
        <f t="shared" si="64"/>
        <v/>
      </c>
      <c r="J241" s="280" t="str">
        <f t="shared" si="65"/>
        <v/>
      </c>
      <c r="K241" s="280">
        <f>IF($F$8&gt;216,($O$8+$O$10),IF($A$240=$F$8,$K$24*$G$8,""))</f>
        <v>7500</v>
      </c>
      <c r="L241" s="280" t="str">
        <f t="shared" si="66"/>
        <v/>
      </c>
      <c r="M241" s="280" t="str">
        <f t="shared" si="67"/>
        <v/>
      </c>
      <c r="N241" s="280">
        <f>IF($F$8&gt;216,($N$14),IF(A240=$F$8,N229+N217+N205+N193+N181+N169+N157+N145+N133+N121+N109+N97+N85+N73+N61+N49+N37+N24,""))</f>
        <v>0</v>
      </c>
      <c r="P241" s="289" t="str">
        <f>IF(A240=$D$8,XIRR(R$24:R240,C$24:C240),"")</f>
        <v/>
      </c>
      <c r="Q241" s="280" t="str">
        <f t="shared" si="60"/>
        <v/>
      </c>
      <c r="R241" s="283">
        <f t="shared" ca="1" si="55"/>
        <v>30732.527337695603</v>
      </c>
      <c r="S241" s="284">
        <f t="shared" ca="1" si="56"/>
        <v>2039</v>
      </c>
      <c r="T241" s="284">
        <f t="shared" ca="1" si="57"/>
        <v>365</v>
      </c>
    </row>
    <row r="242" spans="1:20" x14ac:dyDescent="0.35">
      <c r="A242" s="285">
        <f t="shared" si="58"/>
        <v>218</v>
      </c>
      <c r="B242" s="286">
        <f t="shared" ca="1" si="68"/>
        <v>51122</v>
      </c>
      <c r="C242" s="286">
        <f t="shared" ca="1" si="61"/>
        <v>51122</v>
      </c>
      <c r="D242" s="285">
        <f t="shared" ca="1" si="63"/>
        <v>30</v>
      </c>
      <c r="E242" s="280">
        <f t="shared" ca="1" si="59"/>
        <v>453326.49253191368</v>
      </c>
      <c r="F242" s="280">
        <f ca="1">IF(AND(A241="",A243=""),"",IF(A242="",SUM($F$25:F241),IF(A242=$D$8,$E$24-SUM($F$25:F241),$F$13-G242)))</f>
        <v>18248.049032610848</v>
      </c>
      <c r="G242" s="280">
        <f ca="1">IF(A241=$D$8,SUM($G$25:G241),IF(A241&gt;$D$8,"",E241*D242*$F$18/T241))</f>
        <v>4984.4783050847554</v>
      </c>
      <c r="H242" s="280">
        <f ca="1">IF(A241=$D$8,SUM($H$25:H241),IF(A241="","",(G242+F242)))</f>
        <v>23232.527337695603</v>
      </c>
      <c r="I242" s="280" t="str">
        <f t="shared" si="64"/>
        <v/>
      </c>
      <c r="J242" s="280" t="str">
        <f t="shared" si="65"/>
        <v/>
      </c>
      <c r="K242" s="280"/>
      <c r="L242" s="280" t="str">
        <f t="shared" si="66"/>
        <v/>
      </c>
      <c r="M242" s="280" t="str">
        <f t="shared" si="67"/>
        <v/>
      </c>
      <c r="N242" s="283" t="str">
        <f t="shared" si="62"/>
        <v/>
      </c>
      <c r="P242" s="289" t="str">
        <f>IF(A241=$D$8,XIRR(R$24:R241,C$24:C241),"")</f>
        <v/>
      </c>
      <c r="Q242" s="280" t="str">
        <f t="shared" si="60"/>
        <v/>
      </c>
      <c r="R242" s="283">
        <f t="shared" ca="1" si="55"/>
        <v>23232.527337695603</v>
      </c>
      <c r="S242" s="284">
        <f t="shared" ca="1" si="56"/>
        <v>2039</v>
      </c>
      <c r="T242" s="284">
        <f t="shared" ca="1" si="57"/>
        <v>365</v>
      </c>
    </row>
    <row r="243" spans="1:20" x14ac:dyDescent="0.35">
      <c r="A243" s="285">
        <f t="shared" si="58"/>
        <v>219</v>
      </c>
      <c r="B243" s="286">
        <f t="shared" ca="1" si="68"/>
        <v>51153</v>
      </c>
      <c r="C243" s="286">
        <f t="shared" ca="1" si="61"/>
        <v>51153</v>
      </c>
      <c r="D243" s="285">
        <f t="shared" ca="1" si="63"/>
        <v>31</v>
      </c>
      <c r="E243" s="280">
        <f t="shared" ca="1" si="59"/>
        <v>435045.28408497898</v>
      </c>
      <c r="F243" s="280">
        <f ca="1">IF(AND(A242="",A244=""),"",IF(A243="",SUM($F$25:F242),IF(A243=$D$8,$E$24-SUM($F$25:F242),$F$13-G243)))</f>
        <v>18281.208446934706</v>
      </c>
      <c r="G243" s="280">
        <f ca="1">IF(A242=$D$8,SUM($G$25:G242),IF(A242&gt;$D$8,"",E242*D243*$F$18/T242))</f>
        <v>4951.3188907608956</v>
      </c>
      <c r="H243" s="280">
        <f ca="1">IF(A242=$D$8,SUM($H$25:H242),IF(A242="","",(G243+F243)))</f>
        <v>23232.527337695603</v>
      </c>
      <c r="I243" s="280" t="str">
        <f t="shared" si="64"/>
        <v/>
      </c>
      <c r="J243" s="280" t="str">
        <f t="shared" si="65"/>
        <v/>
      </c>
      <c r="K243" s="280"/>
      <c r="L243" s="280" t="str">
        <f t="shared" si="66"/>
        <v/>
      </c>
      <c r="M243" s="280" t="str">
        <f t="shared" si="67"/>
        <v/>
      </c>
      <c r="N243" s="283" t="str">
        <f t="shared" si="62"/>
        <v/>
      </c>
      <c r="P243" s="289" t="str">
        <f>IF(A242=$D$8,XIRR(R$24:R242,C$24:C242),"")</f>
        <v/>
      </c>
      <c r="Q243" s="280" t="str">
        <f t="shared" si="60"/>
        <v/>
      </c>
      <c r="R243" s="283">
        <f t="shared" ca="1" si="55"/>
        <v>23232.527337695603</v>
      </c>
      <c r="S243" s="284">
        <f t="shared" ca="1" si="56"/>
        <v>2040</v>
      </c>
      <c r="T243" s="284">
        <f t="shared" ca="1" si="57"/>
        <v>366</v>
      </c>
    </row>
    <row r="244" spans="1:20" x14ac:dyDescent="0.35">
      <c r="A244" s="285">
        <f t="shared" si="58"/>
        <v>220</v>
      </c>
      <c r="B244" s="286">
        <f t="shared" ca="1" si="68"/>
        <v>51184</v>
      </c>
      <c r="C244" s="286">
        <f t="shared" ca="1" si="61"/>
        <v>51184</v>
      </c>
      <c r="D244" s="285">
        <f t="shared" ca="1" si="63"/>
        <v>31</v>
      </c>
      <c r="E244" s="280">
        <f t="shared" ca="1" si="59"/>
        <v>416551.42212852155</v>
      </c>
      <c r="F244" s="280">
        <f ca="1">IF(AND(A243="",A245=""),"",IF(A244="",SUM($F$25:F243),IF(A244=$D$8,$E$24-SUM($F$25:F243),$F$13-G244)))</f>
        <v>18493.861956457415</v>
      </c>
      <c r="G244" s="280">
        <f ca="1">IF(A243=$D$8,SUM($G$25:G243),IF(A243&gt;$D$8,"",E243*D244*$F$18/T243))</f>
        <v>4738.6653812381883</v>
      </c>
      <c r="H244" s="280">
        <f ca="1">IF(A243=$D$8,SUM($H$25:H243),IF(A243="","",(G244+F244)))</f>
        <v>23232.527337695603</v>
      </c>
      <c r="I244" s="280" t="str">
        <f t="shared" si="64"/>
        <v/>
      </c>
      <c r="J244" s="280" t="str">
        <f t="shared" si="65"/>
        <v/>
      </c>
      <c r="K244" s="280"/>
      <c r="L244" s="280" t="str">
        <f t="shared" si="66"/>
        <v/>
      </c>
      <c r="M244" s="280" t="str">
        <f t="shared" si="67"/>
        <v/>
      </c>
      <c r="N244" s="283" t="str">
        <f t="shared" si="62"/>
        <v/>
      </c>
      <c r="P244" s="289" t="str">
        <f>IF(A243=$D$8,XIRR(R$24:R243,C$24:C243),"")</f>
        <v/>
      </c>
      <c r="Q244" s="280" t="str">
        <f t="shared" si="60"/>
        <v/>
      </c>
      <c r="R244" s="283">
        <f t="shared" ca="1" si="55"/>
        <v>23232.527337695603</v>
      </c>
      <c r="S244" s="284">
        <f t="shared" ca="1" si="56"/>
        <v>2040</v>
      </c>
      <c r="T244" s="284">
        <f t="shared" ca="1" si="57"/>
        <v>366</v>
      </c>
    </row>
    <row r="245" spans="1:20" x14ac:dyDescent="0.35">
      <c r="A245" s="285">
        <f t="shared" si="58"/>
        <v>221</v>
      </c>
      <c r="B245" s="286">
        <f t="shared" ca="1" si="68"/>
        <v>51213</v>
      </c>
      <c r="C245" s="286">
        <f t="shared" ca="1" si="61"/>
        <v>51213</v>
      </c>
      <c r="D245" s="285">
        <f t="shared" ca="1" si="63"/>
        <v>29</v>
      </c>
      <c r="E245" s="280">
        <f t="shared" ca="1" si="59"/>
        <v>397563.39444570604</v>
      </c>
      <c r="F245" s="280">
        <f ca="1">IF(AND(A244="",A246=""),"",IF(A245="",SUM($F$25:F244),IF(A245=$D$8,$E$24-SUM($F$25:F244),$F$13-G245)))</f>
        <v>18988.027682815526</v>
      </c>
      <c r="G245" s="280">
        <f ca="1">IF(A244=$D$8,SUM($G$25:G244),IF(A244&gt;$D$8,"",E244*D245*$F$18/T244))</f>
        <v>4244.4996548800773</v>
      </c>
      <c r="H245" s="280">
        <f ca="1">IF(A244=$D$8,SUM($H$25:H244),IF(A244="","",(G245+F245)))</f>
        <v>23232.527337695603</v>
      </c>
      <c r="I245" s="280" t="str">
        <f t="shared" si="64"/>
        <v/>
      </c>
      <c r="J245" s="280" t="str">
        <f t="shared" si="65"/>
        <v/>
      </c>
      <c r="K245" s="280"/>
      <c r="L245" s="280" t="str">
        <f t="shared" si="66"/>
        <v/>
      </c>
      <c r="M245" s="280" t="str">
        <f t="shared" si="67"/>
        <v/>
      </c>
      <c r="N245" s="283" t="str">
        <f t="shared" si="62"/>
        <v/>
      </c>
      <c r="P245" s="289" t="str">
        <f>IF(A244=$D$8,XIRR(R$24:R244,C$24:C244),"")</f>
        <v/>
      </c>
      <c r="Q245" s="280" t="str">
        <f t="shared" si="60"/>
        <v/>
      </c>
      <c r="R245" s="283">
        <f t="shared" ca="1" si="55"/>
        <v>23232.527337695603</v>
      </c>
      <c r="S245" s="284">
        <f t="shared" ca="1" si="56"/>
        <v>2040</v>
      </c>
      <c r="T245" s="284">
        <f t="shared" ca="1" si="57"/>
        <v>366</v>
      </c>
    </row>
    <row r="246" spans="1:20" x14ac:dyDescent="0.35">
      <c r="A246" s="285">
        <f t="shared" si="58"/>
        <v>222</v>
      </c>
      <c r="B246" s="286">
        <f t="shared" ca="1" si="68"/>
        <v>51244</v>
      </c>
      <c r="C246" s="286">
        <f t="shared" ca="1" si="61"/>
        <v>51244</v>
      </c>
      <c r="D246" s="285">
        <f t="shared" ca="1" si="63"/>
        <v>31</v>
      </c>
      <c r="E246" s="280">
        <f t="shared" ca="1" si="59"/>
        <v>378661.26663887722</v>
      </c>
      <c r="F246" s="280">
        <f ca="1">IF(AND(A245="",A247=""),"",IF(A246="",SUM($F$25:F245),IF(A246=$D$8,$E$24-SUM($F$25:F245),$F$13-G246)))</f>
        <v>18902.127806828794</v>
      </c>
      <c r="G246" s="280">
        <f ca="1">IF(A245=$D$8,SUM($G$25:G245),IF(A245&gt;$D$8,"",E245*D246*$F$18/T245))</f>
        <v>4330.3995308668073</v>
      </c>
      <c r="H246" s="280">
        <f ca="1">IF(A245=$D$8,SUM($H$25:H245),IF(A245="","",(G246+F246)))</f>
        <v>23232.527337695603</v>
      </c>
      <c r="I246" s="280" t="str">
        <f t="shared" si="64"/>
        <v/>
      </c>
      <c r="J246" s="280" t="str">
        <f t="shared" si="65"/>
        <v/>
      </c>
      <c r="K246" s="280"/>
      <c r="L246" s="280" t="str">
        <f t="shared" si="66"/>
        <v/>
      </c>
      <c r="M246" s="280" t="str">
        <f t="shared" si="67"/>
        <v/>
      </c>
      <c r="N246" s="283" t="str">
        <f t="shared" si="62"/>
        <v/>
      </c>
      <c r="P246" s="289" t="str">
        <f>IF(A245=$D$8,XIRR(R$24:R245,C$24:C245),"")</f>
        <v/>
      </c>
      <c r="Q246" s="280" t="str">
        <f t="shared" si="60"/>
        <v/>
      </c>
      <c r="R246" s="283">
        <f t="shared" ca="1" si="55"/>
        <v>23232.527337695603</v>
      </c>
      <c r="S246" s="284">
        <f t="shared" ca="1" si="56"/>
        <v>2040</v>
      </c>
      <c r="T246" s="284">
        <f t="shared" ca="1" si="57"/>
        <v>366</v>
      </c>
    </row>
    <row r="247" spans="1:20" x14ac:dyDescent="0.35">
      <c r="A247" s="285">
        <f t="shared" si="58"/>
        <v>223</v>
      </c>
      <c r="B247" s="286">
        <f t="shared" ca="1" si="68"/>
        <v>51274</v>
      </c>
      <c r="C247" s="286">
        <f t="shared" ca="1" si="61"/>
        <v>51274</v>
      </c>
      <c r="D247" s="285">
        <f t="shared" ca="1" si="63"/>
        <v>30</v>
      </c>
      <c r="E247" s="280">
        <f t="shared" ca="1" si="59"/>
        <v>359420.20150526025</v>
      </c>
      <c r="F247" s="280">
        <f ca="1">IF(AND(A246="",A248=""),"",IF(A247="",SUM($F$25:F246),IF(A247=$D$8,$E$24-SUM($F$25:F246),$F$13-G247)))</f>
        <v>19241.065133616947</v>
      </c>
      <c r="G247" s="280">
        <f ca="1">IF(A246=$D$8,SUM($G$25:G246),IF(A246&gt;$D$8,"",E246*D247*$F$18/T246))</f>
        <v>3991.4622040786562</v>
      </c>
      <c r="H247" s="280">
        <f ca="1">IF(A246=$D$8,SUM($H$25:H246),IF(A246="","",(G247+F247)))</f>
        <v>23232.527337695603</v>
      </c>
      <c r="I247" s="280" t="str">
        <f t="shared" si="64"/>
        <v/>
      </c>
      <c r="J247" s="280" t="str">
        <f t="shared" si="65"/>
        <v/>
      </c>
      <c r="K247" s="280"/>
      <c r="L247" s="280" t="str">
        <f t="shared" si="66"/>
        <v/>
      </c>
      <c r="M247" s="280" t="str">
        <f t="shared" si="67"/>
        <v/>
      </c>
      <c r="N247" s="283" t="str">
        <f t="shared" si="62"/>
        <v/>
      </c>
      <c r="P247" s="289" t="str">
        <f>IF(A246=$D$8,XIRR(R$24:R246,C$24:C246),"")</f>
        <v/>
      </c>
      <c r="Q247" s="280" t="str">
        <f t="shared" si="60"/>
        <v/>
      </c>
      <c r="R247" s="283">
        <f t="shared" ca="1" si="55"/>
        <v>23232.527337695603</v>
      </c>
      <c r="S247" s="284">
        <f t="shared" ca="1" si="56"/>
        <v>2040</v>
      </c>
      <c r="T247" s="284">
        <f t="shared" ca="1" si="57"/>
        <v>366</v>
      </c>
    </row>
    <row r="248" spans="1:20" x14ac:dyDescent="0.35">
      <c r="A248" s="285">
        <f t="shared" si="58"/>
        <v>224</v>
      </c>
      <c r="B248" s="286">
        <f t="shared" ca="1" si="68"/>
        <v>51305</v>
      </c>
      <c r="C248" s="286">
        <f t="shared" ca="1" si="61"/>
        <v>51305</v>
      </c>
      <c r="D248" s="285">
        <f t="shared" ca="1" si="63"/>
        <v>31</v>
      </c>
      <c r="E248" s="280">
        <f t="shared" ca="1" si="59"/>
        <v>340102.60470122821</v>
      </c>
      <c r="F248" s="280">
        <f ca="1">IF(AND(A247="",A249=""),"",IF(A248="",SUM($F$25:F247),IF(A248=$D$8,$E$24-SUM($F$25:F247),$F$13-G248)))</f>
        <v>19317.596804032022</v>
      </c>
      <c r="G248" s="280">
        <f ca="1">IF(A247=$D$8,SUM($G$25:G247),IF(A247&gt;$D$8,"",E247*D248*$F$18/T247))</f>
        <v>3914.9305336635803</v>
      </c>
      <c r="H248" s="280">
        <f ca="1">IF(A247=$D$8,SUM($H$25:H247),IF(A247="","",(G248+F248)))</f>
        <v>23232.527337695603</v>
      </c>
      <c r="I248" s="280" t="str">
        <f t="shared" si="64"/>
        <v/>
      </c>
      <c r="J248" s="280" t="str">
        <f t="shared" si="65"/>
        <v/>
      </c>
      <c r="K248" s="280"/>
      <c r="L248" s="280" t="str">
        <f t="shared" si="66"/>
        <v/>
      </c>
      <c r="M248" s="280" t="str">
        <f t="shared" si="67"/>
        <v/>
      </c>
      <c r="N248" s="283" t="str">
        <f t="shared" si="62"/>
        <v/>
      </c>
      <c r="P248" s="289" t="str">
        <f>IF(A247=$D$8,XIRR(R$24:R247,C$24:C247),"")</f>
        <v/>
      </c>
      <c r="Q248" s="280" t="str">
        <f t="shared" si="60"/>
        <v/>
      </c>
      <c r="R248" s="283">
        <f t="shared" ca="1" si="55"/>
        <v>23232.527337695603</v>
      </c>
      <c r="S248" s="284">
        <f t="shared" ca="1" si="56"/>
        <v>2040</v>
      </c>
      <c r="T248" s="284">
        <f t="shared" ca="1" si="57"/>
        <v>366</v>
      </c>
    </row>
    <row r="249" spans="1:20" x14ac:dyDescent="0.35">
      <c r="A249" s="285">
        <f t="shared" si="58"/>
        <v>225</v>
      </c>
      <c r="B249" s="286">
        <f t="shared" ca="1" si="68"/>
        <v>51335</v>
      </c>
      <c r="C249" s="286">
        <f t="shared" ca="1" si="61"/>
        <v>51335</v>
      </c>
      <c r="D249" s="285">
        <f t="shared" ca="1" si="63"/>
        <v>30</v>
      </c>
      <c r="E249" s="280">
        <f t="shared" ca="1" si="59"/>
        <v>320455.09334423573</v>
      </c>
      <c r="F249" s="280">
        <f ca="1">IF(AND(A248="",A250=""),"",IF(A249="",SUM($F$25:F248),IF(A249=$D$8,$E$24-SUM($F$25:F248),$F$13-G249)))</f>
        <v>19647.511356992494</v>
      </c>
      <c r="G249" s="280">
        <f ca="1">IF(A248=$D$8,SUM($G$25:G248),IF(A248&gt;$D$8,"",E248*D249*$F$18/T248))</f>
        <v>3585.01598070311</v>
      </c>
      <c r="H249" s="280">
        <f ca="1">IF(A248=$D$8,SUM($H$25:H248),IF(A248="","",(G249+F249)))</f>
        <v>23232.527337695603</v>
      </c>
      <c r="I249" s="280" t="str">
        <f t="shared" si="64"/>
        <v/>
      </c>
      <c r="J249" s="280" t="str">
        <f t="shared" si="65"/>
        <v/>
      </c>
      <c r="K249" s="280"/>
      <c r="L249" s="280" t="str">
        <f t="shared" si="66"/>
        <v/>
      </c>
      <c r="M249" s="280" t="str">
        <f t="shared" si="67"/>
        <v/>
      </c>
      <c r="N249" s="283" t="str">
        <f t="shared" si="62"/>
        <v/>
      </c>
      <c r="P249" s="289" t="str">
        <f>IF(A248=$D$8,XIRR(R$24:R248,C$24:C248),"")</f>
        <v/>
      </c>
      <c r="Q249" s="280" t="str">
        <f t="shared" si="60"/>
        <v/>
      </c>
      <c r="R249" s="283">
        <f t="shared" ca="1" si="55"/>
        <v>23232.527337695603</v>
      </c>
      <c r="S249" s="284">
        <f t="shared" ca="1" si="56"/>
        <v>2040</v>
      </c>
      <c r="T249" s="284">
        <f t="shared" ca="1" si="57"/>
        <v>366</v>
      </c>
    </row>
    <row r="250" spans="1:20" x14ac:dyDescent="0.35">
      <c r="A250" s="285">
        <f t="shared" si="58"/>
        <v>226</v>
      </c>
      <c r="B250" s="286">
        <f t="shared" ca="1" si="68"/>
        <v>51366</v>
      </c>
      <c r="C250" s="286">
        <f t="shared" ca="1" si="61"/>
        <v>51366</v>
      </c>
      <c r="D250" s="285">
        <f t="shared" ca="1" si="63"/>
        <v>31</v>
      </c>
      <c r="E250" s="280">
        <f t="shared" ca="1" si="59"/>
        <v>300713.07495497219</v>
      </c>
      <c r="F250" s="280">
        <f ca="1">IF(AND(A249="",A251=""),"",IF(A250="",SUM($F$25:F249),IF(A250=$D$8,$E$24-SUM($F$25:F249),$F$13-G250)))</f>
        <v>19742.018389263554</v>
      </c>
      <c r="G250" s="280">
        <f ca="1">IF(A249=$D$8,SUM($G$25:G249),IF(A249&gt;$D$8,"",E249*D250*$F$18/T249))</f>
        <v>3490.5089484320492</v>
      </c>
      <c r="H250" s="280">
        <f ca="1">IF(A249=$D$8,SUM($H$25:H249),IF(A249="","",(G250+F250)))</f>
        <v>23232.527337695603</v>
      </c>
      <c r="I250" s="280" t="str">
        <f t="shared" si="64"/>
        <v/>
      </c>
      <c r="J250" s="280" t="str">
        <f t="shared" si="65"/>
        <v/>
      </c>
      <c r="K250" s="280"/>
      <c r="L250" s="280" t="str">
        <f t="shared" si="66"/>
        <v/>
      </c>
      <c r="M250" s="280" t="str">
        <f t="shared" si="67"/>
        <v/>
      </c>
      <c r="N250" s="283" t="str">
        <f t="shared" si="62"/>
        <v/>
      </c>
      <c r="P250" s="289" t="str">
        <f>IF(A249=$D$8,XIRR(R$24:R249,C$24:C249),"")</f>
        <v/>
      </c>
      <c r="Q250" s="280" t="str">
        <f t="shared" si="60"/>
        <v/>
      </c>
      <c r="R250" s="283">
        <f t="shared" ca="1" si="55"/>
        <v>23232.527337695603</v>
      </c>
      <c r="S250" s="284">
        <f t="shared" ca="1" si="56"/>
        <v>2040</v>
      </c>
      <c r="T250" s="284">
        <f t="shared" ca="1" si="57"/>
        <v>366</v>
      </c>
    </row>
    <row r="251" spans="1:20" x14ac:dyDescent="0.35">
      <c r="A251" s="285">
        <f t="shared" si="58"/>
        <v>227</v>
      </c>
      <c r="B251" s="286">
        <f t="shared" ca="1" si="68"/>
        <v>51397</v>
      </c>
      <c r="C251" s="286">
        <f t="shared" ca="1" si="61"/>
        <v>51397</v>
      </c>
      <c r="D251" s="285">
        <f t="shared" ca="1" si="63"/>
        <v>31</v>
      </c>
      <c r="E251" s="280">
        <f t="shared" ca="1" si="59"/>
        <v>280756.01959710033</v>
      </c>
      <c r="F251" s="280">
        <f ca="1">IF(AND(A250="",A252=""),"",IF(A251="",SUM($F$25:F250),IF(A251=$D$8,$E$24-SUM($F$25:F250),$F$13-G251)))</f>
        <v>19957.055357871854</v>
      </c>
      <c r="G251" s="280">
        <f ca="1">IF(A250=$D$8,SUM($G$25:G250),IF(A250&gt;$D$8,"",E250*D251*$F$18/T250))</f>
        <v>3275.4719798237493</v>
      </c>
      <c r="H251" s="280">
        <f ca="1">IF(A250=$D$8,SUM($H$25:H250),IF(A250="","",(G251+F251)))</f>
        <v>23232.527337695603</v>
      </c>
      <c r="I251" s="280" t="str">
        <f t="shared" si="64"/>
        <v/>
      </c>
      <c r="J251" s="280" t="str">
        <f t="shared" si="65"/>
        <v/>
      </c>
      <c r="K251" s="280"/>
      <c r="L251" s="280" t="str">
        <f t="shared" si="66"/>
        <v/>
      </c>
      <c r="M251" s="280" t="str">
        <f t="shared" si="67"/>
        <v/>
      </c>
      <c r="N251" s="283" t="str">
        <f t="shared" si="62"/>
        <v/>
      </c>
      <c r="P251" s="289" t="str">
        <f>IF(A250=$D$8,XIRR(R$24:R250,C$24:C250),"")</f>
        <v/>
      </c>
      <c r="Q251" s="280" t="str">
        <f t="shared" si="60"/>
        <v/>
      </c>
      <c r="R251" s="283">
        <f t="shared" ca="1" si="55"/>
        <v>23232.527337695603</v>
      </c>
      <c r="S251" s="284">
        <f t="shared" ca="1" si="56"/>
        <v>2040</v>
      </c>
      <c r="T251" s="284">
        <f t="shared" ca="1" si="57"/>
        <v>366</v>
      </c>
    </row>
    <row r="252" spans="1:20" x14ac:dyDescent="0.35">
      <c r="A252" s="285">
        <f t="shared" si="58"/>
        <v>228</v>
      </c>
      <c r="B252" s="286">
        <f t="shared" ca="1" si="68"/>
        <v>51427</v>
      </c>
      <c r="C252" s="286">
        <f t="shared" ca="1" si="61"/>
        <v>51427</v>
      </c>
      <c r="D252" s="285">
        <f t="shared" ca="1" si="63"/>
        <v>30</v>
      </c>
      <c r="E252" s="280">
        <f t="shared" ca="1" si="59"/>
        <v>260482.93685942006</v>
      </c>
      <c r="F252" s="280">
        <f ca="1">IF(AND(A251="",A253=""),"",IF(A252="",SUM($F$25:F251),IF(A252=$D$8,$E$24-SUM($F$25:F251),$F$13-G252)))</f>
        <v>20273.082737680266</v>
      </c>
      <c r="G252" s="280">
        <f ca="1">IF(A251=$D$8,SUM($G$25:G251),IF(A251&gt;$D$8,"",E251*D252*$F$18/T251))</f>
        <v>2959.4446000153362</v>
      </c>
      <c r="H252" s="280">
        <f ca="1">IF(A251=$D$8,SUM($H$25:H251),IF(A251="","",(G252+F252)))</f>
        <v>23232.527337695603</v>
      </c>
      <c r="I252" s="280" t="str">
        <f t="shared" si="64"/>
        <v/>
      </c>
      <c r="J252" s="280" t="str">
        <f t="shared" si="65"/>
        <v/>
      </c>
      <c r="K252" s="280"/>
      <c r="L252" s="280" t="str">
        <f t="shared" si="66"/>
        <v/>
      </c>
      <c r="M252" s="280" t="str">
        <f t="shared" si="67"/>
        <v/>
      </c>
      <c r="N252" s="283" t="str">
        <f t="shared" si="62"/>
        <v/>
      </c>
      <c r="P252" s="289" t="str">
        <f>IF(A251=$D$8,XIRR(R$24:R251,C$24:C251),"")</f>
        <v/>
      </c>
      <c r="Q252" s="280" t="str">
        <f t="shared" si="60"/>
        <v/>
      </c>
      <c r="R252" s="283">
        <f t="shared" ca="1" si="55"/>
        <v>23232.527337695603</v>
      </c>
      <c r="S252" s="284">
        <f t="shared" ca="1" si="56"/>
        <v>2040</v>
      </c>
      <c r="T252" s="284">
        <f t="shared" ca="1" si="57"/>
        <v>366</v>
      </c>
    </row>
    <row r="253" spans="1:20" x14ac:dyDescent="0.35">
      <c r="A253" s="285">
        <f t="shared" si="58"/>
        <v>229</v>
      </c>
      <c r="B253" s="286">
        <f t="shared" ca="1" si="68"/>
        <v>51458</v>
      </c>
      <c r="C253" s="286">
        <f t="shared" ca="1" si="61"/>
        <v>51458</v>
      </c>
      <c r="D253" s="285">
        <f t="shared" ca="1" si="63"/>
        <v>31</v>
      </c>
      <c r="E253" s="280">
        <f t="shared" ca="1" si="59"/>
        <v>240087.68076785497</v>
      </c>
      <c r="F253" s="280">
        <f ca="1">IF(AND(A252="",A254=""),"",IF(A253="",SUM($F$25:F252),IF(A253=$D$8,$E$24-SUM($F$25:F252),$F$13-G253)))</f>
        <v>20395.256091565101</v>
      </c>
      <c r="G253" s="280">
        <f ca="1">IF(A252=$D$8,SUM($G$25:G252),IF(A252&gt;$D$8,"",E252*D253*$F$18/T252))</f>
        <v>2837.2712461305027</v>
      </c>
      <c r="H253" s="280">
        <f ca="1">IF(A252=$D$8,SUM($H$25:H252),IF(A252="","",(G253+F253)))</f>
        <v>23232.527337695603</v>
      </c>
      <c r="I253" s="280" t="str">
        <f t="shared" si="64"/>
        <v/>
      </c>
      <c r="J253" s="280" t="str">
        <f t="shared" si="65"/>
        <v/>
      </c>
      <c r="K253" s="280">
        <f>IF($F$8&gt;228,($O$8+$O$10),IF($A$252=$F$8,$K$24*$G$8,""))</f>
        <v>7500</v>
      </c>
      <c r="L253" s="280" t="str">
        <f t="shared" si="66"/>
        <v/>
      </c>
      <c r="M253" s="280" t="str">
        <f t="shared" si="67"/>
        <v/>
      </c>
      <c r="N253" s="280">
        <f>IF($F$8&gt;228,($N$14),IF(A252=$F$8,N241+N229+N217+N205+N193+N181+N169+N157+N145+N133+N121+N109+N97+N85+N73+N61+N49+N37+N24,""))</f>
        <v>0</v>
      </c>
      <c r="P253" s="289" t="str">
        <f>IF(A252=$D$8,XIRR(R$24:R252,C$24:C252),"")</f>
        <v/>
      </c>
      <c r="Q253" s="280" t="str">
        <f t="shared" si="60"/>
        <v/>
      </c>
      <c r="R253" s="283">
        <f t="shared" ca="1" si="55"/>
        <v>30732.527337695603</v>
      </c>
      <c r="S253" s="284">
        <f t="shared" ca="1" si="56"/>
        <v>2040</v>
      </c>
      <c r="T253" s="284">
        <f t="shared" ca="1" si="57"/>
        <v>366</v>
      </c>
    </row>
    <row r="254" spans="1:20" x14ac:dyDescent="0.35">
      <c r="A254" s="285">
        <f t="shared" si="58"/>
        <v>230</v>
      </c>
      <c r="B254" s="286">
        <f t="shared" ca="1" si="68"/>
        <v>51488</v>
      </c>
      <c r="C254" s="286">
        <f t="shared" ca="1" si="61"/>
        <v>51488</v>
      </c>
      <c r="D254" s="285">
        <f t="shared" ca="1" si="63"/>
        <v>30</v>
      </c>
      <c r="E254" s="280">
        <f t="shared" ca="1" si="59"/>
        <v>219385.9137372697</v>
      </c>
      <c r="F254" s="280">
        <f ca="1">IF(AND(A253="",A255=""),"",IF(A254="",SUM($F$25:F253),IF(A254=$D$8,$E$24-SUM($F$25:F253),$F$13-G254)))</f>
        <v>20701.767030585263</v>
      </c>
      <c r="G254" s="280">
        <f ca="1">IF(A253=$D$8,SUM($G$25:G253),IF(A253&gt;$D$8,"",E253*D254*$F$18/T253))</f>
        <v>2530.7603071103395</v>
      </c>
      <c r="H254" s="280">
        <f ca="1">IF(A253=$D$8,SUM($H$25:H253),IF(A253="","",(G254+F254)))</f>
        <v>23232.527337695603</v>
      </c>
      <c r="I254" s="280" t="str">
        <f t="shared" si="64"/>
        <v/>
      </c>
      <c r="J254" s="280" t="str">
        <f t="shared" si="65"/>
        <v/>
      </c>
      <c r="K254" s="280" t="str">
        <f t="shared" ref="K254:K264" si="69">IF(A253=$F$8,$K$24,"")</f>
        <v/>
      </c>
      <c r="L254" s="280" t="str">
        <f t="shared" si="66"/>
        <v/>
      </c>
      <c r="M254" s="280" t="str">
        <f t="shared" si="67"/>
        <v/>
      </c>
      <c r="N254" s="283" t="str">
        <f t="shared" si="62"/>
        <v/>
      </c>
      <c r="P254" s="289" t="str">
        <f>IF(A253=$D$8,XIRR(R$24:R253,C$24:C253),"")</f>
        <v/>
      </c>
      <c r="Q254" s="280" t="str">
        <f t="shared" si="60"/>
        <v/>
      </c>
      <c r="R254" s="283">
        <f t="shared" ca="1" si="55"/>
        <v>23232.527337695603</v>
      </c>
      <c r="S254" s="284">
        <f t="shared" ca="1" si="56"/>
        <v>2040</v>
      </c>
      <c r="T254" s="284">
        <f t="shared" ca="1" si="57"/>
        <v>366</v>
      </c>
    </row>
    <row r="255" spans="1:20" x14ac:dyDescent="0.35">
      <c r="A255" s="285">
        <f t="shared" si="58"/>
        <v>231</v>
      </c>
      <c r="B255" s="286">
        <f t="shared" ca="1" si="68"/>
        <v>51519</v>
      </c>
      <c r="C255" s="286">
        <f t="shared" ca="1" si="61"/>
        <v>51519</v>
      </c>
      <c r="D255" s="285">
        <f t="shared" ca="1" si="63"/>
        <v>31</v>
      </c>
      <c r="E255" s="280">
        <f t="shared" ca="1" si="59"/>
        <v>198543.01449712875</v>
      </c>
      <c r="F255" s="280">
        <f ca="1">IF(AND(A254="",A256=""),"",IF(A255="",SUM($F$25:F254),IF(A255=$D$8,$E$24-SUM($F$25:F254),$F$13-G255)))</f>
        <v>20842.89924014096</v>
      </c>
      <c r="G255" s="280">
        <f ca="1">IF(A254=$D$8,SUM($G$25:G254),IF(A254&gt;$D$8,"",E254*D255*$F$18/T254))</f>
        <v>2389.6280975546429</v>
      </c>
      <c r="H255" s="280">
        <f ca="1">IF(A254=$D$8,SUM($H$25:H254),IF(A254="","",(G255+F255)))</f>
        <v>23232.527337695603</v>
      </c>
      <c r="I255" s="280" t="str">
        <f t="shared" si="64"/>
        <v/>
      </c>
      <c r="J255" s="280" t="str">
        <f t="shared" si="65"/>
        <v/>
      </c>
      <c r="K255" s="280" t="str">
        <f t="shared" si="69"/>
        <v/>
      </c>
      <c r="L255" s="280" t="str">
        <f t="shared" si="66"/>
        <v/>
      </c>
      <c r="M255" s="280" t="str">
        <f t="shared" si="67"/>
        <v/>
      </c>
      <c r="N255" s="283" t="str">
        <f t="shared" si="62"/>
        <v/>
      </c>
      <c r="P255" s="289" t="str">
        <f>IF(A254=$D$8,XIRR(R$24:R254,C$24:C254),"")</f>
        <v/>
      </c>
      <c r="Q255" s="280" t="str">
        <f t="shared" si="60"/>
        <v/>
      </c>
      <c r="R255" s="283">
        <f t="shared" ca="1" si="55"/>
        <v>23232.527337695603</v>
      </c>
      <c r="S255" s="284">
        <f t="shared" ca="1" si="56"/>
        <v>2041</v>
      </c>
      <c r="T255" s="284">
        <f t="shared" ca="1" si="57"/>
        <v>365</v>
      </c>
    </row>
    <row r="256" spans="1:20" x14ac:dyDescent="0.35">
      <c r="A256" s="285">
        <f t="shared" si="58"/>
        <v>232</v>
      </c>
      <c r="B256" s="286">
        <f t="shared" ca="1" si="68"/>
        <v>51550</v>
      </c>
      <c r="C256" s="286">
        <f t="shared" ca="1" si="61"/>
        <v>51550</v>
      </c>
      <c r="D256" s="285">
        <f t="shared" ca="1" si="63"/>
        <v>31</v>
      </c>
      <c r="E256" s="280">
        <f t="shared" ca="1" si="59"/>
        <v>177479.01204051331</v>
      </c>
      <c r="F256" s="280">
        <f ca="1">IF(AND(A255="",A257=""),"",IF(A256="",SUM($F$25:F255),IF(A256=$D$8,$E$24-SUM($F$25:F255),$F$13-G256)))</f>
        <v>21064.002456615457</v>
      </c>
      <c r="G256" s="280">
        <f ca="1">IF(A255=$D$8,SUM($G$25:G255),IF(A255&gt;$D$8,"",E255*D256*$F$18/T255))</f>
        <v>2168.5248810801468</v>
      </c>
      <c r="H256" s="280">
        <f ca="1">IF(A255=$D$8,SUM($H$25:H255),IF(A255="","",(G256+F256)))</f>
        <v>23232.527337695603</v>
      </c>
      <c r="I256" s="280" t="str">
        <f t="shared" si="64"/>
        <v/>
      </c>
      <c r="J256" s="280" t="str">
        <f t="shared" si="65"/>
        <v/>
      </c>
      <c r="K256" s="280" t="str">
        <f t="shared" si="69"/>
        <v/>
      </c>
      <c r="L256" s="280" t="str">
        <f t="shared" si="66"/>
        <v/>
      </c>
      <c r="M256" s="280" t="str">
        <f t="shared" si="67"/>
        <v/>
      </c>
      <c r="N256" s="283" t="str">
        <f t="shared" si="62"/>
        <v/>
      </c>
      <c r="P256" s="289" t="str">
        <f>IF(A255=$D$8,XIRR(R$24:R255,C$24:C255),"")</f>
        <v/>
      </c>
      <c r="Q256" s="280" t="str">
        <f t="shared" si="60"/>
        <v/>
      </c>
      <c r="R256" s="283">
        <f t="shared" ca="1" si="55"/>
        <v>23232.527337695603</v>
      </c>
      <c r="S256" s="284">
        <f t="shared" ca="1" si="56"/>
        <v>2041</v>
      </c>
      <c r="T256" s="284">
        <f t="shared" ca="1" si="57"/>
        <v>365</v>
      </c>
    </row>
    <row r="257" spans="1:20" x14ac:dyDescent="0.35">
      <c r="A257" s="285">
        <f t="shared" si="58"/>
        <v>233</v>
      </c>
      <c r="B257" s="286">
        <f t="shared" ca="1" si="68"/>
        <v>51578</v>
      </c>
      <c r="C257" s="286">
        <f t="shared" ca="1" si="61"/>
        <v>51578</v>
      </c>
      <c r="D257" s="285">
        <f t="shared" ca="1" si="63"/>
        <v>28</v>
      </c>
      <c r="E257" s="280">
        <f t="shared" ca="1" si="59"/>
        <v>155997.35162488752</v>
      </c>
      <c r="F257" s="280">
        <f ca="1">IF(AND(A256="",A258=""),"",IF(A257="",SUM($F$25:F256),IF(A257=$D$8,$E$24-SUM($F$25:F256),$F$13-G257)))</f>
        <v>21481.660415625793</v>
      </c>
      <c r="G257" s="280">
        <f ca="1">IF(A256=$D$8,SUM($G$25:G256),IF(A256&gt;$D$8,"",E256*D257*$F$18/T256))</f>
        <v>1750.8669220698089</v>
      </c>
      <c r="H257" s="280">
        <f ca="1">IF(A256=$D$8,SUM($H$25:H256),IF(A256="","",(G257+F257)))</f>
        <v>23232.527337695603</v>
      </c>
      <c r="I257" s="280" t="str">
        <f t="shared" si="64"/>
        <v/>
      </c>
      <c r="J257" s="280" t="str">
        <f t="shared" si="65"/>
        <v/>
      </c>
      <c r="K257" s="280" t="str">
        <f t="shared" si="69"/>
        <v/>
      </c>
      <c r="L257" s="280" t="str">
        <f t="shared" si="66"/>
        <v/>
      </c>
      <c r="M257" s="280" t="str">
        <f t="shared" si="67"/>
        <v/>
      </c>
      <c r="N257" s="283" t="str">
        <f t="shared" si="62"/>
        <v/>
      </c>
      <c r="P257" s="289" t="str">
        <f>IF(A256=$D$8,XIRR(R$24:R256,C$24:C256),"")</f>
        <v/>
      </c>
      <c r="Q257" s="280" t="str">
        <f t="shared" si="60"/>
        <v/>
      </c>
      <c r="R257" s="283">
        <f t="shared" ca="1" si="55"/>
        <v>23232.527337695603</v>
      </c>
      <c r="S257" s="284">
        <f t="shared" ca="1" si="56"/>
        <v>2041</v>
      </c>
      <c r="T257" s="284">
        <f t="shared" ca="1" si="57"/>
        <v>365</v>
      </c>
    </row>
    <row r="258" spans="1:20" x14ac:dyDescent="0.35">
      <c r="A258" s="285">
        <f t="shared" si="58"/>
        <v>234</v>
      </c>
      <c r="B258" s="286">
        <f t="shared" ca="1" si="68"/>
        <v>51609</v>
      </c>
      <c r="C258" s="286">
        <f t="shared" ca="1" si="61"/>
        <v>51609</v>
      </c>
      <c r="D258" s="285">
        <f t="shared" ca="1" si="63"/>
        <v>31</v>
      </c>
      <c r="E258" s="280">
        <f t="shared" ca="1" si="59"/>
        <v>134468.65727893927</v>
      </c>
      <c r="F258" s="280">
        <f ca="1">IF(AND(A257="",A259=""),"",IF(A258="",SUM($F$25:F257),IF(A258=$D$8,$E$24-SUM($F$25:F257),$F$13-G258)))</f>
        <v>21528.694345948272</v>
      </c>
      <c r="G258" s="280">
        <f ca="1">IF(A257=$D$8,SUM($G$25:G257),IF(A257&gt;$D$8,"",E257*D258*$F$18/T257))</f>
        <v>1703.8329917473329</v>
      </c>
      <c r="H258" s="280">
        <f ca="1">IF(A257=$D$8,SUM($H$25:H257),IF(A257="","",(G258+F258)))</f>
        <v>23232.527337695603</v>
      </c>
      <c r="I258" s="280" t="str">
        <f t="shared" si="64"/>
        <v/>
      </c>
      <c r="J258" s="280" t="str">
        <f t="shared" si="65"/>
        <v/>
      </c>
      <c r="K258" s="280" t="str">
        <f t="shared" si="69"/>
        <v/>
      </c>
      <c r="L258" s="280" t="str">
        <f t="shared" si="66"/>
        <v/>
      </c>
      <c r="M258" s="280" t="str">
        <f t="shared" si="67"/>
        <v/>
      </c>
      <c r="N258" s="283" t="str">
        <f t="shared" si="62"/>
        <v/>
      </c>
      <c r="P258" s="289" t="str">
        <f>IF(A257=$D$8,XIRR(R$24:R257,C$24:C257),"")</f>
        <v/>
      </c>
      <c r="Q258" s="280" t="str">
        <f t="shared" si="60"/>
        <v/>
      </c>
      <c r="R258" s="283">
        <f t="shared" ca="1" si="55"/>
        <v>23232.527337695603</v>
      </c>
      <c r="S258" s="284">
        <f t="shared" ca="1" si="56"/>
        <v>2041</v>
      </c>
      <c r="T258" s="284">
        <f t="shared" ca="1" si="57"/>
        <v>365</v>
      </c>
    </row>
    <row r="259" spans="1:20" x14ac:dyDescent="0.35">
      <c r="A259" s="285">
        <f t="shared" si="58"/>
        <v>235</v>
      </c>
      <c r="B259" s="286">
        <f t="shared" ca="1" si="68"/>
        <v>51639</v>
      </c>
      <c r="C259" s="286">
        <f t="shared" ca="1" si="61"/>
        <v>51639</v>
      </c>
      <c r="D259" s="285">
        <f t="shared" ca="1" si="63"/>
        <v>30</v>
      </c>
      <c r="E259" s="280">
        <f t="shared" ca="1" si="59"/>
        <v>112657.44522831804</v>
      </c>
      <c r="F259" s="280">
        <f ca="1">IF(AND(A258="",A260=""),"",IF(A259="",SUM($F$25:F258),IF(A259=$D$8,$E$24-SUM($F$25:F258),$F$13-G259)))</f>
        <v>21811.212050621227</v>
      </c>
      <c r="G259" s="280">
        <f ca="1">IF(A258=$D$8,SUM($G$25:G258),IF(A258&gt;$D$8,"",E258*D259*$F$18/T258))</f>
        <v>1421.3152870743772</v>
      </c>
      <c r="H259" s="280">
        <f ca="1">IF(A258=$D$8,SUM($H$25:H258),IF(A258="","",(G259+F259)))</f>
        <v>23232.527337695603</v>
      </c>
      <c r="I259" s="280" t="str">
        <f t="shared" si="64"/>
        <v/>
      </c>
      <c r="J259" s="280" t="str">
        <f t="shared" si="65"/>
        <v/>
      </c>
      <c r="K259" s="280" t="str">
        <f t="shared" si="69"/>
        <v/>
      </c>
      <c r="L259" s="280" t="str">
        <f t="shared" si="66"/>
        <v/>
      </c>
      <c r="M259" s="280" t="str">
        <f t="shared" si="67"/>
        <v/>
      </c>
      <c r="N259" s="283" t="str">
        <f t="shared" si="62"/>
        <v/>
      </c>
      <c r="P259" s="289" t="str">
        <f>IF(A258=$D$8,XIRR(R$24:R258,C$24:C258),"")</f>
        <v/>
      </c>
      <c r="Q259" s="280" t="str">
        <f t="shared" si="60"/>
        <v/>
      </c>
      <c r="R259" s="283">
        <f t="shared" ca="1" si="55"/>
        <v>23232.527337695603</v>
      </c>
      <c r="S259" s="284">
        <f t="shared" ca="1" si="56"/>
        <v>2041</v>
      </c>
      <c r="T259" s="284">
        <f t="shared" ca="1" si="57"/>
        <v>365</v>
      </c>
    </row>
    <row r="260" spans="1:20" x14ac:dyDescent="0.35">
      <c r="A260" s="285">
        <f t="shared" si="58"/>
        <v>236</v>
      </c>
      <c r="B260" s="286">
        <f t="shared" ca="1" si="68"/>
        <v>51670</v>
      </c>
      <c r="C260" s="286">
        <f t="shared" ca="1" si="61"/>
        <v>51670</v>
      </c>
      <c r="D260" s="285">
        <f t="shared" ca="1" si="63"/>
        <v>31</v>
      </c>
      <c r="E260" s="280">
        <f t="shared" ca="1" si="59"/>
        <v>90655.384112943575</v>
      </c>
      <c r="F260" s="280">
        <f ca="1">IF(AND(A259="",A261=""),"",IF(A260="",SUM($F$25:F259),IF(A260=$D$8,$E$24-SUM($F$25:F259),$F$13-G260)))</f>
        <v>22002.061115374472</v>
      </c>
      <c r="G260" s="280">
        <f ca="1">IF(A259=$D$8,SUM($G$25:G259),IF(A259&gt;$D$8,"",E259*D260*$F$18/T259))</f>
        <v>1230.4662223211305</v>
      </c>
      <c r="H260" s="280">
        <f ca="1">IF(A259=$D$8,SUM($H$25:H259),IF(A259="","",(G260+F260)))</f>
        <v>23232.527337695603</v>
      </c>
      <c r="I260" s="280" t="str">
        <f t="shared" si="64"/>
        <v/>
      </c>
      <c r="J260" s="280" t="str">
        <f t="shared" si="65"/>
        <v/>
      </c>
      <c r="K260" s="280" t="str">
        <f t="shared" si="69"/>
        <v/>
      </c>
      <c r="L260" s="280" t="str">
        <f t="shared" si="66"/>
        <v/>
      </c>
      <c r="M260" s="280" t="str">
        <f t="shared" si="67"/>
        <v/>
      </c>
      <c r="N260" s="283" t="str">
        <f t="shared" si="62"/>
        <v/>
      </c>
      <c r="P260" s="289" t="str">
        <f>IF(A259=$D$8,XIRR(R$24:R259,C$24:C259),"")</f>
        <v/>
      </c>
      <c r="Q260" s="280" t="str">
        <f t="shared" si="60"/>
        <v/>
      </c>
      <c r="R260" s="283">
        <f t="shared" ca="1" si="55"/>
        <v>23232.527337695603</v>
      </c>
      <c r="S260" s="284">
        <f t="shared" ca="1" si="56"/>
        <v>2041</v>
      </c>
      <c r="T260" s="284">
        <f t="shared" ca="1" si="57"/>
        <v>365</v>
      </c>
    </row>
    <row r="261" spans="1:20" x14ac:dyDescent="0.35">
      <c r="A261" s="285">
        <f t="shared" si="58"/>
        <v>237</v>
      </c>
      <c r="B261" s="286">
        <f t="shared" ca="1" si="68"/>
        <v>51700</v>
      </c>
      <c r="C261" s="286">
        <f t="shared" ca="1" si="61"/>
        <v>51700</v>
      </c>
      <c r="D261" s="285">
        <f t="shared" ca="1" si="63"/>
        <v>30</v>
      </c>
      <c r="E261" s="280">
        <f t="shared" ca="1" si="59"/>
        <v>68381.071766776018</v>
      </c>
      <c r="F261" s="280">
        <f ca="1">IF(AND(A260="",A262=""),"",IF(A261="",SUM($F$25:F260),IF(A261=$D$8,$E$24-SUM($F$25:F260),$F$13-G261)))</f>
        <v>22274.312346167557</v>
      </c>
      <c r="G261" s="280">
        <f ca="1">IF(A260=$D$8,SUM($G$25:G260),IF(A260&gt;$D$8,"",E260*D261*$F$18/T260))</f>
        <v>958.21499152804461</v>
      </c>
      <c r="H261" s="280">
        <f ca="1">IF(A260=$D$8,SUM($H$25:H260),IF(A260="","",(G261+F261)))</f>
        <v>23232.527337695603</v>
      </c>
      <c r="I261" s="280" t="str">
        <f t="shared" si="64"/>
        <v/>
      </c>
      <c r="J261" s="280" t="str">
        <f t="shared" si="65"/>
        <v/>
      </c>
      <c r="K261" s="280" t="str">
        <f t="shared" si="69"/>
        <v/>
      </c>
      <c r="L261" s="280" t="str">
        <f t="shared" si="66"/>
        <v/>
      </c>
      <c r="M261" s="280" t="str">
        <f t="shared" si="67"/>
        <v/>
      </c>
      <c r="N261" s="283" t="str">
        <f t="shared" si="62"/>
        <v/>
      </c>
      <c r="P261" s="289" t="str">
        <f>IF(A260=$D$8,XIRR(R$24:R260,C$24:C260),"")</f>
        <v/>
      </c>
      <c r="Q261" s="280" t="str">
        <f t="shared" si="60"/>
        <v/>
      </c>
      <c r="R261" s="283">
        <f t="shared" ca="1" si="55"/>
        <v>23232.527337695603</v>
      </c>
      <c r="S261" s="284">
        <f t="shared" ca="1" si="56"/>
        <v>2041</v>
      </c>
      <c r="T261" s="284">
        <f t="shared" ca="1" si="57"/>
        <v>365</v>
      </c>
    </row>
    <row r="262" spans="1:20" x14ac:dyDescent="0.35">
      <c r="A262" s="285">
        <f t="shared" si="58"/>
        <v>238</v>
      </c>
      <c r="B262" s="286">
        <f t="shared" ca="1" si="68"/>
        <v>51731</v>
      </c>
      <c r="C262" s="286">
        <f t="shared" ca="1" si="61"/>
        <v>51731</v>
      </c>
      <c r="D262" s="285">
        <f t="shared" ca="1" si="63"/>
        <v>31</v>
      </c>
      <c r="E262" s="280">
        <f t="shared" ca="1" si="59"/>
        <v>45895.415609095289</v>
      </c>
      <c r="F262" s="280">
        <f ca="1">IF(AND(A261="",A263=""),"",IF(A262="",SUM($F$25:F261),IF(A262=$D$8,$E$24-SUM($F$25:F261),$F$13-G262)))</f>
        <v>22485.656157680729</v>
      </c>
      <c r="G262" s="280">
        <f ca="1">IF(A261=$D$8,SUM($G$25:G261),IF(A261&gt;$D$8,"",E261*D262*$F$18/T261))</f>
        <v>746.87118001487477</v>
      </c>
      <c r="H262" s="280">
        <f ca="1">IF(A261=$D$8,SUM($H$25:H261),IF(A261="","",(G262+F262)))</f>
        <v>23232.527337695603</v>
      </c>
      <c r="I262" s="280" t="str">
        <f t="shared" si="64"/>
        <v/>
      </c>
      <c r="J262" s="280" t="str">
        <f t="shared" si="65"/>
        <v/>
      </c>
      <c r="K262" s="280" t="str">
        <f t="shared" si="69"/>
        <v/>
      </c>
      <c r="L262" s="280" t="str">
        <f t="shared" si="66"/>
        <v/>
      </c>
      <c r="M262" s="280" t="str">
        <f t="shared" si="67"/>
        <v/>
      </c>
      <c r="N262" s="283" t="str">
        <f t="shared" si="62"/>
        <v/>
      </c>
      <c r="P262" s="289" t="str">
        <f>IF(A261=$D$8,XIRR(R$24:R261,C$24:C261),"")</f>
        <v/>
      </c>
      <c r="Q262" s="280" t="str">
        <f t="shared" si="60"/>
        <v/>
      </c>
      <c r="R262" s="283">
        <f t="shared" ca="1" si="55"/>
        <v>23232.527337695603</v>
      </c>
      <c r="S262" s="284">
        <f t="shared" ca="1" si="56"/>
        <v>2041</v>
      </c>
      <c r="T262" s="284">
        <f t="shared" ca="1" si="57"/>
        <v>365</v>
      </c>
    </row>
    <row r="263" spans="1:20" x14ac:dyDescent="0.35">
      <c r="A263" s="285">
        <f t="shared" si="58"/>
        <v>239</v>
      </c>
      <c r="B263" s="286">
        <f t="shared" ca="1" si="68"/>
        <v>51762</v>
      </c>
      <c r="C263" s="286">
        <f t="shared" ca="1" si="61"/>
        <v>51762</v>
      </c>
      <c r="D263" s="285">
        <f t="shared" ca="1" si="63"/>
        <v>31</v>
      </c>
      <c r="E263" s="280">
        <f t="shared" ca="1" si="59"/>
        <v>23164.166802542753</v>
      </c>
      <c r="F263" s="280">
        <f ca="1">IF(AND(A262="",A264=""),"",IF(A263="",SUM($F$25:F262),IF(A263=$D$8,$E$24-SUM($F$25:F262),$F$13-G263)))</f>
        <v>22731.248806552536</v>
      </c>
      <c r="G263" s="280">
        <f ca="1">IF(A262=$D$8,SUM($G$25:G262),IF(A262&gt;$D$8,"",E262*D263*$F$18/T262))</f>
        <v>501.27853114306646</v>
      </c>
      <c r="H263" s="280">
        <f ca="1">IF(A262=$D$8,SUM($H$25:H262),IF(A262="","",(G263+F263)))</f>
        <v>23232.527337695603</v>
      </c>
      <c r="I263" s="280" t="str">
        <f t="shared" si="64"/>
        <v/>
      </c>
      <c r="J263" s="280" t="str">
        <f t="shared" si="65"/>
        <v/>
      </c>
      <c r="K263" s="280" t="str">
        <f t="shared" si="69"/>
        <v/>
      </c>
      <c r="L263" s="280" t="str">
        <f t="shared" si="66"/>
        <v/>
      </c>
      <c r="M263" s="280" t="str">
        <f t="shared" si="67"/>
        <v/>
      </c>
      <c r="N263" s="283" t="str">
        <f t="shared" si="62"/>
        <v/>
      </c>
      <c r="P263" s="289" t="str">
        <f>IF(A262=$D$8,XIRR(R$24:R262,C$24:C262),"")</f>
        <v/>
      </c>
      <c r="Q263" s="280" t="str">
        <f t="shared" si="60"/>
        <v/>
      </c>
      <c r="R263" s="283">
        <f t="shared" ca="1" si="55"/>
        <v>23232.527337695603</v>
      </c>
      <c r="S263" s="284">
        <f t="shared" ca="1" si="56"/>
        <v>2041</v>
      </c>
      <c r="T263" s="284">
        <f t="shared" ca="1" si="57"/>
        <v>365</v>
      </c>
    </row>
    <row r="264" spans="1:20" x14ac:dyDescent="0.35">
      <c r="A264" s="285">
        <f t="shared" si="58"/>
        <v>240</v>
      </c>
      <c r="B264" s="286">
        <f t="shared" ca="1" si="68"/>
        <v>51792</v>
      </c>
      <c r="C264" s="286">
        <f t="shared" ca="1" si="61"/>
        <v>51791</v>
      </c>
      <c r="D264" s="285">
        <f t="shared" ca="1" si="63"/>
        <v>29</v>
      </c>
      <c r="E264" s="280">
        <f t="shared" ca="1" si="59"/>
        <v>2.5647750589996576E-9</v>
      </c>
      <c r="F264" s="280">
        <f ca="1">IF(AND(A263="",A265=""),"",IF(A264="",SUM($F$25:F263),IF(A264=$D$8,$E$24-SUM($F$25:F263),$F$13-G264)))</f>
        <v>23164.166802540189</v>
      </c>
      <c r="G264" s="280">
        <f ca="1">IF(A263=$D$8,SUM($G$25:G263),IF(A263&gt;$D$8,"",E263*D264*$F$18/T263))</f>
        <v>236.68066759836424</v>
      </c>
      <c r="H264" s="280">
        <f ca="1">IF(A263=$D$8,SUM($H$25:H263),IF(A263="","",(G264+F264)))</f>
        <v>23400.847470138553</v>
      </c>
      <c r="I264" s="280" t="str">
        <f t="shared" si="64"/>
        <v/>
      </c>
      <c r="J264" s="280" t="str">
        <f t="shared" si="65"/>
        <v/>
      </c>
      <c r="K264" s="280" t="str">
        <f t="shared" si="69"/>
        <v/>
      </c>
      <c r="L264" s="280" t="str">
        <f t="shared" si="66"/>
        <v/>
      </c>
      <c r="M264" s="280" t="str">
        <f t="shared" si="67"/>
        <v/>
      </c>
      <c r="N264" s="283" t="str">
        <f t="shared" si="62"/>
        <v/>
      </c>
      <c r="P264" s="289" t="str">
        <f>IF(A263=$D$8,XIRR(R$24:R263,C$24:C263),"")</f>
        <v/>
      </c>
      <c r="Q264" s="280" t="str">
        <f t="shared" si="60"/>
        <v/>
      </c>
      <c r="R264" s="283">
        <f t="shared" ca="1" si="55"/>
        <v>23400.847470138553</v>
      </c>
      <c r="S264" s="284">
        <f t="shared" ca="1" si="56"/>
        <v>2041</v>
      </c>
      <c r="T264" s="284">
        <f t="shared" ca="1" si="57"/>
        <v>365</v>
      </c>
    </row>
    <row r="265" spans="1:20" x14ac:dyDescent="0.35">
      <c r="A265" s="285" t="str">
        <f t="shared" si="58"/>
        <v/>
      </c>
      <c r="E265" s="280" t="str">
        <f t="shared" ref="E265" si="70">IF(A265&gt;$D$8,"",E264-F265)</f>
        <v/>
      </c>
      <c r="F265" s="280">
        <f ca="1">IF(AND(A264="",A266=""),"",IF(A265="",SUM($F$25:F264),IF(A265=$D$8,$E$24-SUM($F$25:F264),$F$21-G265)))</f>
        <v>2000000</v>
      </c>
      <c r="G265" s="280">
        <f ca="1">IF(A264=$D$8,SUM($G$25:G264),IF(A264&gt;$D$8,"",E264*D265*$F$18/T264))</f>
        <v>3575974.8811793891</v>
      </c>
      <c r="H265" s="280">
        <f ca="1">IF(A264=$D$8,SUM($H$25:H264),IF(A264="","",(G265+F265)))</f>
        <v>5575974.8811793718</v>
      </c>
      <c r="I265" s="280">
        <f t="shared" si="64"/>
        <v>10000</v>
      </c>
      <c r="J265" s="280">
        <f t="shared" si="65"/>
        <v>2000</v>
      </c>
      <c r="K265" s="280">
        <f>IF($F$8&gt;240,($O$8+$O$10),IF($A$264=$F$8,$K$24*$G$8,""))</f>
        <v>150000</v>
      </c>
      <c r="L265" s="280">
        <f t="shared" si="66"/>
        <v>25000</v>
      </c>
      <c r="M265" s="280">
        <f t="shared" si="67"/>
        <v>10000</v>
      </c>
      <c r="N265" s="280">
        <f>IF($F$8&gt;240,($N$14),IF(A264=$F$8,N253+N241+N229+N217+N205+N193+N181+N169+N157+N145+N133+N121+N109+N97+N85+N73+N61+N49+N37+N24,""))</f>
        <v>0</v>
      </c>
      <c r="P265" s="294">
        <f ca="1">IF(A264=$D$8,XIRR(R$24:R264,C$24:C264),"")</f>
        <v>0.14613742232322699</v>
      </c>
      <c r="Q265" s="280">
        <f t="shared" ca="1" si="60"/>
        <v>5772974.8811793886</v>
      </c>
      <c r="R265" s="280"/>
    </row>
    <row r="266" spans="1:20" x14ac:dyDescent="0.35">
      <c r="A266" s="285" t="str">
        <f t="shared" si="58"/>
        <v/>
      </c>
    </row>
    <row r="267" spans="1:20" x14ac:dyDescent="0.35">
      <c r="A267" s="285" t="str">
        <f t="shared" si="58"/>
        <v/>
      </c>
    </row>
    <row r="268" spans="1:20" x14ac:dyDescent="0.35">
      <c r="A268" s="285" t="str">
        <f t="shared" si="58"/>
        <v/>
      </c>
    </row>
    <row r="269" spans="1:20" x14ac:dyDescent="0.35">
      <c r="A269" s="285" t="str">
        <f t="shared" si="58"/>
        <v/>
      </c>
    </row>
    <row r="270" spans="1:20" x14ac:dyDescent="0.35">
      <c r="A270" s="285" t="str">
        <f t="shared" si="58"/>
        <v/>
      </c>
    </row>
    <row r="271" spans="1:20" x14ac:dyDescent="0.35">
      <c r="A271" s="285" t="str">
        <f t="shared" si="58"/>
        <v/>
      </c>
    </row>
    <row r="272" spans="1:20" x14ac:dyDescent="0.35">
      <c r="A272" s="285" t="str">
        <f t="shared" si="58"/>
        <v/>
      </c>
    </row>
    <row r="273" spans="1:1" x14ac:dyDescent="0.35">
      <c r="A273" s="285" t="str">
        <f t="shared" si="58"/>
        <v/>
      </c>
    </row>
    <row r="274" spans="1:1" x14ac:dyDescent="0.35">
      <c r="A274" s="285" t="str">
        <f t="shared" si="58"/>
        <v/>
      </c>
    </row>
    <row r="275" spans="1:1" x14ac:dyDescent="0.35">
      <c r="A275" s="285" t="str">
        <f t="shared" si="58"/>
        <v/>
      </c>
    </row>
  </sheetData>
  <sheetProtection algorithmName="SHA-512" hashValue="aUlh8R8wQHvZKu62wZvUfMNT1IA4LDsRRHxH3qUC5z5i7lvv2tIZ6frxJi3FrTVkLQMfQeA83dH7DYz6+CaKiQ==" saltValue="sV0F9xPEHU2IG8nfezMRFg==" spinCount="100000" sheet="1" objects="1" scenarios="1"/>
  <protectedRanges>
    <protectedRange password="C797" sqref="B25:B264" name="Диапазон1_1"/>
    <protectedRange password="C797" sqref="P22:Q23" name="Диапазон1"/>
    <protectedRange password="C797" sqref="R24" name="Диапазон1_2"/>
    <protectedRange password="C797" sqref="R25:R264" name="Диапазон1_2_1"/>
    <protectedRange password="C797" sqref="N24:N36 N38:N48 N50:N60 N62:N72 N74:N84 N86:N96 N98:N108 N110:N120 N122:N132 N134:N144 N146:N156 N158:N168 N170:N180 N182:N192 N194:N204 N206:N216 N218:N228 N230:N240 N242:N252 N254:N264" name="Диапазон1_2_2"/>
  </protectedRanges>
  <mergeCells count="24">
    <mergeCell ref="H14:H15"/>
    <mergeCell ref="N13:O13"/>
    <mergeCell ref="N14:O14"/>
    <mergeCell ref="N22:N23"/>
    <mergeCell ref="R22:R23"/>
    <mergeCell ref="I22:L22"/>
    <mergeCell ref="N15:O15"/>
    <mergeCell ref="I13:L13"/>
    <mergeCell ref="I14:M14"/>
    <mergeCell ref="I15:M15"/>
    <mergeCell ref="I10:M10"/>
    <mergeCell ref="I11:M11"/>
    <mergeCell ref="N11:O11"/>
    <mergeCell ref="N12:O12"/>
    <mergeCell ref="A1:Q1"/>
    <mergeCell ref="I6:O6"/>
    <mergeCell ref="N7:O7"/>
    <mergeCell ref="I9:M9"/>
    <mergeCell ref="N9:O9"/>
    <mergeCell ref="H3:M3"/>
    <mergeCell ref="N3:O3"/>
    <mergeCell ref="H4:M4"/>
    <mergeCell ref="N4:O4"/>
    <mergeCell ref="N5:O5"/>
  </mergeCells>
  <dataValidations disablePrompts="1" count="1">
    <dataValidation type="list" allowBlank="1" showInputMessage="1" showErrorMessage="1" sqref="Q8:R8">
      <formula1>$S$8:$S$9</formula1>
    </dataValidation>
  </dataValidations>
  <pageMargins left="0.7" right="0.7" top="0.75" bottom="0.75" header="0.3" footer="0.3"/>
  <pageSetup paperSize="9" scale="35" fitToHeight="0" orientation="portrait" r:id="rId1"/>
  <ignoredErrors>
    <ignoredError sqref="F6:F7 F3 F15"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75"/>
  <sheetViews>
    <sheetView topLeftCell="D1" zoomScale="70" zoomScaleNormal="70" zoomScaleSheetLayoutView="55" workbookViewId="0">
      <selection activeCell="H29" sqref="H29"/>
    </sheetView>
  </sheetViews>
  <sheetFormatPr defaultRowHeight="14.5" x14ac:dyDescent="0.35"/>
  <cols>
    <col min="1" max="1" width="8.7265625" style="230"/>
    <col min="2" max="2" width="24.81640625" style="230" hidden="1" customWidth="1"/>
    <col min="3" max="3" width="28.81640625" style="230" customWidth="1"/>
    <col min="4" max="4" width="12.81640625" style="230" customWidth="1"/>
    <col min="5" max="5" width="15.81640625" style="230" customWidth="1"/>
    <col min="6" max="6" width="15.453125" style="230" customWidth="1"/>
    <col min="7" max="7" width="12.453125" style="230" customWidth="1"/>
    <col min="8" max="12" width="16.453125" style="230" customWidth="1"/>
    <col min="13" max="13" width="17.26953125" style="230" customWidth="1"/>
    <col min="14" max="14" width="15.54296875" style="230" customWidth="1"/>
    <col min="15" max="15" width="13.54296875" style="230" customWidth="1"/>
    <col min="16" max="16" width="12.26953125" style="230" customWidth="1"/>
    <col min="17" max="17" width="14.81640625" style="230" customWidth="1"/>
    <col min="18" max="18" width="12" style="230" hidden="1" customWidth="1"/>
    <col min="19" max="21" width="9.1796875" style="230" hidden="1" customWidth="1"/>
    <col min="22" max="22" width="9.453125" style="230" hidden="1" customWidth="1"/>
    <col min="23" max="23" width="10.1796875" style="230" hidden="1" customWidth="1"/>
    <col min="24" max="24" width="9.1796875" style="230" hidden="1" customWidth="1"/>
    <col min="25" max="25" width="12.1796875" style="230" hidden="1" customWidth="1"/>
    <col min="26" max="26" width="9.1796875" style="230" hidden="1" customWidth="1"/>
    <col min="27" max="30" width="8.7265625" style="230" hidden="1" customWidth="1"/>
    <col min="31" max="31" width="15.90625" style="230" hidden="1" customWidth="1"/>
    <col min="32" max="16384" width="8.7265625" style="230"/>
  </cols>
  <sheetData>
    <row r="1" spans="1:31" ht="15.5" x14ac:dyDescent="0.35">
      <c r="A1" s="399" t="s">
        <v>116</v>
      </c>
      <c r="B1" s="399"/>
      <c r="C1" s="399"/>
      <c r="D1" s="399"/>
      <c r="E1" s="399"/>
      <c r="F1" s="399"/>
      <c r="G1" s="399"/>
      <c r="H1" s="399"/>
      <c r="I1" s="399"/>
      <c r="J1" s="399"/>
      <c r="K1" s="399"/>
      <c r="L1" s="399"/>
      <c r="M1" s="399"/>
      <c r="N1" s="399"/>
      <c r="O1" s="399"/>
      <c r="P1" s="399"/>
      <c r="Q1" s="399"/>
      <c r="R1" s="299"/>
      <c r="Y1" s="230" t="s">
        <v>153</v>
      </c>
      <c r="Z1" s="230" t="s">
        <v>154</v>
      </c>
    </row>
    <row r="2" spans="1:31" x14ac:dyDescent="0.35">
      <c r="A2" s="231"/>
      <c r="B2" s="231"/>
      <c r="C2" s="232"/>
      <c r="D2" s="232"/>
      <c r="E2" s="232"/>
      <c r="F2" s="232"/>
      <c r="G2" s="233"/>
      <c r="H2" s="231"/>
      <c r="I2" s="231"/>
      <c r="J2" s="231"/>
      <c r="K2" s="231"/>
      <c r="L2" s="231"/>
      <c r="M2" s="231"/>
      <c r="N2" s="231"/>
      <c r="O2" s="231"/>
      <c r="P2" s="231"/>
      <c r="Q2" s="231"/>
      <c r="R2" s="231"/>
      <c r="X2" s="230">
        <v>1</v>
      </c>
      <c r="Y2" s="234">
        <f>O8+O10</f>
        <v>7500</v>
      </c>
      <c r="Z2" s="234">
        <f>Y2-O8</f>
        <v>0</v>
      </c>
      <c r="AD2" s="230">
        <v>1</v>
      </c>
      <c r="AE2" s="234">
        <v>0</v>
      </c>
    </row>
    <row r="3" spans="1:31" x14ac:dyDescent="0.35">
      <c r="A3" s="231"/>
      <c r="B3" s="235" t="s">
        <v>62</v>
      </c>
      <c r="C3" s="236" t="s">
        <v>62</v>
      </c>
      <c r="D3" s="237">
        <f ca="1">F3</f>
        <v>44487</v>
      </c>
      <c r="E3" s="262"/>
      <c r="F3" s="295">
        <f ca="1">'график анн Базова'!F3</f>
        <v>44487</v>
      </c>
      <c r="G3" s="239"/>
      <c r="H3" s="403" t="s">
        <v>138</v>
      </c>
      <c r="I3" s="403"/>
      <c r="J3" s="403"/>
      <c r="K3" s="403"/>
      <c r="L3" s="403"/>
      <c r="M3" s="403"/>
      <c r="N3" s="419">
        <f>'график анн Базова'!N3:O3</f>
        <v>5.0000000000000001E-3</v>
      </c>
      <c r="O3" s="419"/>
      <c r="P3" s="240">
        <f>N3</f>
        <v>5.0000000000000001E-3</v>
      </c>
      <c r="Q3" s="231"/>
      <c r="R3" s="231"/>
      <c r="X3" s="241">
        <v>2</v>
      </c>
      <c r="Y3" s="242">
        <f>IF($F$8&gt;12,K37,0)</f>
        <v>7500</v>
      </c>
      <c r="Z3" s="234">
        <f>IF(Y3&gt;0,$Z$2,0)</f>
        <v>0</v>
      </c>
      <c r="AD3" s="241">
        <v>2</v>
      </c>
      <c r="AE3" s="242">
        <f>IF($F$8&gt;12,N37,0)</f>
        <v>0</v>
      </c>
    </row>
    <row r="4" spans="1:31" x14ac:dyDescent="0.35">
      <c r="A4" s="231"/>
      <c r="B4" s="243" t="s">
        <v>63</v>
      </c>
      <c r="C4" s="236" t="s">
        <v>137</v>
      </c>
      <c r="D4" s="244">
        <f t="shared" ref="D4:D9" si="0">F4</f>
        <v>2500000</v>
      </c>
      <c r="E4" s="262"/>
      <c r="F4" s="221">
        <f>'график анн Базова'!F4</f>
        <v>2500000</v>
      </c>
      <c r="G4" s="232"/>
      <c r="H4" s="405" t="s">
        <v>64</v>
      </c>
      <c r="I4" s="405"/>
      <c r="J4" s="405"/>
      <c r="K4" s="405"/>
      <c r="L4" s="405"/>
      <c r="M4" s="405"/>
      <c r="N4" s="406">
        <f>N3*F7</f>
        <v>10000</v>
      </c>
      <c r="O4" s="406"/>
      <c r="P4" s="245">
        <f>N4</f>
        <v>10000</v>
      </c>
      <c r="Q4" s="231"/>
      <c r="R4" s="231"/>
      <c r="X4" s="241">
        <v>3</v>
      </c>
      <c r="Y4" s="242">
        <f>IF($F$8&gt;24,K49,0)</f>
        <v>7500</v>
      </c>
      <c r="Z4" s="234">
        <f t="shared" ref="Z4:Z21" si="1">IF(Y4&gt;0,$Z$2,0)</f>
        <v>0</v>
      </c>
      <c r="AD4" s="241">
        <v>3</v>
      </c>
      <c r="AE4" s="242">
        <f>IF($F$8&gt;24,N49,0)</f>
        <v>0</v>
      </c>
    </row>
    <row r="5" spans="1:31" ht="15" customHeight="1" x14ac:dyDescent="0.35">
      <c r="A5" s="231"/>
      <c r="B5" s="243" t="s">
        <v>65</v>
      </c>
      <c r="C5" s="236" t="s">
        <v>65</v>
      </c>
      <c r="D5" s="244">
        <f t="shared" si="0"/>
        <v>500000</v>
      </c>
      <c r="E5" s="262"/>
      <c r="F5" s="221">
        <f>'график анн Базова'!F5</f>
        <v>500000</v>
      </c>
      <c r="G5" s="246"/>
      <c r="H5" s="247" t="s">
        <v>133</v>
      </c>
      <c r="I5" s="248"/>
      <c r="J5" s="248"/>
      <c r="K5" s="248"/>
      <c r="L5" s="248"/>
      <c r="M5" s="248"/>
      <c r="N5" s="406">
        <v>0</v>
      </c>
      <c r="O5" s="406"/>
      <c r="P5" s="245">
        <f>N5</f>
        <v>0</v>
      </c>
      <c r="Q5" s="231"/>
      <c r="R5" s="231"/>
      <c r="V5" s="230" t="s">
        <v>82</v>
      </c>
      <c r="W5" s="230">
        <v>1700</v>
      </c>
      <c r="X5" s="241">
        <v>4</v>
      </c>
      <c r="Y5" s="242">
        <f>IF($F$8&gt;36,K61,0)</f>
        <v>7500</v>
      </c>
      <c r="Z5" s="234">
        <f t="shared" si="1"/>
        <v>0</v>
      </c>
      <c r="AD5" s="241">
        <v>4</v>
      </c>
      <c r="AE5" s="242">
        <f>IF($F$8&gt;36,N61,0)</f>
        <v>0</v>
      </c>
    </row>
    <row r="6" spans="1:31" x14ac:dyDescent="0.35">
      <c r="A6" s="231"/>
      <c r="B6" s="249" t="s">
        <v>67</v>
      </c>
      <c r="C6" s="236" t="s">
        <v>67</v>
      </c>
      <c r="D6" s="250">
        <f t="shared" si="0"/>
        <v>0.2</v>
      </c>
      <c r="E6" s="262"/>
      <c r="F6" s="251">
        <f>F5/F4</f>
        <v>0.2</v>
      </c>
      <c r="G6" s="252"/>
      <c r="H6" s="183" t="s">
        <v>141</v>
      </c>
      <c r="I6" s="400" t="s">
        <v>66</v>
      </c>
      <c r="J6" s="400"/>
      <c r="K6" s="400"/>
      <c r="L6" s="400"/>
      <c r="M6" s="400"/>
      <c r="N6" s="400"/>
      <c r="O6" s="400"/>
      <c r="P6" s="253"/>
      <c r="Q6" s="232"/>
      <c r="R6" s="232"/>
      <c r="X6" s="241">
        <v>5</v>
      </c>
      <c r="Y6" s="242">
        <f>IF($F$8&gt;48,K73,0)</f>
        <v>7500</v>
      </c>
      <c r="Z6" s="234">
        <f t="shared" si="1"/>
        <v>0</v>
      </c>
      <c r="AD6" s="241">
        <v>5</v>
      </c>
      <c r="AE6" s="242">
        <f>IF($F$8&gt;48,N73,0)</f>
        <v>0</v>
      </c>
    </row>
    <row r="7" spans="1:31" x14ac:dyDescent="0.35">
      <c r="A7" s="231"/>
      <c r="B7" s="239" t="s">
        <v>68</v>
      </c>
      <c r="C7" s="236" t="s">
        <v>68</v>
      </c>
      <c r="D7" s="244">
        <f t="shared" si="0"/>
        <v>2000000</v>
      </c>
      <c r="E7" s="262"/>
      <c r="F7" s="254">
        <f>F4-F5</f>
        <v>2000000</v>
      </c>
      <c r="G7" s="252"/>
      <c r="H7" s="184"/>
      <c r="I7" s="255" t="s">
        <v>553</v>
      </c>
      <c r="J7" s="256"/>
      <c r="K7" s="256"/>
      <c r="L7" s="256"/>
      <c r="M7" s="257" t="s">
        <v>546</v>
      </c>
      <c r="N7" s="401">
        <f>'график анн Базова'!N7:O7</f>
        <v>10000</v>
      </c>
      <c r="O7" s="402"/>
      <c r="P7" s="245">
        <f>N7</f>
        <v>10000</v>
      </c>
      <c r="Q7" s="232"/>
      <c r="R7" s="232"/>
      <c r="W7" s="230">
        <f>F4/W5</f>
        <v>1470.5882352941176</v>
      </c>
      <c r="X7" s="258">
        <v>6</v>
      </c>
      <c r="Y7" s="242">
        <f>IF($F$8&gt;60,K85,0)</f>
        <v>7500</v>
      </c>
      <c r="Z7" s="234">
        <f t="shared" si="1"/>
        <v>0</v>
      </c>
      <c r="AD7" s="258">
        <v>6</v>
      </c>
      <c r="AE7" s="242">
        <f>IF($F$8&gt;60,N85,0)</f>
        <v>0</v>
      </c>
    </row>
    <row r="8" spans="1:31" x14ac:dyDescent="0.35">
      <c r="A8" s="231"/>
      <c r="B8" s="239" t="s">
        <v>69</v>
      </c>
      <c r="C8" s="236" t="s">
        <v>69</v>
      </c>
      <c r="D8" s="259">
        <f>F8</f>
        <v>240</v>
      </c>
      <c r="E8" s="262"/>
      <c r="F8" s="222">
        <f>'график анн Базова'!F8</f>
        <v>240</v>
      </c>
      <c r="G8" s="260">
        <f>F8/12</f>
        <v>20</v>
      </c>
      <c r="H8" s="184"/>
      <c r="I8" s="255" t="s">
        <v>146</v>
      </c>
      <c r="J8" s="256"/>
      <c r="K8" s="256"/>
      <c r="L8" s="256"/>
      <c r="M8" s="257" t="s">
        <v>547</v>
      </c>
      <c r="N8" s="251">
        <f>'график анн Базова'!N8</f>
        <v>3.0000000000000001E-3</v>
      </c>
      <c r="O8" s="300">
        <f>N8*F4</f>
        <v>7500</v>
      </c>
      <c r="P8" s="245">
        <f>O8</f>
        <v>7500</v>
      </c>
      <c r="Q8" s="232"/>
      <c r="R8" s="232"/>
      <c r="S8" s="230" t="s">
        <v>103</v>
      </c>
      <c r="W8" s="230" t="str">
        <f>IF(W7&lt;165,"3%",IF(W7&gt;290,"5%","4%"))</f>
        <v>5%</v>
      </c>
      <c r="X8" s="241">
        <v>7</v>
      </c>
      <c r="Y8" s="242">
        <f>IF($F$8&gt;72,K97,0)</f>
        <v>7500</v>
      </c>
      <c r="Z8" s="234">
        <f t="shared" si="1"/>
        <v>0</v>
      </c>
      <c r="AD8" s="241">
        <v>7</v>
      </c>
      <c r="AE8" s="242">
        <f>IF($F$8&gt;72,N97,0)</f>
        <v>0</v>
      </c>
    </row>
    <row r="9" spans="1:31" x14ac:dyDescent="0.35">
      <c r="A9" s="231"/>
      <c r="B9" s="239" t="s">
        <v>70</v>
      </c>
      <c r="C9" s="236" t="s">
        <v>552</v>
      </c>
      <c r="D9" s="250">
        <f t="shared" si="0"/>
        <v>7.0000000000000007E-2</v>
      </c>
      <c r="E9" s="262"/>
      <c r="F9" s="251">
        <v>7.0000000000000007E-2</v>
      </c>
      <c r="G9" s="252"/>
      <c r="H9" s="184"/>
      <c r="I9" s="395" t="s">
        <v>147</v>
      </c>
      <c r="J9" s="396"/>
      <c r="K9" s="396"/>
      <c r="L9" s="396"/>
      <c r="M9" s="396"/>
      <c r="N9" s="401">
        <f>Y22-Z22</f>
        <v>150000</v>
      </c>
      <c r="O9" s="402"/>
      <c r="P9" s="245">
        <f>N9</f>
        <v>150000</v>
      </c>
      <c r="Q9" s="232"/>
      <c r="R9" s="232"/>
      <c r="S9" s="230" t="s">
        <v>102</v>
      </c>
      <c r="T9" s="261"/>
      <c r="X9" s="241">
        <v>8</v>
      </c>
      <c r="Y9" s="242">
        <f>IF($F$8&gt;84,K109,0)</f>
        <v>7500</v>
      </c>
      <c r="Z9" s="234">
        <f t="shared" si="1"/>
        <v>0</v>
      </c>
      <c r="AD9" s="241">
        <v>8</v>
      </c>
      <c r="AE9" s="242">
        <f>IF($F$8&gt;84,N109,0)</f>
        <v>0</v>
      </c>
    </row>
    <row r="10" spans="1:31" ht="17.25" customHeight="1" x14ac:dyDescent="0.35">
      <c r="A10" s="231"/>
      <c r="B10" s="232"/>
      <c r="C10" s="236" t="s">
        <v>551</v>
      </c>
      <c r="D10" s="259"/>
      <c r="E10" s="262"/>
      <c r="F10" s="263">
        <f ca="1">EDATE(F3,F8)-1</f>
        <v>51791</v>
      </c>
      <c r="G10" s="9"/>
      <c r="H10" s="184"/>
      <c r="I10" s="395" t="s">
        <v>148</v>
      </c>
      <c r="J10" s="396"/>
      <c r="K10" s="396"/>
      <c r="L10" s="396"/>
      <c r="M10" s="396"/>
      <c r="N10" s="251">
        <v>0</v>
      </c>
      <c r="O10" s="300">
        <f>N10*F7</f>
        <v>0</v>
      </c>
      <c r="P10" s="245">
        <f>O10</f>
        <v>0</v>
      </c>
      <c r="Q10" s="67"/>
      <c r="R10" s="67"/>
      <c r="S10" s="10"/>
      <c r="X10" s="241">
        <v>9</v>
      </c>
      <c r="Y10" s="242">
        <f>IF($F$8&gt;96,K121,0)</f>
        <v>7500</v>
      </c>
      <c r="Z10" s="234">
        <f t="shared" si="1"/>
        <v>0</v>
      </c>
      <c r="AD10" s="241">
        <v>9</v>
      </c>
      <c r="AE10" s="242">
        <f>IF($F$8&gt;96,N121,0)</f>
        <v>0</v>
      </c>
    </row>
    <row r="11" spans="1:31" ht="18.75" customHeight="1" x14ac:dyDescent="0.35">
      <c r="A11" s="231"/>
      <c r="B11" s="232"/>
      <c r="C11" s="303"/>
      <c r="D11" s="303"/>
      <c r="E11" s="264" t="s">
        <v>545</v>
      </c>
      <c r="F11" s="265">
        <f>-PMT(F9/11.99987,F8,E24)</f>
        <v>15506.069751787472</v>
      </c>
      <c r="G11" s="9"/>
      <c r="H11" s="184"/>
      <c r="I11" s="395" t="s">
        <v>149</v>
      </c>
      <c r="J11" s="396"/>
      <c r="K11" s="396"/>
      <c r="L11" s="396"/>
      <c r="M11" s="396"/>
      <c r="N11" s="401">
        <f>Z22</f>
        <v>0</v>
      </c>
      <c r="O11" s="402"/>
      <c r="P11" s="245">
        <f>N11</f>
        <v>0</v>
      </c>
      <c r="Q11" s="67"/>
      <c r="R11" s="67"/>
      <c r="S11" s="10"/>
      <c r="X11" s="241">
        <v>10</v>
      </c>
      <c r="Y11" s="242">
        <f>IF($F$8&gt;108,K133,0)</f>
        <v>7500</v>
      </c>
      <c r="Z11" s="234">
        <f t="shared" si="1"/>
        <v>0</v>
      </c>
      <c r="AD11" s="241">
        <v>10</v>
      </c>
      <c r="AE11" s="242">
        <f>IF($F$8&gt;108,N133,0)</f>
        <v>0</v>
      </c>
    </row>
    <row r="12" spans="1:31" ht="15.75" customHeight="1" x14ac:dyDescent="0.35">
      <c r="A12" s="231"/>
      <c r="B12" s="232"/>
      <c r="C12" s="303"/>
      <c r="D12" s="303"/>
      <c r="E12" s="264"/>
      <c r="F12" s="264">
        <v>0</v>
      </c>
      <c r="G12" s="11"/>
      <c r="H12" s="184"/>
      <c r="I12" s="255" t="s">
        <v>150</v>
      </c>
      <c r="J12" s="256"/>
      <c r="K12" s="256"/>
      <c r="L12" s="256"/>
      <c r="M12" s="257" t="s">
        <v>546</v>
      </c>
      <c r="N12" s="401">
        <f>'график анн Базова'!N12:O12</f>
        <v>2000</v>
      </c>
      <c r="O12" s="402"/>
      <c r="P12" s="245">
        <f>N12</f>
        <v>2000</v>
      </c>
      <c r="Q12" s="68"/>
      <c r="R12" s="68"/>
      <c r="S12" s="12"/>
      <c r="X12" s="241">
        <v>11</v>
      </c>
      <c r="Y12" s="242">
        <f>IF($F$8&gt;120,K145,0)</f>
        <v>7500</v>
      </c>
      <c r="Z12" s="234">
        <f t="shared" si="1"/>
        <v>0</v>
      </c>
      <c r="AD12" s="241">
        <v>11</v>
      </c>
      <c r="AE12" s="242">
        <f>IF($F$8&gt;120,N145,0)</f>
        <v>0</v>
      </c>
    </row>
    <row r="13" spans="1:31" ht="26.5" customHeight="1" x14ac:dyDescent="0.35">
      <c r="A13" s="231"/>
      <c r="B13" s="232"/>
      <c r="C13" s="303"/>
      <c r="D13" s="303"/>
      <c r="E13" s="264"/>
      <c r="F13" s="265">
        <f>F11+F12</f>
        <v>15506.069751787472</v>
      </c>
      <c r="G13" s="11"/>
      <c r="H13" s="184"/>
      <c r="I13" s="414" t="s">
        <v>559</v>
      </c>
      <c r="J13" s="415"/>
      <c r="K13" s="415"/>
      <c r="L13" s="415"/>
      <c r="M13" s="257" t="s">
        <v>546</v>
      </c>
      <c r="N13" s="401">
        <f>'график анн Базова'!N13:O13</f>
        <v>25000</v>
      </c>
      <c r="O13" s="402"/>
      <c r="P13" s="245">
        <f>N13</f>
        <v>25000</v>
      </c>
      <c r="Q13" s="68"/>
      <c r="R13" s="68"/>
      <c r="S13" s="12"/>
      <c r="X13" s="241">
        <v>12</v>
      </c>
      <c r="Y13" s="242">
        <f>IF($F$8&gt;132,K157,0)</f>
        <v>7500</v>
      </c>
      <c r="Z13" s="234">
        <f t="shared" si="1"/>
        <v>0</v>
      </c>
      <c r="AD13" s="241">
        <v>12</v>
      </c>
      <c r="AE13" s="242">
        <f>IF($F$8&gt;132,N157,0)</f>
        <v>0</v>
      </c>
    </row>
    <row r="14" spans="1:31" x14ac:dyDescent="0.35">
      <c r="A14" s="231"/>
      <c r="B14" s="232"/>
      <c r="C14" s="303"/>
      <c r="D14" s="304"/>
      <c r="E14" s="303"/>
      <c r="F14" s="304"/>
      <c r="G14" s="11"/>
      <c r="H14" s="407" t="s">
        <v>151</v>
      </c>
      <c r="I14" s="416" t="s">
        <v>564</v>
      </c>
      <c r="J14" s="417"/>
      <c r="K14" s="417"/>
      <c r="L14" s="417"/>
      <c r="M14" s="418"/>
      <c r="N14" s="406">
        <v>0</v>
      </c>
      <c r="O14" s="406"/>
      <c r="P14" s="245">
        <f>N14</f>
        <v>0</v>
      </c>
      <c r="Q14" s="68"/>
      <c r="R14" s="68"/>
      <c r="S14" s="12"/>
      <c r="X14" s="241">
        <v>13</v>
      </c>
      <c r="Y14" s="242">
        <f>IF($F$8&gt;144,K169,0)</f>
        <v>7500</v>
      </c>
      <c r="Z14" s="234">
        <f t="shared" si="1"/>
        <v>0</v>
      </c>
      <c r="AD14" s="241">
        <v>13</v>
      </c>
      <c r="AE14" s="242">
        <f>IF($F$8&gt;144,N169,0)</f>
        <v>0</v>
      </c>
    </row>
    <row r="15" spans="1:31" ht="15" customHeight="1" x14ac:dyDescent="0.35">
      <c r="A15" s="231"/>
      <c r="B15" s="232"/>
      <c r="C15" s="305"/>
      <c r="D15" s="303"/>
      <c r="E15" s="303"/>
      <c r="F15" s="306"/>
      <c r="G15" s="11"/>
      <c r="H15" s="408"/>
      <c r="I15" s="416" t="s">
        <v>564</v>
      </c>
      <c r="J15" s="417"/>
      <c r="K15" s="417"/>
      <c r="L15" s="417"/>
      <c r="M15" s="418"/>
      <c r="N15" s="406">
        <f>AE22</f>
        <v>0</v>
      </c>
      <c r="O15" s="406"/>
      <c r="P15" s="68"/>
      <c r="Q15" s="68"/>
      <c r="R15" s="68"/>
      <c r="S15" s="12"/>
      <c r="X15" s="241">
        <v>14</v>
      </c>
      <c r="Y15" s="242">
        <f>IF($F$8&gt;156,K181,0)</f>
        <v>7500</v>
      </c>
      <c r="Z15" s="234">
        <f t="shared" si="1"/>
        <v>0</v>
      </c>
      <c r="AD15" s="241">
        <v>14</v>
      </c>
      <c r="AE15" s="242">
        <f>IF($F$8&gt;156,N181,0)</f>
        <v>0</v>
      </c>
    </row>
    <row r="16" spans="1:31" ht="27" hidden="1" customHeight="1" x14ac:dyDescent="0.35">
      <c r="A16" s="231"/>
      <c r="B16" s="232"/>
      <c r="C16" s="268" t="s">
        <v>140</v>
      </c>
      <c r="D16" s="267">
        <v>0.1699</v>
      </c>
      <c r="E16" s="264"/>
      <c r="F16" s="267">
        <v>8.1000000000000003E-2</v>
      </c>
      <c r="G16" s="11"/>
      <c r="H16" s="169"/>
      <c r="I16" s="68"/>
      <c r="J16" s="68"/>
      <c r="K16" s="68"/>
      <c r="L16" s="68"/>
      <c r="M16" s="68"/>
      <c r="N16" s="68"/>
      <c r="O16" s="68"/>
      <c r="P16" s="176"/>
      <c r="Q16" s="11"/>
      <c r="R16" s="11"/>
      <c r="S16" s="12"/>
      <c r="X16" s="241">
        <v>15</v>
      </c>
      <c r="Y16" s="242">
        <f>IF($F$8&gt;168,K193,0)</f>
        <v>7500</v>
      </c>
      <c r="Z16" s="234">
        <f t="shared" si="1"/>
        <v>0</v>
      </c>
      <c r="AD16" s="241">
        <v>15</v>
      </c>
      <c r="AE16" s="242">
        <f>IF($F$8&gt;168,N193,0)</f>
        <v>0</v>
      </c>
    </row>
    <row r="17" spans="1:31" hidden="1" x14ac:dyDescent="0.35">
      <c r="A17" s="231"/>
      <c r="B17" s="231"/>
      <c r="C17" s="264" t="s">
        <v>108</v>
      </c>
      <c r="D17" s="264"/>
      <c r="E17" s="264"/>
      <c r="F17" s="267">
        <v>0.03</v>
      </c>
      <c r="G17" s="68"/>
      <c r="H17" s="171"/>
      <c r="I17" s="172"/>
      <c r="J17" s="172"/>
      <c r="K17" s="172"/>
      <c r="L17" s="172"/>
      <c r="M17" s="172"/>
      <c r="N17" s="172"/>
      <c r="O17" s="172"/>
      <c r="P17" s="173"/>
      <c r="Q17" s="173"/>
      <c r="R17" s="68"/>
      <c r="S17" s="12"/>
      <c r="X17" s="241">
        <v>16</v>
      </c>
      <c r="Y17" s="242">
        <f>IF($F$8&gt;180,K205,0)</f>
        <v>7500</v>
      </c>
      <c r="Z17" s="234">
        <f t="shared" si="1"/>
        <v>0</v>
      </c>
      <c r="AD17" s="241">
        <v>16</v>
      </c>
      <c r="AE17" s="242">
        <f>IF($F$8&gt;180,N205,0)</f>
        <v>0</v>
      </c>
    </row>
    <row r="18" spans="1:31" hidden="1" x14ac:dyDescent="0.35">
      <c r="A18" s="231"/>
      <c r="B18" s="231"/>
      <c r="C18" s="271" t="s">
        <v>109</v>
      </c>
      <c r="D18" s="267">
        <f>F18</f>
        <v>0.111</v>
      </c>
      <c r="E18" s="232"/>
      <c r="F18" s="272">
        <f>F16+F17</f>
        <v>0.111</v>
      </c>
      <c r="G18" s="9"/>
      <c r="H18" s="174"/>
      <c r="I18" s="67"/>
      <c r="J18" s="67"/>
      <c r="K18" s="67"/>
      <c r="L18" s="67"/>
      <c r="M18" s="67"/>
      <c r="N18" s="67"/>
      <c r="O18" s="67"/>
      <c r="P18" s="177"/>
      <c r="Q18" s="175"/>
      <c r="R18" s="67"/>
      <c r="S18" s="10"/>
      <c r="X18" s="241">
        <v>17</v>
      </c>
      <c r="Y18" s="242">
        <f>IF($F$8&gt;192,K217,0)</f>
        <v>7500</v>
      </c>
      <c r="Z18" s="234">
        <f t="shared" si="1"/>
        <v>0</v>
      </c>
      <c r="AD18" s="241">
        <v>17</v>
      </c>
      <c r="AE18" s="242">
        <f>IF($F$8&gt;192,N217,0)</f>
        <v>0</v>
      </c>
    </row>
    <row r="19" spans="1:31" hidden="1" x14ac:dyDescent="0.35">
      <c r="A19" s="231"/>
      <c r="B19" s="231"/>
      <c r="C19" s="271"/>
      <c r="D19" s="232"/>
      <c r="E19" s="273">
        <f ca="1">-PMT(F14/12,(F8-60),(F7-(SUM(F25:F48))))</f>
        <v>10839.1395914063</v>
      </c>
      <c r="F19" s="274">
        <f ca="1">-PMT(F18/12,(F8-60),(F7-(SUM(F25:F84))))</f>
        <v>21139.314044933264</v>
      </c>
      <c r="G19" s="11"/>
      <c r="H19" s="169"/>
      <c r="I19" s="68"/>
      <c r="J19" s="68"/>
      <c r="K19" s="68"/>
      <c r="L19" s="68"/>
      <c r="M19" s="68"/>
      <c r="N19" s="68"/>
      <c r="O19" s="68"/>
      <c r="P19" s="176"/>
      <c r="Q19" s="176"/>
      <c r="R19" s="68"/>
      <c r="S19" s="12"/>
      <c r="X19" s="241">
        <v>18</v>
      </c>
      <c r="Y19" s="242">
        <f>IF($F$8&gt;204,K229,0)</f>
        <v>7500</v>
      </c>
      <c r="Z19" s="234">
        <f t="shared" si="1"/>
        <v>0</v>
      </c>
      <c r="AD19" s="241">
        <v>18</v>
      </c>
      <c r="AE19" s="242">
        <f>IF($F$8&gt;204,N229,0)</f>
        <v>0</v>
      </c>
    </row>
    <row r="20" spans="1:31" hidden="1" x14ac:dyDescent="0.35">
      <c r="A20" s="231"/>
      <c r="B20" s="231"/>
      <c r="C20" s="271"/>
      <c r="D20" s="232"/>
      <c r="E20" s="269">
        <f ca="1">EDATE(F3,F8)</f>
        <v>51792</v>
      </c>
      <c r="F20" s="274">
        <v>0</v>
      </c>
      <c r="G20" s="168"/>
      <c r="H20" s="169"/>
      <c r="I20" s="68"/>
      <c r="J20" s="68"/>
      <c r="K20" s="68"/>
      <c r="L20" s="68"/>
      <c r="M20" s="68"/>
      <c r="N20" s="68"/>
      <c r="O20" s="68"/>
      <c r="P20" s="176"/>
      <c r="Q20" s="176"/>
      <c r="R20" s="68"/>
      <c r="S20" s="12"/>
      <c r="X20" s="241">
        <v>19</v>
      </c>
      <c r="Y20" s="242">
        <f>IF($F$8&gt;216,K241,0)</f>
        <v>7500</v>
      </c>
      <c r="Z20" s="234">
        <f t="shared" si="1"/>
        <v>0</v>
      </c>
      <c r="AD20" s="241">
        <v>19</v>
      </c>
      <c r="AE20" s="242">
        <f>IF($F$8&gt;216,N241,0)</f>
        <v>0</v>
      </c>
    </row>
    <row r="21" spans="1:31" hidden="1" x14ac:dyDescent="0.35">
      <c r="A21" s="231"/>
      <c r="B21" s="231"/>
      <c r="C21" s="271"/>
      <c r="D21" s="232"/>
      <c r="E21" s="275" t="s">
        <v>544</v>
      </c>
      <c r="F21" s="276">
        <f ca="1">F19+F20</f>
        <v>21139.314044933264</v>
      </c>
      <c r="G21" s="11"/>
      <c r="H21" s="169"/>
      <c r="I21" s="170"/>
      <c r="J21" s="170"/>
      <c r="K21" s="170"/>
      <c r="L21" s="170"/>
      <c r="M21" s="68"/>
      <c r="N21" s="170"/>
      <c r="O21" s="68"/>
      <c r="P21" s="176"/>
      <c r="Q21" s="176"/>
      <c r="R21" s="68"/>
      <c r="S21" s="12"/>
      <c r="X21" s="241">
        <v>20</v>
      </c>
      <c r="Y21" s="242">
        <f>IF($F$8&gt;228,K253,0)</f>
        <v>7500</v>
      </c>
      <c r="Z21" s="234">
        <f t="shared" si="1"/>
        <v>0</v>
      </c>
      <c r="AD21" s="241">
        <v>20</v>
      </c>
      <c r="AE21" s="242">
        <f>IF($F$8&gt;228,N253,0)</f>
        <v>0</v>
      </c>
    </row>
    <row r="22" spans="1:31" ht="72" x14ac:dyDescent="0.35">
      <c r="A22" s="185" t="s">
        <v>71</v>
      </c>
      <c r="B22" s="192" t="s">
        <v>72</v>
      </c>
      <c r="C22" s="301" t="s">
        <v>72</v>
      </c>
      <c r="D22" s="186" t="s">
        <v>73</v>
      </c>
      <c r="E22" s="301" t="s">
        <v>74</v>
      </c>
      <c r="F22" s="186" t="s">
        <v>75</v>
      </c>
      <c r="G22" s="301" t="s">
        <v>76</v>
      </c>
      <c r="H22" s="191" t="s">
        <v>77</v>
      </c>
      <c r="I22" s="411" t="s">
        <v>141</v>
      </c>
      <c r="J22" s="412"/>
      <c r="K22" s="412"/>
      <c r="L22" s="413"/>
      <c r="M22" s="301" t="s">
        <v>78</v>
      </c>
      <c r="N22" s="409" t="s">
        <v>152</v>
      </c>
      <c r="O22" s="190" t="s">
        <v>120</v>
      </c>
      <c r="P22" s="301" t="s">
        <v>112</v>
      </c>
      <c r="Q22" s="191" t="s">
        <v>113</v>
      </c>
      <c r="R22" s="409" t="s">
        <v>155</v>
      </c>
      <c r="S22" s="12"/>
      <c r="U22" s="277"/>
      <c r="Y22" s="234">
        <f>SUM(Y2:Y21)</f>
        <v>150000</v>
      </c>
      <c r="Z22" s="234">
        <f>SUM(Z2:Z21)</f>
        <v>0</v>
      </c>
      <c r="AE22" s="234">
        <f>SUM(AE2:AE21)</f>
        <v>0</v>
      </c>
    </row>
    <row r="23" spans="1:31" ht="24.5" x14ac:dyDescent="0.35">
      <c r="A23" s="187"/>
      <c r="B23" s="188"/>
      <c r="C23" s="302"/>
      <c r="D23" s="188"/>
      <c r="E23" s="302"/>
      <c r="F23" s="188"/>
      <c r="G23" s="302"/>
      <c r="H23" s="189"/>
      <c r="I23" s="182" t="s">
        <v>142</v>
      </c>
      <c r="J23" s="182" t="s">
        <v>143</v>
      </c>
      <c r="K23" s="182" t="s">
        <v>144</v>
      </c>
      <c r="L23" s="182" t="s">
        <v>145</v>
      </c>
      <c r="M23" s="302"/>
      <c r="N23" s="410"/>
      <c r="O23" s="187"/>
      <c r="P23" s="302"/>
      <c r="Q23" s="189"/>
      <c r="R23" s="410"/>
      <c r="S23" s="12"/>
      <c r="U23" s="278"/>
    </row>
    <row r="24" spans="1:31" ht="12" customHeight="1" x14ac:dyDescent="0.35">
      <c r="A24" s="16"/>
      <c r="B24" s="279">
        <f ca="1">D3</f>
        <v>44487</v>
      </c>
      <c r="C24" s="279">
        <f t="shared" ref="C24:C27" ca="1" si="2">IF(A24&gt;$D$8,"",B24)</f>
        <v>44487</v>
      </c>
      <c r="D24" s="16"/>
      <c r="E24" s="280">
        <f>IF(Q8="кредит",D7+O8,D7)</f>
        <v>2000000</v>
      </c>
      <c r="F24" s="16"/>
      <c r="G24" s="16"/>
      <c r="H24" s="281">
        <f>-E24+I24+J24+K24+L24+M24+N24+O24</f>
        <v>-1945500</v>
      </c>
      <c r="I24" s="282">
        <f>P7</f>
        <v>10000</v>
      </c>
      <c r="J24" s="282">
        <f>P12</f>
        <v>2000</v>
      </c>
      <c r="K24" s="282">
        <f>O8+O10</f>
        <v>7500</v>
      </c>
      <c r="L24" s="282">
        <f>P13</f>
        <v>25000</v>
      </c>
      <c r="M24" s="280">
        <f>P4</f>
        <v>10000</v>
      </c>
      <c r="N24" s="283">
        <f>N14</f>
        <v>0</v>
      </c>
      <c r="O24" s="280">
        <f>P5</f>
        <v>0</v>
      </c>
      <c r="P24" s="17"/>
      <c r="Q24" s="18"/>
      <c r="R24" s="283">
        <f>H24</f>
        <v>-1945500</v>
      </c>
      <c r="S24" s="167"/>
      <c r="T24" s="284">
        <f ca="1">T25</f>
        <v>365</v>
      </c>
    </row>
    <row r="25" spans="1:31" x14ac:dyDescent="0.35">
      <c r="A25" s="285">
        <v>1</v>
      </c>
      <c r="B25" s="286">
        <f ca="1">EDATE($B$24,A25)</f>
        <v>44518</v>
      </c>
      <c r="C25" s="279">
        <f t="shared" ca="1" si="2"/>
        <v>44518</v>
      </c>
      <c r="D25" s="285">
        <f t="shared" ref="D25:D36" ca="1" si="3">B25-B24</f>
        <v>31</v>
      </c>
      <c r="E25" s="280">
        <f t="shared" ref="E25:E36" ca="1" si="4">E24-F25</f>
        <v>1998611.8562239483</v>
      </c>
      <c r="F25" s="287">
        <f ca="1">'график анн Базова'!F25</f>
        <v>1388.1437760517692</v>
      </c>
      <c r="G25" s="287">
        <f ca="1">E24*D25*$D$9/IF(OR(YEAR(C25)=2020,YEAR(C25)=2024),366,365)</f>
        <v>11890.410958904109</v>
      </c>
      <c r="H25" s="287">
        <f ca="1">F25+G25</f>
        <v>13278.554734955878</v>
      </c>
      <c r="I25" s="287"/>
      <c r="J25" s="287"/>
      <c r="K25" s="287"/>
      <c r="L25" s="287"/>
      <c r="M25" s="285"/>
      <c r="N25" s="288"/>
      <c r="O25" s="285"/>
      <c r="P25" s="289" t="str">
        <f>IF(A24=$D$8,XIRR(H$24:H24,C$24:C24),"")</f>
        <v/>
      </c>
      <c r="Q25" s="285"/>
      <c r="R25" s="283">
        <f ca="1">SUM(H25:Q25)</f>
        <v>13278.554734955878</v>
      </c>
      <c r="S25" s="284">
        <f ca="1">IF(C25="","",YEAR(C25))</f>
        <v>2021</v>
      </c>
      <c r="T25" s="284">
        <f ca="1">IF(OR(S25=2024,S25=2028,S25=2016,S25=2020,S25=2024,S25=2028,S25=2032,S25=2036,S25=2040),366,365)</f>
        <v>365</v>
      </c>
    </row>
    <row r="26" spans="1:31" x14ac:dyDescent="0.35">
      <c r="A26" s="285">
        <f>IF(A25&lt;$D$8,A25+1,"")</f>
        <v>2</v>
      </c>
      <c r="B26" s="286">
        <f t="shared" ref="B26:B89" ca="1" si="5">EDATE($B$24,A26)</f>
        <v>44548</v>
      </c>
      <c r="C26" s="279">
        <f t="shared" ca="1" si="2"/>
        <v>44548</v>
      </c>
      <c r="D26" s="285">
        <f t="shared" ca="1" si="3"/>
        <v>30</v>
      </c>
      <c r="E26" s="280">
        <f t="shared" ca="1" si="4"/>
        <v>1996504.3824240938</v>
      </c>
      <c r="F26" s="287">
        <f ca="1">'график анн Базова'!F26</f>
        <v>2107.4737998545279</v>
      </c>
      <c r="G26" s="287">
        <f t="shared" ref="G26:G80" ca="1" si="6">E25*D26*$D$9/IF(OR(YEAR(C26)=2020,YEAR(C26)=2024),366,365)</f>
        <v>11498.862734439155</v>
      </c>
      <c r="H26" s="280">
        <f ca="1">IF(A25=$D$8,SUM($H$25:H25),IF(A25="","",(G26+F26)))</f>
        <v>13606.336534293683</v>
      </c>
      <c r="I26" s="280"/>
      <c r="J26" s="280"/>
      <c r="K26" s="280"/>
      <c r="L26" s="280"/>
      <c r="M26" s="285"/>
      <c r="N26" s="288"/>
      <c r="O26" s="285"/>
      <c r="P26" s="289" t="str">
        <f>IF(A25=$D$8,XIRR(R$24:R25,C$24:C25),"")</f>
        <v/>
      </c>
      <c r="Q26" s="285"/>
      <c r="R26" s="283">
        <f t="shared" ref="R26:R89" ca="1" si="7">SUM(H26:Q26)</f>
        <v>13606.336534293683</v>
      </c>
      <c r="S26" s="284">
        <f t="shared" ref="S26:S89" ca="1" si="8">IF(C26="","",YEAR(C26))</f>
        <v>2021</v>
      </c>
      <c r="T26" s="284">
        <f t="shared" ref="T26:T89" ca="1" si="9">IF(OR(S26=2024,S26=2028,S26=2016,S26=2020,S26=2024,S26=2028,S26=2032,S26=2036,S26=2040),366,365)</f>
        <v>365</v>
      </c>
    </row>
    <row r="27" spans="1:31" x14ac:dyDescent="0.35">
      <c r="A27" s="285">
        <f t="shared" ref="A27:A90" si="10">IF(A26&lt;$D$8,A26+1,"")</f>
        <v>3</v>
      </c>
      <c r="B27" s="286">
        <f t="shared" ca="1" si="5"/>
        <v>44579</v>
      </c>
      <c r="C27" s="286">
        <f t="shared" ca="1" si="2"/>
        <v>44579</v>
      </c>
      <c r="D27" s="285">
        <f t="shared" ca="1" si="3"/>
        <v>31</v>
      </c>
      <c r="E27" s="280">
        <f t="shared" ca="1" si="4"/>
        <v>1995078.0588424855</v>
      </c>
      <c r="F27" s="287">
        <f ca="1">'график анн Базова'!F27</f>
        <v>1426.323581608227</v>
      </c>
      <c r="G27" s="287">
        <f t="shared" ca="1" si="6"/>
        <v>11869.628794137763</v>
      </c>
      <c r="H27" s="280">
        <f ca="1">IF(A26=$D$8,SUM($H$25:H26),IF(A26="","",(G27+F27)))</f>
        <v>13295.95237574599</v>
      </c>
      <c r="I27" s="280"/>
      <c r="J27" s="280"/>
      <c r="K27" s="280"/>
      <c r="L27" s="280"/>
      <c r="M27" s="285"/>
      <c r="N27" s="288"/>
      <c r="O27" s="285"/>
      <c r="P27" s="289" t="str">
        <f>IF(A26=$D$8,XIRR(R$24:R26,C$24:C26),"")</f>
        <v/>
      </c>
      <c r="Q27" s="280" t="str">
        <f>IF(A26=$D$8,G27+M27+F27+I27+J27+K27+L27+N27+O27,"")</f>
        <v/>
      </c>
      <c r="R27" s="283">
        <f t="shared" ca="1" si="7"/>
        <v>13295.95237574599</v>
      </c>
      <c r="S27" s="284">
        <f t="shared" ca="1" si="8"/>
        <v>2022</v>
      </c>
      <c r="T27" s="284">
        <f t="shared" ca="1" si="9"/>
        <v>365</v>
      </c>
    </row>
    <row r="28" spans="1:31" x14ac:dyDescent="0.35">
      <c r="A28" s="285">
        <f t="shared" si="10"/>
        <v>4</v>
      </c>
      <c r="B28" s="286">
        <f t="shared" ca="1" si="5"/>
        <v>44610</v>
      </c>
      <c r="C28" s="286">
        <f ca="1">IF(B28&gt;$E$20,"",IF(B28=$E$20,B28-1,B28))</f>
        <v>44610</v>
      </c>
      <c r="D28" s="285">
        <f t="shared" ca="1" si="3"/>
        <v>31</v>
      </c>
      <c r="E28" s="280">
        <f t="shared" ca="1" si="4"/>
        <v>1993636.1566811774</v>
      </c>
      <c r="F28" s="287">
        <f ca="1">'график анн Базова'!F28</f>
        <v>1441.9021613080622</v>
      </c>
      <c r="G28" s="287">
        <f t="shared" ca="1" si="6"/>
        <v>11861.149007364913</v>
      </c>
      <c r="H28" s="280">
        <f ca="1">IF(A27=$D$8,SUM($H$25:H27),IF(A27="","",(G28+F28)))</f>
        <v>13303.051168672975</v>
      </c>
      <c r="I28" s="280"/>
      <c r="J28" s="280"/>
      <c r="K28" s="280"/>
      <c r="L28" s="280"/>
      <c r="M28" s="285"/>
      <c r="N28" s="283"/>
      <c r="O28" s="285"/>
      <c r="P28" s="289" t="str">
        <f>IF(A27=$D$8,XIRR(R$24:R27,C$24:C27),"")</f>
        <v/>
      </c>
      <c r="Q28" s="280" t="str">
        <f t="shared" ref="Q28:Q91" si="11">IF(A27=$D$8,G28+M28+F28+I28+J28+K28+L28+N28+O28,"")</f>
        <v/>
      </c>
      <c r="R28" s="283">
        <f t="shared" ca="1" si="7"/>
        <v>13303.051168672975</v>
      </c>
      <c r="S28" s="284">
        <f t="shared" ca="1" si="8"/>
        <v>2022</v>
      </c>
      <c r="T28" s="284">
        <f t="shared" ca="1" si="9"/>
        <v>365</v>
      </c>
    </row>
    <row r="29" spans="1:31" x14ac:dyDescent="0.35">
      <c r="A29" s="285">
        <f t="shared" si="10"/>
        <v>5</v>
      </c>
      <c r="B29" s="286">
        <f t="shared" ca="1" si="5"/>
        <v>44638</v>
      </c>
      <c r="C29" s="286">
        <f t="shared" ref="C29:C92" ca="1" si="12">IF(B29&gt;$E$20,"",IF(B29=$E$20,B29-1,B29))</f>
        <v>44638</v>
      </c>
      <c r="D29" s="285">
        <f t="shared" ca="1" si="3"/>
        <v>28</v>
      </c>
      <c r="E29" s="280">
        <f t="shared" ca="1" si="4"/>
        <v>1990071.2596804067</v>
      </c>
      <c r="F29" s="287">
        <f ca="1">'график анн Базова'!F29</f>
        <v>3564.8970007707176</v>
      </c>
      <c r="G29" s="287">
        <f t="shared" ca="1" si="6"/>
        <v>10705.553060534543</v>
      </c>
      <c r="H29" s="280">
        <f ca="1">IF(A28=$D$8,SUM($H$25:H28),IF(A28="","",(G29+F29)))</f>
        <v>14270.450061305261</v>
      </c>
      <c r="I29" s="280" t="str">
        <f>IF(A29="",$I$24,"")</f>
        <v/>
      </c>
      <c r="J29" s="280" t="str">
        <f>IF(A29="",$J$24,"")</f>
        <v/>
      </c>
      <c r="K29" s="280"/>
      <c r="L29" s="280" t="str">
        <f>IF(A29="",$L$29,"")</f>
        <v/>
      </c>
      <c r="M29" s="280" t="str">
        <f>IF(A29="",$M$24,"")</f>
        <v/>
      </c>
      <c r="N29" s="283" t="str">
        <f>IF(A28=$D$8,$N$24,"")</f>
        <v/>
      </c>
      <c r="O29" s="280"/>
      <c r="P29" s="289" t="str">
        <f>IF(A28=$D$8,XIRR(R$24:R28,C$24:C28),"")</f>
        <v/>
      </c>
      <c r="Q29" s="280" t="str">
        <f t="shared" si="11"/>
        <v/>
      </c>
      <c r="R29" s="283">
        <f t="shared" ca="1" si="7"/>
        <v>14270.450061305261</v>
      </c>
      <c r="S29" s="284">
        <f t="shared" ca="1" si="8"/>
        <v>2022</v>
      </c>
      <c r="T29" s="284">
        <f t="shared" ca="1" si="9"/>
        <v>365</v>
      </c>
    </row>
    <row r="30" spans="1:31" x14ac:dyDescent="0.35">
      <c r="A30" s="285">
        <f t="shared" si="10"/>
        <v>6</v>
      </c>
      <c r="B30" s="286">
        <f t="shared" ca="1" si="5"/>
        <v>44669</v>
      </c>
      <c r="C30" s="286">
        <f t="shared" ca="1" si="12"/>
        <v>44669</v>
      </c>
      <c r="D30" s="285">
        <f t="shared" ca="1" si="3"/>
        <v>31</v>
      </c>
      <c r="E30" s="280">
        <f t="shared" ca="1" si="4"/>
        <v>1988574.6722984423</v>
      </c>
      <c r="F30" s="287">
        <f ca="1">'график анн Базова'!F30</f>
        <v>1496.5873819643457</v>
      </c>
      <c r="G30" s="287">
        <f t="shared" ca="1" si="6"/>
        <v>11831.38255755201</v>
      </c>
      <c r="H30" s="280">
        <f ca="1">IF(A29=$D$8,SUM($H$25:H29),IF(A29="","",(G30+F30)))</f>
        <v>13327.969939516355</v>
      </c>
      <c r="I30" s="280" t="str">
        <f t="shared" ref="I30:I37" si="13">IF(A30="",$I$24,"")</f>
        <v/>
      </c>
      <c r="J30" s="280" t="str">
        <f t="shared" ref="J30:J37" si="14">IF(A30="",$J$24,"")</f>
        <v/>
      </c>
      <c r="K30" s="280"/>
      <c r="L30" s="280" t="str">
        <f>IF(A30="",$L$24,"")</f>
        <v/>
      </c>
      <c r="M30" s="280" t="str">
        <f t="shared" ref="M30:M37" si="15">IF(A30="",$M$24,"")</f>
        <v/>
      </c>
      <c r="N30" s="283" t="str">
        <f t="shared" ref="N30:N93" si="16">IF(A29=$D$8,$N$24,"")</f>
        <v/>
      </c>
      <c r="O30" s="280"/>
      <c r="P30" s="289" t="str">
        <f>IF(A29=$D$8,XIRR(R$24:R29,C$24:C29),"")</f>
        <v/>
      </c>
      <c r="Q30" s="280" t="str">
        <f t="shared" si="11"/>
        <v/>
      </c>
      <c r="R30" s="283">
        <f t="shared" ca="1" si="7"/>
        <v>13327.969939516355</v>
      </c>
      <c r="S30" s="284">
        <f t="shared" ca="1" si="8"/>
        <v>2022</v>
      </c>
      <c r="T30" s="284">
        <f t="shared" ca="1" si="9"/>
        <v>365</v>
      </c>
    </row>
    <row r="31" spans="1:31" x14ac:dyDescent="0.35">
      <c r="A31" s="285">
        <f t="shared" si="10"/>
        <v>7</v>
      </c>
      <c r="B31" s="286">
        <f t="shared" ca="1" si="5"/>
        <v>44699</v>
      </c>
      <c r="C31" s="286">
        <f t="shared" ca="1" si="12"/>
        <v>44699</v>
      </c>
      <c r="D31" s="285">
        <f t="shared" ca="1" si="3"/>
        <v>30</v>
      </c>
      <c r="E31" s="280">
        <f t="shared" ca="1" si="4"/>
        <v>1986361.1068394519</v>
      </c>
      <c r="F31" s="287">
        <f ca="1">'график анн Базова'!F31</f>
        <v>2213.5654589904261</v>
      </c>
      <c r="G31" s="287">
        <f t="shared" ca="1" si="6"/>
        <v>11441.114552949943</v>
      </c>
      <c r="H31" s="280">
        <f ca="1">IF(A30=$D$8,SUM($H$25:H30),IF(A30="","",(G31+F31)))</f>
        <v>13654.680011940369</v>
      </c>
      <c r="I31" s="280" t="str">
        <f t="shared" si="13"/>
        <v/>
      </c>
      <c r="J31" s="280" t="str">
        <f t="shared" si="14"/>
        <v/>
      </c>
      <c r="K31" s="280"/>
      <c r="L31" s="280" t="str">
        <f t="shared" ref="L31:L37" si="17">IF(A31="",$L$24,"")</f>
        <v/>
      </c>
      <c r="M31" s="280" t="str">
        <f t="shared" si="15"/>
        <v/>
      </c>
      <c r="N31" s="283" t="str">
        <f t="shared" si="16"/>
        <v/>
      </c>
      <c r="O31" s="280"/>
      <c r="P31" s="289" t="str">
        <f>IF(A30=$D$8,XIRR(R$24:R30,C$24:C30),"")</f>
        <v/>
      </c>
      <c r="Q31" s="280" t="str">
        <f t="shared" si="11"/>
        <v/>
      </c>
      <c r="R31" s="283">
        <f t="shared" ca="1" si="7"/>
        <v>13654.680011940369</v>
      </c>
      <c r="S31" s="284">
        <f t="shared" ca="1" si="8"/>
        <v>2022</v>
      </c>
      <c r="T31" s="284">
        <f t="shared" ca="1" si="9"/>
        <v>365</v>
      </c>
    </row>
    <row r="32" spans="1:31" x14ac:dyDescent="0.35">
      <c r="A32" s="285">
        <f t="shared" si="10"/>
        <v>8</v>
      </c>
      <c r="B32" s="286">
        <f t="shared" ca="1" si="5"/>
        <v>44730</v>
      </c>
      <c r="C32" s="286">
        <f t="shared" ca="1" si="12"/>
        <v>44730</v>
      </c>
      <c r="D32" s="285">
        <f t="shared" ca="1" si="3"/>
        <v>31</v>
      </c>
      <c r="E32" s="280">
        <f t="shared" ca="1" si="4"/>
        <v>1984823.9964566226</v>
      </c>
      <c r="F32" s="287">
        <f ca="1">'график анн Базова'!F32</f>
        <v>1537.1103828294144</v>
      </c>
      <c r="G32" s="287">
        <f t="shared" ca="1" si="6"/>
        <v>11809.324936552361</v>
      </c>
      <c r="H32" s="280">
        <f ca="1">IF(A31=$D$8,SUM($H$25:H31),IF(A31="","",(G32+F32)))</f>
        <v>13346.435319381775</v>
      </c>
      <c r="I32" s="280" t="str">
        <f t="shared" si="13"/>
        <v/>
      </c>
      <c r="J32" s="280" t="str">
        <f t="shared" si="14"/>
        <v/>
      </c>
      <c r="K32" s="280"/>
      <c r="L32" s="280" t="str">
        <f t="shared" si="17"/>
        <v/>
      </c>
      <c r="M32" s="280" t="str">
        <f t="shared" si="15"/>
        <v/>
      </c>
      <c r="N32" s="283" t="str">
        <f t="shared" si="16"/>
        <v/>
      </c>
      <c r="O32" s="280"/>
      <c r="P32" s="289" t="str">
        <f>IF(A31=$D$8,XIRR(R$24:R31,C$24:C31),"")</f>
        <v/>
      </c>
      <c r="Q32" s="280" t="str">
        <f t="shared" si="11"/>
        <v/>
      </c>
      <c r="R32" s="283">
        <f t="shared" ca="1" si="7"/>
        <v>13346.435319381775</v>
      </c>
      <c r="S32" s="284">
        <f t="shared" ca="1" si="8"/>
        <v>2022</v>
      </c>
      <c r="T32" s="284">
        <f t="shared" ca="1" si="9"/>
        <v>365</v>
      </c>
    </row>
    <row r="33" spans="1:20" x14ac:dyDescent="0.35">
      <c r="A33" s="285">
        <f t="shared" si="10"/>
        <v>9</v>
      </c>
      <c r="B33" s="286">
        <f t="shared" ca="1" si="5"/>
        <v>44760</v>
      </c>
      <c r="C33" s="286">
        <f t="shared" ca="1" si="12"/>
        <v>44760</v>
      </c>
      <c r="D33" s="285">
        <f t="shared" ca="1" si="3"/>
        <v>30</v>
      </c>
      <c r="E33" s="280">
        <f t="shared" ca="1" si="4"/>
        <v>1982570.7868677753</v>
      </c>
      <c r="F33" s="287">
        <f ca="1">'график анн Базова'!F33</f>
        <v>2253.2095888472504</v>
      </c>
      <c r="G33" s="287">
        <f t="shared" ca="1" si="6"/>
        <v>11419.535322079199</v>
      </c>
      <c r="H33" s="280">
        <f ca="1">IF(A32=$D$8,SUM($H$25:H32),IF(A32="","",(G33+F33)))</f>
        <v>13672.744910926449</v>
      </c>
      <c r="I33" s="280" t="str">
        <f t="shared" si="13"/>
        <v/>
      </c>
      <c r="J33" s="280" t="str">
        <f t="shared" si="14"/>
        <v/>
      </c>
      <c r="K33" s="280"/>
      <c r="L33" s="280" t="str">
        <f t="shared" si="17"/>
        <v/>
      </c>
      <c r="M33" s="280" t="str">
        <f t="shared" si="15"/>
        <v/>
      </c>
      <c r="N33" s="283" t="str">
        <f t="shared" si="16"/>
        <v/>
      </c>
      <c r="O33" s="280"/>
      <c r="P33" s="289" t="str">
        <f>IF(A32=$D$8,XIRR(R$24:R32,C$24:C32),"")</f>
        <v/>
      </c>
      <c r="Q33" s="280" t="str">
        <f t="shared" si="11"/>
        <v/>
      </c>
      <c r="R33" s="283">
        <f t="shared" ca="1" si="7"/>
        <v>13672.744910926449</v>
      </c>
      <c r="S33" s="284">
        <f t="shared" ca="1" si="8"/>
        <v>2022</v>
      </c>
      <c r="T33" s="284">
        <f t="shared" ca="1" si="9"/>
        <v>365</v>
      </c>
    </row>
    <row r="34" spans="1:20" x14ac:dyDescent="0.35">
      <c r="A34" s="285">
        <f t="shared" si="10"/>
        <v>10</v>
      </c>
      <c r="B34" s="286">
        <f t="shared" ca="1" si="5"/>
        <v>44791</v>
      </c>
      <c r="C34" s="286">
        <f t="shared" ca="1" si="12"/>
        <v>44791</v>
      </c>
      <c r="D34" s="285">
        <f t="shared" ca="1" si="3"/>
        <v>31</v>
      </c>
      <c r="E34" s="280">
        <f t="shared" ca="1" si="4"/>
        <v>1980992.2778833045</v>
      </c>
      <c r="F34" s="287">
        <f ca="1">'график анн Базова'!F34</f>
        <v>1578.5089844707472</v>
      </c>
      <c r="G34" s="287">
        <f t="shared" ca="1" si="6"/>
        <v>11786.790705487869</v>
      </c>
      <c r="H34" s="280">
        <f ca="1">IF(A33=$D$8,SUM($H$25:H33),IF(A33="","",(G34+F34)))</f>
        <v>13365.299689958616</v>
      </c>
      <c r="I34" s="280" t="str">
        <f t="shared" si="13"/>
        <v/>
      </c>
      <c r="J34" s="280" t="str">
        <f t="shared" si="14"/>
        <v/>
      </c>
      <c r="K34" s="280"/>
      <c r="L34" s="280" t="str">
        <f t="shared" si="17"/>
        <v/>
      </c>
      <c r="M34" s="280" t="str">
        <f t="shared" si="15"/>
        <v/>
      </c>
      <c r="N34" s="283" t="str">
        <f t="shared" si="16"/>
        <v/>
      </c>
      <c r="O34" s="280"/>
      <c r="P34" s="289" t="str">
        <f>IF(A33=$D$8,XIRR(R$24:R33,C$24:C33),"")</f>
        <v/>
      </c>
      <c r="Q34" s="280" t="str">
        <f t="shared" si="11"/>
        <v/>
      </c>
      <c r="R34" s="283">
        <f t="shared" ca="1" si="7"/>
        <v>13365.299689958616</v>
      </c>
      <c r="S34" s="284">
        <f t="shared" ca="1" si="8"/>
        <v>2022</v>
      </c>
      <c r="T34" s="284">
        <f t="shared" ca="1" si="9"/>
        <v>365</v>
      </c>
    </row>
    <row r="35" spans="1:20" x14ac:dyDescent="0.35">
      <c r="A35" s="285">
        <f t="shared" si="10"/>
        <v>11</v>
      </c>
      <c r="B35" s="286">
        <f t="shared" ca="1" si="5"/>
        <v>44822</v>
      </c>
      <c r="C35" s="286">
        <f t="shared" ca="1" si="12"/>
        <v>44822</v>
      </c>
      <c r="D35" s="285">
        <f t="shared" ca="1" si="3"/>
        <v>31</v>
      </c>
      <c r="E35" s="280">
        <f t="shared" ca="1" si="4"/>
        <v>1979396.5281209776</v>
      </c>
      <c r="F35" s="287">
        <f ca="1">'график анн Базова'!F35</f>
        <v>1595.7497623268864</v>
      </c>
      <c r="G35" s="287">
        <f t="shared" ca="1" si="6"/>
        <v>11777.406145224031</v>
      </c>
      <c r="H35" s="280">
        <f ca="1">IF(A34=$D$8,SUM($H$25:H34),IF(A34="","",(G35+F35)))</f>
        <v>13373.155907550918</v>
      </c>
      <c r="I35" s="280" t="str">
        <f t="shared" si="13"/>
        <v/>
      </c>
      <c r="J35" s="280" t="str">
        <f t="shared" si="14"/>
        <v/>
      </c>
      <c r="K35" s="280"/>
      <c r="L35" s="280" t="str">
        <f t="shared" si="17"/>
        <v/>
      </c>
      <c r="M35" s="280" t="str">
        <f t="shared" si="15"/>
        <v/>
      </c>
      <c r="N35" s="283" t="str">
        <f t="shared" si="16"/>
        <v/>
      </c>
      <c r="O35" s="280"/>
      <c r="P35" s="289" t="str">
        <f>IF(A34=$D$8,XIRR(R$24:R34,C$24:C34),"")</f>
        <v/>
      </c>
      <c r="Q35" s="280" t="str">
        <f t="shared" si="11"/>
        <v/>
      </c>
      <c r="R35" s="283">
        <f t="shared" ca="1" si="7"/>
        <v>13373.155907550918</v>
      </c>
      <c r="S35" s="284">
        <f t="shared" ca="1" si="8"/>
        <v>2022</v>
      </c>
      <c r="T35" s="284">
        <f t="shared" ca="1" si="9"/>
        <v>365</v>
      </c>
    </row>
    <row r="36" spans="1:20" x14ac:dyDescent="0.35">
      <c r="A36" s="285">
        <f t="shared" si="10"/>
        <v>12</v>
      </c>
      <c r="B36" s="286">
        <f t="shared" ca="1" si="5"/>
        <v>44852</v>
      </c>
      <c r="C36" s="286">
        <f t="shared" ca="1" si="12"/>
        <v>44852</v>
      </c>
      <c r="D36" s="285">
        <f t="shared" ca="1" si="3"/>
        <v>30</v>
      </c>
      <c r="E36" s="280">
        <f t="shared" ca="1" si="4"/>
        <v>1977085.9509353114</v>
      </c>
      <c r="F36" s="287">
        <f ca="1">'график анн Базова'!F36</f>
        <v>2310.5771856662031</v>
      </c>
      <c r="G36" s="287">
        <f t="shared" ca="1" si="6"/>
        <v>11388.308791928914</v>
      </c>
      <c r="H36" s="280">
        <f ca="1">IF(A35=$D$8,SUM($H$25:H35),IF(A35="","",(G36+F36)))</f>
        <v>13698.885977595117</v>
      </c>
      <c r="I36" s="280" t="str">
        <f t="shared" si="13"/>
        <v/>
      </c>
      <c r="J36" s="280" t="str">
        <f t="shared" si="14"/>
        <v/>
      </c>
      <c r="K36" s="280"/>
      <c r="L36" s="280" t="str">
        <f t="shared" si="17"/>
        <v/>
      </c>
      <c r="M36" s="280" t="str">
        <f t="shared" si="15"/>
        <v/>
      </c>
      <c r="N36" s="283" t="str">
        <f t="shared" si="16"/>
        <v/>
      </c>
      <c r="O36" s="280"/>
      <c r="P36" s="289" t="str">
        <f>IF(A35=$D$8,XIRR(R$24:R35,C$24:C35),"")</f>
        <v/>
      </c>
      <c r="Q36" s="280" t="str">
        <f t="shared" si="11"/>
        <v/>
      </c>
      <c r="R36" s="283">
        <f t="shared" ca="1" si="7"/>
        <v>13698.885977595117</v>
      </c>
      <c r="S36" s="284">
        <f t="shared" ca="1" si="8"/>
        <v>2022</v>
      </c>
      <c r="T36" s="284">
        <f t="shared" ca="1" si="9"/>
        <v>365</v>
      </c>
    </row>
    <row r="37" spans="1:20" x14ac:dyDescent="0.35">
      <c r="A37" s="285">
        <f t="shared" si="10"/>
        <v>13</v>
      </c>
      <c r="B37" s="286">
        <f t="shared" ca="1" si="5"/>
        <v>44883</v>
      </c>
      <c r="C37" s="286">
        <f t="shared" ca="1" si="12"/>
        <v>44883</v>
      </c>
      <c r="D37" s="285">
        <f ca="1">IF(A37&gt;$D$8,"",C37-C36)</f>
        <v>31</v>
      </c>
      <c r="E37" s="280">
        <f t="shared" ref="E37:E80" ca="1" si="18">IF(A37&gt;$D$8,"",E36-F37)</f>
        <v>1975447.5355208998</v>
      </c>
      <c r="F37" s="287">
        <f ca="1">'график анн Базова'!F37</f>
        <v>1638.4154144114618</v>
      </c>
      <c r="G37" s="287">
        <f t="shared" ca="1" si="6"/>
        <v>11754.182228848289</v>
      </c>
      <c r="H37" s="280">
        <f ca="1">IF(A36=$D$8,SUM($H$25:H36),IF(A36="","",(G37+F37)))</f>
        <v>13392.597643259751</v>
      </c>
      <c r="I37" s="280" t="str">
        <f t="shared" si="13"/>
        <v/>
      </c>
      <c r="J37" s="280" t="str">
        <f t="shared" si="14"/>
        <v/>
      </c>
      <c r="K37" s="280">
        <f>IF(F8&gt;12,(O8+O10),IF($A$36=$F$8,K24,""))</f>
        <v>7500</v>
      </c>
      <c r="L37" s="280" t="str">
        <f t="shared" si="17"/>
        <v/>
      </c>
      <c r="M37" s="280" t="str">
        <f t="shared" si="15"/>
        <v/>
      </c>
      <c r="N37" s="280">
        <f>IF($F$8&gt;12,($N$14),IF($A$36=$F$8,N24,""))</f>
        <v>0</v>
      </c>
      <c r="O37" s="280"/>
      <c r="P37" s="289" t="str">
        <f>IF(A36=$D$8,XIRR(R$24:R36,C$24:C36),"")</f>
        <v/>
      </c>
      <c r="Q37" s="280" t="str">
        <f t="shared" si="11"/>
        <v/>
      </c>
      <c r="R37" s="283">
        <f t="shared" ca="1" si="7"/>
        <v>20892.597643259753</v>
      </c>
      <c r="S37" s="284">
        <f t="shared" ca="1" si="8"/>
        <v>2022</v>
      </c>
      <c r="T37" s="284">
        <f t="shared" ca="1" si="9"/>
        <v>365</v>
      </c>
    </row>
    <row r="38" spans="1:20" x14ac:dyDescent="0.35">
      <c r="A38" s="285">
        <f t="shared" si="10"/>
        <v>14</v>
      </c>
      <c r="B38" s="286">
        <f t="shared" ca="1" si="5"/>
        <v>44913</v>
      </c>
      <c r="C38" s="286">
        <f t="shared" ca="1" si="12"/>
        <v>44913</v>
      </c>
      <c r="D38" s="285">
        <f t="shared" ref="D38:D101" ca="1" si="19">IF(A38&gt;$D$8,"",C38-C37)</f>
        <v>30</v>
      </c>
      <c r="E38" s="280">
        <f t="shared" ca="1" si="18"/>
        <v>1973095.2180244087</v>
      </c>
      <c r="F38" s="287">
        <f ca="1">'график анн Базова'!F38</f>
        <v>2352.3174964911341</v>
      </c>
      <c r="G38" s="287">
        <f t="shared" ca="1" si="6"/>
        <v>11365.588560531205</v>
      </c>
      <c r="H38" s="280">
        <f ca="1">IF(A37=$D$8,SUM($H$25:H37),IF(A37="","",(G38+F38)))</f>
        <v>13717.906057022339</v>
      </c>
      <c r="I38" s="280" t="str">
        <f t="shared" ref="I38:I101" si="20">IF(A37=$F$8,$I$24,"")</f>
        <v/>
      </c>
      <c r="J38" s="280" t="str">
        <f t="shared" ref="J38:J101" si="21">IF(A37=$F$8,$J$24,"")</f>
        <v/>
      </c>
      <c r="K38" s="280"/>
      <c r="L38" s="280" t="str">
        <f t="shared" ref="L38:L101" si="22">IF(A37=$F$8,$L$24,"")</f>
        <v/>
      </c>
      <c r="M38" s="280" t="str">
        <f t="shared" ref="M38:M101" si="23">IF(A37=$F$8,$M$24,"")</f>
        <v/>
      </c>
      <c r="N38" s="283" t="str">
        <f t="shared" si="16"/>
        <v/>
      </c>
      <c r="O38" s="280"/>
      <c r="P38" s="289" t="str">
        <f>IF(A37=$D$8,XIRR(R$24:R37,C$24:C37),"")</f>
        <v/>
      </c>
      <c r="Q38" s="280" t="str">
        <f t="shared" si="11"/>
        <v/>
      </c>
      <c r="R38" s="283">
        <f t="shared" ca="1" si="7"/>
        <v>13717.906057022339</v>
      </c>
      <c r="S38" s="284">
        <f t="shared" ca="1" si="8"/>
        <v>2022</v>
      </c>
      <c r="T38" s="284">
        <f t="shared" ca="1" si="9"/>
        <v>365</v>
      </c>
    </row>
    <row r="39" spans="1:20" x14ac:dyDescent="0.35">
      <c r="A39" s="285">
        <f t="shared" si="10"/>
        <v>15</v>
      </c>
      <c r="B39" s="286">
        <f t="shared" ca="1" si="5"/>
        <v>44944</v>
      </c>
      <c r="C39" s="286">
        <f t="shared" ca="1" si="12"/>
        <v>44944</v>
      </c>
      <c r="D39" s="285">
        <f t="shared" ca="1" si="19"/>
        <v>31</v>
      </c>
      <c r="E39" s="280">
        <f t="shared" ca="1" si="18"/>
        <v>1971413.2150597982</v>
      </c>
      <c r="F39" s="287">
        <f ca="1">'график анн Базова'!F39</f>
        <v>1682.0029646103794</v>
      </c>
      <c r="G39" s="287">
        <f t="shared" ca="1" si="6"/>
        <v>11730.456501679362</v>
      </c>
      <c r="H39" s="280">
        <f ca="1">IF(A38=$D$8,SUM($H$25:H38),IF(A38="","",(G39+F39)))</f>
        <v>13412.459466289742</v>
      </c>
      <c r="I39" s="280" t="str">
        <f t="shared" si="20"/>
        <v/>
      </c>
      <c r="J39" s="280" t="str">
        <f t="shared" si="21"/>
        <v/>
      </c>
      <c r="K39" s="280"/>
      <c r="L39" s="280" t="str">
        <f t="shared" si="22"/>
        <v/>
      </c>
      <c r="M39" s="280" t="str">
        <f t="shared" si="23"/>
        <v/>
      </c>
      <c r="N39" s="283" t="str">
        <f t="shared" si="16"/>
        <v/>
      </c>
      <c r="O39" s="280"/>
      <c r="P39" s="289" t="str">
        <f>IF(A38=$D$8,XIRR(R$24:R38,C$24:C38),"")</f>
        <v/>
      </c>
      <c r="Q39" s="280" t="str">
        <f t="shared" si="11"/>
        <v/>
      </c>
      <c r="R39" s="283">
        <f t="shared" ca="1" si="7"/>
        <v>13412.459466289742</v>
      </c>
      <c r="S39" s="284">
        <f t="shared" ca="1" si="8"/>
        <v>2023</v>
      </c>
      <c r="T39" s="284">
        <f t="shared" ca="1" si="9"/>
        <v>365</v>
      </c>
    </row>
    <row r="40" spans="1:20" x14ac:dyDescent="0.35">
      <c r="A40" s="285">
        <f t="shared" si="10"/>
        <v>16</v>
      </c>
      <c r="B40" s="286">
        <f t="shared" ca="1" si="5"/>
        <v>44975</v>
      </c>
      <c r="C40" s="286">
        <f t="shared" ca="1" si="12"/>
        <v>44975</v>
      </c>
      <c r="D40" s="285">
        <f t="shared" ca="1" si="19"/>
        <v>31</v>
      </c>
      <c r="E40" s="280">
        <f t="shared" ca="1" si="18"/>
        <v>1969712.8409362324</v>
      </c>
      <c r="F40" s="287">
        <f ca="1">'график анн Базова'!F40</f>
        <v>1700.3741235657653</v>
      </c>
      <c r="G40" s="287">
        <f t="shared" ca="1" si="6"/>
        <v>11720.456648437705</v>
      </c>
      <c r="H40" s="280">
        <f ca="1">IF(A39=$D$8,SUM($H$25:H39),IF(A39="","",(G40+F40)))</f>
        <v>13420.83077200347</v>
      </c>
      <c r="I40" s="280" t="str">
        <f t="shared" si="20"/>
        <v/>
      </c>
      <c r="J40" s="280" t="str">
        <f t="shared" si="21"/>
        <v/>
      </c>
      <c r="K40" s="280"/>
      <c r="L40" s="280" t="str">
        <f t="shared" si="22"/>
        <v/>
      </c>
      <c r="M40" s="280" t="str">
        <f t="shared" si="23"/>
        <v/>
      </c>
      <c r="N40" s="283" t="str">
        <f t="shared" si="16"/>
        <v/>
      </c>
      <c r="O40" s="280"/>
      <c r="P40" s="289" t="str">
        <f>IF(A39=$D$8,XIRR(R$24:R39,C$24:C39),"")</f>
        <v/>
      </c>
      <c r="Q40" s="280" t="str">
        <f t="shared" si="11"/>
        <v/>
      </c>
      <c r="R40" s="283">
        <f t="shared" ca="1" si="7"/>
        <v>13420.83077200347</v>
      </c>
      <c r="S40" s="284">
        <f t="shared" ca="1" si="8"/>
        <v>2023</v>
      </c>
      <c r="T40" s="284">
        <f t="shared" ca="1" si="9"/>
        <v>365</v>
      </c>
    </row>
    <row r="41" spans="1:20" x14ac:dyDescent="0.35">
      <c r="A41" s="285">
        <f t="shared" si="10"/>
        <v>17</v>
      </c>
      <c r="B41" s="286">
        <f t="shared" ca="1" si="5"/>
        <v>45003</v>
      </c>
      <c r="C41" s="286">
        <f t="shared" ca="1" si="12"/>
        <v>45003</v>
      </c>
      <c r="D41" s="285">
        <f t="shared" ca="1" si="19"/>
        <v>28</v>
      </c>
      <c r="E41" s="280">
        <f t="shared" ca="1" si="18"/>
        <v>1965911.935509888</v>
      </c>
      <c r="F41" s="287">
        <f ca="1">'график анн Базова'!F41</f>
        <v>3800.9054263444123</v>
      </c>
      <c r="G41" s="287">
        <f t="shared" ca="1" si="6"/>
        <v>10577.088132150728</v>
      </c>
      <c r="H41" s="280">
        <f ca="1">IF(A40=$D$8,SUM($H$25:H40),IF(A40="","",(G41+F41)))</f>
        <v>14377.99355849514</v>
      </c>
      <c r="I41" s="280" t="str">
        <f t="shared" si="20"/>
        <v/>
      </c>
      <c r="J41" s="280" t="str">
        <f t="shared" si="21"/>
        <v/>
      </c>
      <c r="K41" s="280"/>
      <c r="L41" s="280" t="str">
        <f t="shared" si="22"/>
        <v/>
      </c>
      <c r="M41" s="280" t="str">
        <f t="shared" si="23"/>
        <v/>
      </c>
      <c r="N41" s="283" t="str">
        <f t="shared" si="16"/>
        <v/>
      </c>
      <c r="O41" s="280"/>
      <c r="P41" s="289" t="str">
        <f>IF(A40=$D$8,XIRR(R$24:R40,C$24:C40),"")</f>
        <v/>
      </c>
      <c r="Q41" s="280" t="str">
        <f t="shared" si="11"/>
        <v/>
      </c>
      <c r="R41" s="283">
        <f t="shared" ca="1" si="7"/>
        <v>14377.99355849514</v>
      </c>
      <c r="S41" s="284">
        <f t="shared" ca="1" si="8"/>
        <v>2023</v>
      </c>
      <c r="T41" s="284">
        <f t="shared" ca="1" si="9"/>
        <v>365</v>
      </c>
    </row>
    <row r="42" spans="1:20" x14ac:dyDescent="0.35">
      <c r="A42" s="285">
        <f t="shared" si="10"/>
        <v>18</v>
      </c>
      <c r="B42" s="286">
        <f t="shared" ca="1" si="5"/>
        <v>45034</v>
      </c>
      <c r="C42" s="286">
        <f t="shared" ca="1" si="12"/>
        <v>45034</v>
      </c>
      <c r="D42" s="285">
        <f t="shared" ca="1" si="19"/>
        <v>31</v>
      </c>
      <c r="E42" s="280">
        <f t="shared" ca="1" si="18"/>
        <v>1964151.4753560382</v>
      </c>
      <c r="F42" s="287">
        <f ca="1">'график анн Базова'!F42</f>
        <v>1760.4601538497991</v>
      </c>
      <c r="G42" s="287">
        <f t="shared" ca="1" si="6"/>
        <v>11687.75041111358</v>
      </c>
      <c r="H42" s="280">
        <f ca="1">IF(A41=$D$8,SUM($H$25:H41),IF(A41="","",(G42+F42)))</f>
        <v>13448.21056496338</v>
      </c>
      <c r="I42" s="280" t="str">
        <f t="shared" si="20"/>
        <v/>
      </c>
      <c r="J42" s="280" t="str">
        <f t="shared" si="21"/>
        <v/>
      </c>
      <c r="K42" s="280"/>
      <c r="L42" s="280" t="str">
        <f t="shared" si="22"/>
        <v/>
      </c>
      <c r="M42" s="280" t="str">
        <f t="shared" si="23"/>
        <v/>
      </c>
      <c r="N42" s="283" t="str">
        <f t="shared" si="16"/>
        <v/>
      </c>
      <c r="O42" s="280"/>
      <c r="P42" s="289" t="str">
        <f>IF(A41=$D$8,XIRR(R$24:R41,C$24:C41),"")</f>
        <v/>
      </c>
      <c r="Q42" s="280" t="str">
        <f t="shared" si="11"/>
        <v/>
      </c>
      <c r="R42" s="283">
        <f t="shared" ca="1" si="7"/>
        <v>13448.21056496338</v>
      </c>
      <c r="S42" s="284">
        <f t="shared" ca="1" si="8"/>
        <v>2023</v>
      </c>
      <c r="T42" s="284">
        <f t="shared" ca="1" si="9"/>
        <v>365</v>
      </c>
    </row>
    <row r="43" spans="1:20" x14ac:dyDescent="0.35">
      <c r="A43" s="285">
        <f t="shared" si="10"/>
        <v>19</v>
      </c>
      <c r="B43" s="286">
        <f t="shared" ca="1" si="5"/>
        <v>45064</v>
      </c>
      <c r="C43" s="286">
        <f t="shared" ca="1" si="12"/>
        <v>45064</v>
      </c>
      <c r="D43" s="285">
        <f t="shared" ca="1" si="19"/>
        <v>30</v>
      </c>
      <c r="E43" s="280">
        <f t="shared" ca="1" si="18"/>
        <v>1961679.7600510099</v>
      </c>
      <c r="F43" s="287">
        <f ca="1">'график анн Базова'!F43</f>
        <v>2471.7153050282177</v>
      </c>
      <c r="G43" s="287">
        <f t="shared" ca="1" si="6"/>
        <v>11300.5975294457</v>
      </c>
      <c r="H43" s="280">
        <f ca="1">IF(A42=$D$8,SUM($H$25:H42),IF(A42="","",(G43+F43)))</f>
        <v>13772.312834473918</v>
      </c>
      <c r="I43" s="280" t="str">
        <f t="shared" si="20"/>
        <v/>
      </c>
      <c r="J43" s="280" t="str">
        <f t="shared" si="21"/>
        <v/>
      </c>
      <c r="K43" s="280"/>
      <c r="L43" s="280" t="str">
        <f t="shared" si="22"/>
        <v/>
      </c>
      <c r="M43" s="280" t="str">
        <f t="shared" si="23"/>
        <v/>
      </c>
      <c r="N43" s="283" t="str">
        <f t="shared" si="16"/>
        <v/>
      </c>
      <c r="O43" s="280"/>
      <c r="P43" s="289" t="str">
        <f>IF(A42=$D$8,XIRR(R$24:R42,C$24:C42),"")</f>
        <v/>
      </c>
      <c r="Q43" s="280" t="str">
        <f t="shared" si="11"/>
        <v/>
      </c>
      <c r="R43" s="283">
        <f t="shared" ca="1" si="7"/>
        <v>13772.312834473918</v>
      </c>
      <c r="S43" s="284">
        <f t="shared" ca="1" si="8"/>
        <v>2023</v>
      </c>
      <c r="T43" s="284">
        <f t="shared" ca="1" si="9"/>
        <v>365</v>
      </c>
    </row>
    <row r="44" spans="1:20" x14ac:dyDescent="0.35">
      <c r="A44" s="285">
        <f t="shared" si="10"/>
        <v>20</v>
      </c>
      <c r="B44" s="286">
        <f t="shared" ca="1" si="5"/>
        <v>45095</v>
      </c>
      <c r="C44" s="286">
        <f t="shared" ca="1" si="12"/>
        <v>45095</v>
      </c>
      <c r="D44" s="285">
        <f t="shared" ca="1" si="19"/>
        <v>31</v>
      </c>
      <c r="E44" s="280">
        <f t="shared" ca="1" si="18"/>
        <v>1959873.0752651482</v>
      </c>
      <c r="F44" s="287">
        <f ca="1">'график анн Базова'!F44</f>
        <v>1806.6847858617512</v>
      </c>
      <c r="G44" s="287">
        <f t="shared" ca="1" si="6"/>
        <v>11662.589258385457</v>
      </c>
      <c r="H44" s="280">
        <f ca="1">IF(A43=$D$8,SUM($H$25:H43),IF(A43="","",(G44+F44)))</f>
        <v>13469.274044247208</v>
      </c>
      <c r="I44" s="280" t="str">
        <f t="shared" si="20"/>
        <v/>
      </c>
      <c r="J44" s="280" t="str">
        <f t="shared" si="21"/>
        <v/>
      </c>
      <c r="K44" s="280"/>
      <c r="L44" s="280" t="str">
        <f t="shared" si="22"/>
        <v/>
      </c>
      <c r="M44" s="280" t="str">
        <f t="shared" si="23"/>
        <v/>
      </c>
      <c r="N44" s="283" t="str">
        <f t="shared" si="16"/>
        <v/>
      </c>
      <c r="O44" s="280"/>
      <c r="P44" s="289" t="str">
        <f>IF(A43=$D$8,XIRR(R$24:R43,C$24:C43),"")</f>
        <v/>
      </c>
      <c r="Q44" s="280" t="str">
        <f t="shared" si="11"/>
        <v/>
      </c>
      <c r="R44" s="283">
        <f t="shared" ca="1" si="7"/>
        <v>13469.274044247208</v>
      </c>
      <c r="S44" s="284">
        <f t="shared" ca="1" si="8"/>
        <v>2023</v>
      </c>
      <c r="T44" s="284">
        <f t="shared" ca="1" si="9"/>
        <v>365</v>
      </c>
    </row>
    <row r="45" spans="1:20" x14ac:dyDescent="0.35">
      <c r="A45" s="285">
        <f t="shared" si="10"/>
        <v>21</v>
      </c>
      <c r="B45" s="286">
        <f t="shared" ca="1" si="5"/>
        <v>45125</v>
      </c>
      <c r="C45" s="286">
        <f t="shared" ca="1" si="12"/>
        <v>45125</v>
      </c>
      <c r="D45" s="285">
        <f t="shared" ca="1" si="19"/>
        <v>30</v>
      </c>
      <c r="E45" s="280">
        <f t="shared" ca="1" si="18"/>
        <v>1957356.1378572416</v>
      </c>
      <c r="F45" s="287">
        <f ca="1">'график анн Базова'!F45</f>
        <v>2516.9374079067202</v>
      </c>
      <c r="G45" s="287">
        <f t="shared" ca="1" si="6"/>
        <v>11275.982076867977</v>
      </c>
      <c r="H45" s="280">
        <f ca="1">IF(A44=$D$8,SUM($H$25:H44),IF(A44="","",(G45+F45)))</f>
        <v>13792.919484774697</v>
      </c>
      <c r="I45" s="280" t="str">
        <f t="shared" si="20"/>
        <v/>
      </c>
      <c r="J45" s="280" t="str">
        <f t="shared" si="21"/>
        <v/>
      </c>
      <c r="K45" s="280"/>
      <c r="L45" s="280" t="str">
        <f t="shared" si="22"/>
        <v/>
      </c>
      <c r="M45" s="280" t="str">
        <f t="shared" si="23"/>
        <v/>
      </c>
      <c r="N45" s="283" t="str">
        <f t="shared" si="16"/>
        <v/>
      </c>
      <c r="O45" s="280"/>
      <c r="P45" s="289" t="str">
        <f>IF(A44=$D$8,XIRR(R$24:R44,C$24:C44),"")</f>
        <v/>
      </c>
      <c r="Q45" s="280" t="str">
        <f t="shared" si="11"/>
        <v/>
      </c>
      <c r="R45" s="283">
        <f t="shared" ca="1" si="7"/>
        <v>13792.919484774697</v>
      </c>
      <c r="S45" s="284">
        <f t="shared" ca="1" si="8"/>
        <v>2023</v>
      </c>
      <c r="T45" s="284">
        <f t="shared" ca="1" si="9"/>
        <v>365</v>
      </c>
    </row>
    <row r="46" spans="1:20" x14ac:dyDescent="0.35">
      <c r="A46" s="285">
        <f t="shared" si="10"/>
        <v>22</v>
      </c>
      <c r="B46" s="286">
        <f t="shared" ca="1" si="5"/>
        <v>45156</v>
      </c>
      <c r="C46" s="286">
        <f t="shared" ca="1" si="12"/>
        <v>45156</v>
      </c>
      <c r="D46" s="285">
        <f t="shared" ca="1" si="19"/>
        <v>31</v>
      </c>
      <c r="E46" s="280">
        <f t="shared" ca="1" si="18"/>
        <v>1955502.2296405917</v>
      </c>
      <c r="F46" s="287">
        <f ca="1">'график анн Базова'!F46</f>
        <v>1853.9082166499102</v>
      </c>
      <c r="G46" s="287">
        <f t="shared" ca="1" si="6"/>
        <v>11636.884436027984</v>
      </c>
      <c r="H46" s="280">
        <f ca="1">IF(A45=$D$8,SUM($H$25:H45),IF(A45="","",(G46+F46)))</f>
        <v>13490.792652677894</v>
      </c>
      <c r="I46" s="280" t="str">
        <f t="shared" si="20"/>
        <v/>
      </c>
      <c r="J46" s="280" t="str">
        <f t="shared" si="21"/>
        <v/>
      </c>
      <c r="K46" s="280"/>
      <c r="L46" s="280" t="str">
        <f t="shared" si="22"/>
        <v/>
      </c>
      <c r="M46" s="280" t="str">
        <f t="shared" si="23"/>
        <v/>
      </c>
      <c r="N46" s="283" t="str">
        <f t="shared" si="16"/>
        <v/>
      </c>
      <c r="O46" s="280"/>
      <c r="P46" s="289" t="str">
        <f>IF(A45=$D$8,XIRR(R$24:R45,C$24:C45),"")</f>
        <v/>
      </c>
      <c r="Q46" s="280" t="str">
        <f t="shared" si="11"/>
        <v/>
      </c>
      <c r="R46" s="283">
        <f t="shared" ca="1" si="7"/>
        <v>13490.792652677894</v>
      </c>
      <c r="S46" s="284">
        <f t="shared" ca="1" si="8"/>
        <v>2023</v>
      </c>
      <c r="T46" s="284">
        <f t="shared" ca="1" si="9"/>
        <v>365</v>
      </c>
    </row>
    <row r="47" spans="1:20" x14ac:dyDescent="0.35">
      <c r="A47" s="285">
        <f t="shared" si="10"/>
        <v>23</v>
      </c>
      <c r="B47" s="286">
        <f t="shared" ca="1" si="5"/>
        <v>45187</v>
      </c>
      <c r="C47" s="286">
        <f t="shared" ca="1" si="12"/>
        <v>45187</v>
      </c>
      <c r="D47" s="285">
        <f t="shared" ca="1" si="19"/>
        <v>31</v>
      </c>
      <c r="E47" s="280">
        <f t="shared" ca="1" si="18"/>
        <v>1953628.0726828554</v>
      </c>
      <c r="F47" s="287">
        <f ca="1">'график анн Базова'!F47</f>
        <v>1874.1569577361988</v>
      </c>
      <c r="G47" s="287">
        <f t="shared" ca="1" si="6"/>
        <v>11625.862570739959</v>
      </c>
      <c r="H47" s="280">
        <f ca="1">IF(A46=$D$8,SUM($H$25:H46),IF(A46="","",(G47+F47)))</f>
        <v>13500.019528476158</v>
      </c>
      <c r="I47" s="280" t="str">
        <f t="shared" si="20"/>
        <v/>
      </c>
      <c r="J47" s="280" t="str">
        <f t="shared" si="21"/>
        <v/>
      </c>
      <c r="K47" s="280"/>
      <c r="L47" s="280" t="str">
        <f t="shared" si="22"/>
        <v/>
      </c>
      <c r="M47" s="280" t="str">
        <f t="shared" si="23"/>
        <v/>
      </c>
      <c r="N47" s="283" t="str">
        <f t="shared" si="16"/>
        <v/>
      </c>
      <c r="O47" s="280"/>
      <c r="P47" s="289" t="str">
        <f>IF(A46=$D$8,XIRR(R$24:R46,C$24:C46),"")</f>
        <v/>
      </c>
      <c r="Q47" s="280" t="str">
        <f t="shared" si="11"/>
        <v/>
      </c>
      <c r="R47" s="283">
        <f t="shared" ca="1" si="7"/>
        <v>13500.019528476158</v>
      </c>
      <c r="S47" s="284">
        <f t="shared" ca="1" si="8"/>
        <v>2023</v>
      </c>
      <c r="T47" s="284">
        <f t="shared" ca="1" si="9"/>
        <v>365</v>
      </c>
    </row>
    <row r="48" spans="1:20" x14ac:dyDescent="0.35">
      <c r="A48" s="285">
        <f t="shared" si="10"/>
        <v>24</v>
      </c>
      <c r="B48" s="286">
        <f t="shared" ca="1" si="5"/>
        <v>45217</v>
      </c>
      <c r="C48" s="286">
        <f t="shared" ca="1" si="12"/>
        <v>45217</v>
      </c>
      <c r="D48" s="285">
        <f t="shared" ca="1" si="19"/>
        <v>30</v>
      </c>
      <c r="E48" s="280">
        <f t="shared" ca="1" si="18"/>
        <v>1951045.1264531338</v>
      </c>
      <c r="F48" s="287">
        <f ca="1">'график анн Базова'!F48</f>
        <v>2582.9462297217506</v>
      </c>
      <c r="G48" s="287">
        <f t="shared" ca="1" si="6"/>
        <v>11240.051925024649</v>
      </c>
      <c r="H48" s="280">
        <f ca="1">IF(A47=$D$8,SUM($H$25:H47),IF(A47="","",(G48+F48)))</f>
        <v>13822.998154746399</v>
      </c>
      <c r="I48" s="280" t="str">
        <f t="shared" si="20"/>
        <v/>
      </c>
      <c r="J48" s="280" t="str">
        <f t="shared" si="21"/>
        <v/>
      </c>
      <c r="K48" s="280"/>
      <c r="L48" s="280" t="str">
        <f t="shared" si="22"/>
        <v/>
      </c>
      <c r="M48" s="280" t="str">
        <f t="shared" si="23"/>
        <v/>
      </c>
      <c r="N48" s="283" t="str">
        <f t="shared" si="16"/>
        <v/>
      </c>
      <c r="O48" s="280"/>
      <c r="P48" s="289" t="str">
        <f>IF(A47=$D$8,XIRR(R$24:R47,C$24:C47),"")</f>
        <v/>
      </c>
      <c r="Q48" s="280" t="str">
        <f t="shared" si="11"/>
        <v/>
      </c>
      <c r="R48" s="283">
        <f t="shared" ca="1" si="7"/>
        <v>13822.998154746399</v>
      </c>
      <c r="S48" s="284">
        <f t="shared" ca="1" si="8"/>
        <v>2023</v>
      </c>
      <c r="T48" s="284">
        <f t="shared" ca="1" si="9"/>
        <v>365</v>
      </c>
    </row>
    <row r="49" spans="1:20" s="231" customFormat="1" x14ac:dyDescent="0.35">
      <c r="A49" s="290">
        <f t="shared" si="10"/>
        <v>25</v>
      </c>
      <c r="B49" s="291">
        <f t="shared" ca="1" si="5"/>
        <v>45248</v>
      </c>
      <c r="C49" s="286">
        <f t="shared" ca="1" si="12"/>
        <v>45248</v>
      </c>
      <c r="D49" s="290">
        <f t="shared" ca="1" si="19"/>
        <v>31</v>
      </c>
      <c r="E49" s="292">
        <f t="shared" ca="1" si="18"/>
        <v>1949122.2881595972</v>
      </c>
      <c r="F49" s="287">
        <f ca="1">'график анн Базова'!F49</f>
        <v>1922.8382935365262</v>
      </c>
      <c r="G49" s="287">
        <f t="shared" ca="1" si="6"/>
        <v>11599.364176447398</v>
      </c>
      <c r="H49" s="280">
        <f ca="1">IF(A48=$D$8,SUM($H$25:H48),IF(A48="","",(G49+F49)))</f>
        <v>13522.202469983924</v>
      </c>
      <c r="I49" s="292" t="str">
        <f t="shared" si="20"/>
        <v/>
      </c>
      <c r="J49" s="292" t="str">
        <f t="shared" si="21"/>
        <v/>
      </c>
      <c r="K49" s="280">
        <f>IF($F$8&gt;24,($O$8+$O$10),IF($A$48=$F$8,$K$37+$K$24,""))</f>
        <v>7500</v>
      </c>
      <c r="L49" s="292" t="str">
        <f t="shared" si="22"/>
        <v/>
      </c>
      <c r="M49" s="292" t="str">
        <f t="shared" si="23"/>
        <v/>
      </c>
      <c r="N49" s="280">
        <f>IF($F$8&gt;24,($N$14),IF(A48=$F$8,N37+N24,""))</f>
        <v>0</v>
      </c>
      <c r="O49" s="292"/>
      <c r="P49" s="293" t="str">
        <f>IF(A48=$D$8,XIRR(R$24:R48,C$24:C48),"")</f>
        <v/>
      </c>
      <c r="Q49" s="292" t="str">
        <f t="shared" si="11"/>
        <v/>
      </c>
      <c r="R49" s="292">
        <f t="shared" ca="1" si="7"/>
        <v>21022.202469983924</v>
      </c>
      <c r="S49" s="231">
        <f t="shared" ca="1" si="8"/>
        <v>2023</v>
      </c>
      <c r="T49" s="231">
        <f t="shared" ca="1" si="9"/>
        <v>365</v>
      </c>
    </row>
    <row r="50" spans="1:20" x14ac:dyDescent="0.35">
      <c r="A50" s="285">
        <f t="shared" si="10"/>
        <v>26</v>
      </c>
      <c r="B50" s="286">
        <f t="shared" ca="1" si="5"/>
        <v>45278</v>
      </c>
      <c r="C50" s="286">
        <f t="shared" ca="1" si="12"/>
        <v>45278</v>
      </c>
      <c r="D50" s="285">
        <f t="shared" ca="1" si="19"/>
        <v>30</v>
      </c>
      <c r="E50" s="280">
        <f t="shared" ca="1" si="18"/>
        <v>1946491.7164046953</v>
      </c>
      <c r="F50" s="287">
        <f ca="1">'график анн Базова'!F50</f>
        <v>2630.5717549018336</v>
      </c>
      <c r="G50" s="287">
        <f t="shared" ca="1" si="6"/>
        <v>11214.128233246998</v>
      </c>
      <c r="H50" s="280">
        <f ca="1">IF(A49=$D$8,SUM($H$25:H49),IF(A49="","",(G50+F50)))</f>
        <v>13844.699988148832</v>
      </c>
      <c r="I50" s="280" t="str">
        <f t="shared" si="20"/>
        <v/>
      </c>
      <c r="J50" s="280" t="str">
        <f t="shared" si="21"/>
        <v/>
      </c>
      <c r="K50" s="280"/>
      <c r="L50" s="280" t="str">
        <f t="shared" si="22"/>
        <v/>
      </c>
      <c r="M50" s="280" t="str">
        <f t="shared" si="23"/>
        <v/>
      </c>
      <c r="N50" s="283" t="str">
        <f t="shared" si="16"/>
        <v/>
      </c>
      <c r="O50" s="280"/>
      <c r="P50" s="289" t="str">
        <f>IF(A49=$D$8,XIRR(R$24:R49,C$24:C49),"")</f>
        <v/>
      </c>
      <c r="Q50" s="280" t="str">
        <f t="shared" si="11"/>
        <v/>
      </c>
      <c r="R50" s="283">
        <f t="shared" ca="1" si="7"/>
        <v>13844.699988148832</v>
      </c>
      <c r="S50" s="284">
        <f t="shared" ca="1" si="8"/>
        <v>2023</v>
      </c>
      <c r="T50" s="284">
        <f t="shared" ca="1" si="9"/>
        <v>365</v>
      </c>
    </row>
    <row r="51" spans="1:20" x14ac:dyDescent="0.35">
      <c r="A51" s="285">
        <f t="shared" si="10"/>
        <v>27</v>
      </c>
      <c r="B51" s="286">
        <f t="shared" ca="1" si="5"/>
        <v>45309</v>
      </c>
      <c r="C51" s="286">
        <f t="shared" ca="1" si="12"/>
        <v>45309</v>
      </c>
      <c r="D51" s="285">
        <f t="shared" ca="1" si="19"/>
        <v>31</v>
      </c>
      <c r="E51" s="280">
        <f t="shared" ca="1" si="18"/>
        <v>1944519.1448933531</v>
      </c>
      <c r="F51" s="287">
        <f ca="1">'график анн Базова'!F51</f>
        <v>1972.5715113422957</v>
      </c>
      <c r="G51" s="287">
        <f t="shared" ca="1" si="6"/>
        <v>11540.674930596144</v>
      </c>
      <c r="H51" s="280">
        <f ca="1">IF(A50=$D$8,SUM($H$25:H50),IF(A50="","",(G51+F51)))</f>
        <v>13513.24644193844</v>
      </c>
      <c r="I51" s="280" t="str">
        <f t="shared" si="20"/>
        <v/>
      </c>
      <c r="J51" s="280" t="str">
        <f t="shared" si="21"/>
        <v/>
      </c>
      <c r="K51" s="280"/>
      <c r="L51" s="280" t="str">
        <f t="shared" si="22"/>
        <v/>
      </c>
      <c r="M51" s="280" t="str">
        <f t="shared" si="23"/>
        <v/>
      </c>
      <c r="N51" s="283" t="str">
        <f t="shared" si="16"/>
        <v/>
      </c>
      <c r="O51" s="280"/>
      <c r="P51" s="289" t="str">
        <f>IF(A50=$D$8,XIRR(R$24:R50,C$24:C50),"")</f>
        <v/>
      </c>
      <c r="Q51" s="280" t="str">
        <f t="shared" si="11"/>
        <v/>
      </c>
      <c r="R51" s="283">
        <f t="shared" ca="1" si="7"/>
        <v>13513.24644193844</v>
      </c>
      <c r="S51" s="284">
        <f t="shared" ca="1" si="8"/>
        <v>2024</v>
      </c>
      <c r="T51" s="284">
        <f t="shared" ca="1" si="9"/>
        <v>366</v>
      </c>
    </row>
    <row r="52" spans="1:20" x14ac:dyDescent="0.35">
      <c r="A52" s="285">
        <f t="shared" si="10"/>
        <v>28</v>
      </c>
      <c r="B52" s="286">
        <f t="shared" ca="1" si="5"/>
        <v>45340</v>
      </c>
      <c r="C52" s="286">
        <f t="shared" ca="1" si="12"/>
        <v>45340</v>
      </c>
      <c r="D52" s="285">
        <f t="shared" ca="1" si="19"/>
        <v>31</v>
      </c>
      <c r="E52" s="280">
        <f t="shared" ca="1" si="18"/>
        <v>1942467.0001322473</v>
      </c>
      <c r="F52" s="287">
        <f ca="1">'график анн Базова'!F52</f>
        <v>2052.144761105872</v>
      </c>
      <c r="G52" s="287">
        <f t="shared" ca="1" si="6"/>
        <v>11528.979629558951</v>
      </c>
      <c r="H52" s="280">
        <f ca="1">IF(A51=$D$8,SUM($H$25:H51),IF(A51="","",(G52+F52)))</f>
        <v>13581.124390664823</v>
      </c>
      <c r="I52" s="280" t="str">
        <f t="shared" si="20"/>
        <v/>
      </c>
      <c r="J52" s="280" t="str">
        <f t="shared" si="21"/>
        <v/>
      </c>
      <c r="K52" s="280"/>
      <c r="L52" s="280" t="str">
        <f t="shared" si="22"/>
        <v/>
      </c>
      <c r="M52" s="280" t="str">
        <f t="shared" si="23"/>
        <v/>
      </c>
      <c r="N52" s="283" t="str">
        <f t="shared" si="16"/>
        <v/>
      </c>
      <c r="O52" s="280"/>
      <c r="P52" s="289" t="str">
        <f>IF(A51=$D$8,XIRR(R$24:R51,C$24:C51),"")</f>
        <v/>
      </c>
      <c r="Q52" s="280" t="str">
        <f t="shared" si="11"/>
        <v/>
      </c>
      <c r="R52" s="283">
        <f t="shared" ca="1" si="7"/>
        <v>13581.124390664823</v>
      </c>
      <c r="S52" s="284">
        <f t="shared" ca="1" si="8"/>
        <v>2024</v>
      </c>
      <c r="T52" s="284">
        <f t="shared" ca="1" si="9"/>
        <v>366</v>
      </c>
    </row>
    <row r="53" spans="1:20" x14ac:dyDescent="0.35">
      <c r="A53" s="285">
        <f t="shared" si="10"/>
        <v>29</v>
      </c>
      <c r="B53" s="286">
        <f t="shared" ca="1" si="5"/>
        <v>45369</v>
      </c>
      <c r="C53" s="286">
        <f t="shared" ca="1" si="12"/>
        <v>45369</v>
      </c>
      <c r="D53" s="285">
        <f t="shared" ca="1" si="19"/>
        <v>29</v>
      </c>
      <c r="E53" s="280">
        <f t="shared" ca="1" si="18"/>
        <v>1939027.4685057353</v>
      </c>
      <c r="F53" s="287">
        <f ca="1">'график анн Базова'!F53</f>
        <v>3439.5316265119909</v>
      </c>
      <c r="G53" s="287">
        <f t="shared" ca="1" si="6"/>
        <v>10773.792377782684</v>
      </c>
      <c r="H53" s="280">
        <f ca="1">IF(A52=$D$8,SUM($H$25:H52),IF(A52="","",(G53+F53)))</f>
        <v>14213.324004294675</v>
      </c>
      <c r="I53" s="280" t="str">
        <f t="shared" si="20"/>
        <v/>
      </c>
      <c r="J53" s="280" t="str">
        <f t="shared" si="21"/>
        <v/>
      </c>
      <c r="K53" s="280"/>
      <c r="L53" s="280" t="str">
        <f t="shared" si="22"/>
        <v/>
      </c>
      <c r="M53" s="280" t="str">
        <f t="shared" si="23"/>
        <v/>
      </c>
      <c r="N53" s="283" t="str">
        <f t="shared" si="16"/>
        <v/>
      </c>
      <c r="O53" s="280"/>
      <c r="P53" s="289" t="str">
        <f>IF(A52=$D$8,XIRR(R$24:R52,C$24:C52),"")</f>
        <v/>
      </c>
      <c r="Q53" s="280" t="str">
        <f t="shared" si="11"/>
        <v/>
      </c>
      <c r="R53" s="283">
        <f t="shared" ca="1" si="7"/>
        <v>14213.324004294675</v>
      </c>
      <c r="S53" s="284">
        <f t="shared" ca="1" si="8"/>
        <v>2024</v>
      </c>
      <c r="T53" s="284">
        <f t="shared" ca="1" si="9"/>
        <v>366</v>
      </c>
    </row>
    <row r="54" spans="1:20" x14ac:dyDescent="0.35">
      <c r="A54" s="285">
        <f t="shared" si="10"/>
        <v>30</v>
      </c>
      <c r="B54" s="286">
        <f t="shared" ca="1" si="5"/>
        <v>45400</v>
      </c>
      <c r="C54" s="286">
        <f t="shared" ca="1" si="12"/>
        <v>45400</v>
      </c>
      <c r="D54" s="285">
        <f t="shared" ca="1" si="19"/>
        <v>31</v>
      </c>
      <c r="E54" s="280">
        <f t="shared" ca="1" si="18"/>
        <v>1936915.5064848291</v>
      </c>
      <c r="F54" s="287">
        <f ca="1">'график анн Базова'!F54</f>
        <v>2111.9620209060849</v>
      </c>
      <c r="G54" s="287">
        <f t="shared" ca="1" si="6"/>
        <v>11496.419690320892</v>
      </c>
      <c r="H54" s="280">
        <f ca="1">IF(A53=$D$8,SUM($H$25:H53),IF(A53="","",(G54+F54)))</f>
        <v>13608.381711226977</v>
      </c>
      <c r="I54" s="280" t="str">
        <f t="shared" si="20"/>
        <v/>
      </c>
      <c r="J54" s="280" t="str">
        <f t="shared" si="21"/>
        <v/>
      </c>
      <c r="K54" s="280"/>
      <c r="L54" s="280" t="str">
        <f t="shared" si="22"/>
        <v/>
      </c>
      <c r="M54" s="280" t="str">
        <f t="shared" si="23"/>
        <v/>
      </c>
      <c r="N54" s="283" t="str">
        <f t="shared" si="16"/>
        <v/>
      </c>
      <c r="O54" s="280"/>
      <c r="P54" s="289" t="str">
        <f>IF(A53=$D$8,XIRR(R$24:R53,C$24:C53),"")</f>
        <v/>
      </c>
      <c r="Q54" s="280" t="str">
        <f t="shared" si="11"/>
        <v/>
      </c>
      <c r="R54" s="283">
        <f t="shared" ca="1" si="7"/>
        <v>13608.381711226977</v>
      </c>
      <c r="S54" s="284">
        <f t="shared" ca="1" si="8"/>
        <v>2024</v>
      </c>
      <c r="T54" s="284">
        <f t="shared" ca="1" si="9"/>
        <v>366</v>
      </c>
    </row>
    <row r="55" spans="1:20" x14ac:dyDescent="0.35">
      <c r="A55" s="285">
        <f t="shared" si="10"/>
        <v>31</v>
      </c>
      <c r="B55" s="286">
        <f t="shared" ca="1" si="5"/>
        <v>45430</v>
      </c>
      <c r="C55" s="286">
        <f t="shared" ca="1" si="12"/>
        <v>45430</v>
      </c>
      <c r="D55" s="285">
        <f t="shared" ca="1" si="19"/>
        <v>30</v>
      </c>
      <c r="E55" s="280">
        <f t="shared" ca="1" si="18"/>
        <v>1934099.9737482769</v>
      </c>
      <c r="F55" s="287">
        <f ca="1">'график анн Базова'!F55</f>
        <v>2815.5327365522426</v>
      </c>
      <c r="G55" s="287">
        <f t="shared" ca="1" si="6"/>
        <v>11113.449627371972</v>
      </c>
      <c r="H55" s="280">
        <f ca="1">IF(A54=$D$8,SUM($H$25:H54),IF(A54="","",(G55+F55)))</f>
        <v>13928.982363924215</v>
      </c>
      <c r="I55" s="280" t="str">
        <f t="shared" si="20"/>
        <v/>
      </c>
      <c r="J55" s="280" t="str">
        <f t="shared" si="21"/>
        <v/>
      </c>
      <c r="K55" s="280"/>
      <c r="L55" s="280" t="str">
        <f t="shared" si="22"/>
        <v/>
      </c>
      <c r="M55" s="280" t="str">
        <f t="shared" si="23"/>
        <v/>
      </c>
      <c r="N55" s="283" t="str">
        <f t="shared" si="16"/>
        <v/>
      </c>
      <c r="O55" s="280"/>
      <c r="P55" s="289" t="str">
        <f>IF(A54=$D$8,XIRR(R$24:R54,C$24:C54),"")</f>
        <v/>
      </c>
      <c r="Q55" s="280" t="str">
        <f t="shared" si="11"/>
        <v/>
      </c>
      <c r="R55" s="283">
        <f t="shared" ca="1" si="7"/>
        <v>13928.982363924215</v>
      </c>
      <c r="S55" s="284">
        <f t="shared" ca="1" si="8"/>
        <v>2024</v>
      </c>
      <c r="T55" s="284">
        <f t="shared" ca="1" si="9"/>
        <v>366</v>
      </c>
    </row>
    <row r="56" spans="1:20" x14ac:dyDescent="0.35">
      <c r="A56" s="285">
        <f t="shared" si="10"/>
        <v>32</v>
      </c>
      <c r="B56" s="286">
        <f t="shared" ca="1" si="5"/>
        <v>45461</v>
      </c>
      <c r="C56" s="286">
        <f t="shared" ca="1" si="12"/>
        <v>45461</v>
      </c>
      <c r="D56" s="285">
        <f t="shared" ca="1" si="19"/>
        <v>31</v>
      </c>
      <c r="E56" s="280">
        <f t="shared" ca="1" si="18"/>
        <v>1931934.3397311957</v>
      </c>
      <c r="F56" s="287">
        <f ca="1">'график анн Базова'!F56</f>
        <v>2165.6340170811745</v>
      </c>
      <c r="G56" s="287">
        <f t="shared" ca="1" si="6"/>
        <v>11467.204762387326</v>
      </c>
      <c r="H56" s="280">
        <f ca="1">IF(A55=$D$8,SUM($H$25:H55),IF(A55="","",(G56+F56)))</f>
        <v>13632.8387794685</v>
      </c>
      <c r="I56" s="280" t="str">
        <f t="shared" si="20"/>
        <v/>
      </c>
      <c r="J56" s="280" t="str">
        <f t="shared" si="21"/>
        <v/>
      </c>
      <c r="K56" s="280"/>
      <c r="L56" s="280" t="str">
        <f t="shared" si="22"/>
        <v/>
      </c>
      <c r="M56" s="280" t="str">
        <f t="shared" si="23"/>
        <v/>
      </c>
      <c r="N56" s="283" t="str">
        <f t="shared" si="16"/>
        <v/>
      </c>
      <c r="O56" s="280"/>
      <c r="P56" s="289" t="str">
        <f>IF(A55=$D$8,XIRR(R$24:R55,C$24:C55),"")</f>
        <v/>
      </c>
      <c r="Q56" s="280" t="str">
        <f t="shared" si="11"/>
        <v/>
      </c>
      <c r="R56" s="283">
        <f t="shared" ca="1" si="7"/>
        <v>13632.8387794685</v>
      </c>
      <c r="S56" s="284">
        <f t="shared" ca="1" si="8"/>
        <v>2024</v>
      </c>
      <c r="T56" s="284">
        <f t="shared" ca="1" si="9"/>
        <v>366</v>
      </c>
    </row>
    <row r="57" spans="1:20" x14ac:dyDescent="0.35">
      <c r="A57" s="285">
        <f t="shared" si="10"/>
        <v>33</v>
      </c>
      <c r="B57" s="286">
        <f t="shared" ca="1" si="5"/>
        <v>45491</v>
      </c>
      <c r="C57" s="286">
        <f t="shared" ca="1" si="12"/>
        <v>45491</v>
      </c>
      <c r="D57" s="285">
        <f t="shared" ca="1" si="19"/>
        <v>30</v>
      </c>
      <c r="E57" s="280">
        <f t="shared" ca="1" si="18"/>
        <v>1929066.300597552</v>
      </c>
      <c r="F57" s="287">
        <f ca="1">'график анн Базова'!F57</f>
        <v>2868.0391336438188</v>
      </c>
      <c r="G57" s="287">
        <f t="shared" ca="1" si="6"/>
        <v>11084.869162392108</v>
      </c>
      <c r="H57" s="280">
        <f ca="1">IF(A56=$D$8,SUM($H$25:H56),IF(A56="","",(G57+F57)))</f>
        <v>13952.908296035926</v>
      </c>
      <c r="I57" s="280" t="str">
        <f t="shared" si="20"/>
        <v/>
      </c>
      <c r="J57" s="280" t="str">
        <f t="shared" si="21"/>
        <v/>
      </c>
      <c r="K57" s="280"/>
      <c r="L57" s="280" t="str">
        <f t="shared" si="22"/>
        <v/>
      </c>
      <c r="M57" s="280" t="str">
        <f t="shared" si="23"/>
        <v/>
      </c>
      <c r="N57" s="283" t="str">
        <f t="shared" si="16"/>
        <v/>
      </c>
      <c r="O57" s="280"/>
      <c r="P57" s="289" t="str">
        <f>IF(A56=$D$8,XIRR(R$24:R56,C$24:C56),"")</f>
        <v/>
      </c>
      <c r="Q57" s="280" t="str">
        <f t="shared" si="11"/>
        <v/>
      </c>
      <c r="R57" s="283">
        <f t="shared" ca="1" si="7"/>
        <v>13952.908296035926</v>
      </c>
      <c r="S57" s="284">
        <f t="shared" ca="1" si="8"/>
        <v>2024</v>
      </c>
      <c r="T57" s="284">
        <f t="shared" ca="1" si="9"/>
        <v>366</v>
      </c>
    </row>
    <row r="58" spans="1:20" x14ac:dyDescent="0.35">
      <c r="A58" s="285">
        <f t="shared" si="10"/>
        <v>34</v>
      </c>
      <c r="B58" s="286">
        <f t="shared" ca="1" si="5"/>
        <v>45522</v>
      </c>
      <c r="C58" s="286">
        <f t="shared" ca="1" si="12"/>
        <v>45522</v>
      </c>
      <c r="D58" s="285">
        <f t="shared" ca="1" si="19"/>
        <v>31</v>
      </c>
      <c r="E58" s="280">
        <f t="shared" ca="1" si="18"/>
        <v>1926845.8380521028</v>
      </c>
      <c r="F58" s="287">
        <f ca="1">'график анн Базова'!F58</f>
        <v>2220.4625454491506</v>
      </c>
      <c r="G58" s="287">
        <f t="shared" ca="1" si="6"/>
        <v>11437.360306821554</v>
      </c>
      <c r="H58" s="280">
        <f ca="1">IF(A57=$D$8,SUM($H$25:H57),IF(A57="","",(G58+F58)))</f>
        <v>13657.822852270705</v>
      </c>
      <c r="I58" s="280" t="str">
        <f t="shared" si="20"/>
        <v/>
      </c>
      <c r="J58" s="280" t="str">
        <f t="shared" si="21"/>
        <v/>
      </c>
      <c r="K58" s="280"/>
      <c r="L58" s="280" t="str">
        <f t="shared" si="22"/>
        <v/>
      </c>
      <c r="M58" s="280" t="str">
        <f t="shared" si="23"/>
        <v/>
      </c>
      <c r="N58" s="283" t="str">
        <f t="shared" si="16"/>
        <v/>
      </c>
      <c r="O58" s="280"/>
      <c r="P58" s="289" t="str">
        <f>IF(A57=$D$8,XIRR(R$24:R57,C$24:C57),"")</f>
        <v/>
      </c>
      <c r="Q58" s="280" t="str">
        <f t="shared" si="11"/>
        <v/>
      </c>
      <c r="R58" s="283">
        <f t="shared" ca="1" si="7"/>
        <v>13657.822852270705</v>
      </c>
      <c r="S58" s="284">
        <f t="shared" ca="1" si="8"/>
        <v>2024</v>
      </c>
      <c r="T58" s="284">
        <f t="shared" ca="1" si="9"/>
        <v>366</v>
      </c>
    </row>
    <row r="59" spans="1:20" x14ac:dyDescent="0.35">
      <c r="A59" s="285">
        <f t="shared" si="10"/>
        <v>35</v>
      </c>
      <c r="B59" s="286">
        <f t="shared" ca="1" si="5"/>
        <v>45553</v>
      </c>
      <c r="C59" s="286">
        <f t="shared" ca="1" si="12"/>
        <v>45553</v>
      </c>
      <c r="D59" s="285">
        <f t="shared" ca="1" si="19"/>
        <v>31</v>
      </c>
      <c r="E59" s="280">
        <f t="shared" ca="1" si="18"/>
        <v>1924601.1894520535</v>
      </c>
      <c r="F59" s="287">
        <f ca="1">'график анн Базова'!F59</f>
        <v>2244.6486000493933</v>
      </c>
      <c r="G59" s="287">
        <f t="shared" ca="1" si="6"/>
        <v>11424.19526932531</v>
      </c>
      <c r="H59" s="280">
        <f ca="1">IF(A58=$D$8,SUM($H$25:H58),IF(A58="","",(G59+F59)))</f>
        <v>13668.843869374703</v>
      </c>
      <c r="I59" s="280" t="str">
        <f t="shared" si="20"/>
        <v/>
      </c>
      <c r="J59" s="280" t="str">
        <f t="shared" si="21"/>
        <v/>
      </c>
      <c r="K59" s="280"/>
      <c r="L59" s="280" t="str">
        <f t="shared" si="22"/>
        <v/>
      </c>
      <c r="M59" s="280" t="str">
        <f t="shared" si="23"/>
        <v/>
      </c>
      <c r="N59" s="283" t="str">
        <f t="shared" si="16"/>
        <v/>
      </c>
      <c r="O59" s="280"/>
      <c r="P59" s="289" t="str">
        <f>IF(A58=$D$8,XIRR(R$24:R58,C$24:C58),"")</f>
        <v/>
      </c>
      <c r="Q59" s="280" t="str">
        <f t="shared" si="11"/>
        <v/>
      </c>
      <c r="R59" s="283">
        <f t="shared" ca="1" si="7"/>
        <v>13668.843869374703</v>
      </c>
      <c r="S59" s="284">
        <f t="shared" ca="1" si="8"/>
        <v>2024</v>
      </c>
      <c r="T59" s="284">
        <f t="shared" ca="1" si="9"/>
        <v>366</v>
      </c>
    </row>
    <row r="60" spans="1:20" x14ac:dyDescent="0.35">
      <c r="A60" s="285">
        <f t="shared" si="10"/>
        <v>36</v>
      </c>
      <c r="B60" s="286">
        <f t="shared" ca="1" si="5"/>
        <v>45583</v>
      </c>
      <c r="C60" s="286">
        <f t="shared" ca="1" si="12"/>
        <v>45583</v>
      </c>
      <c r="D60" s="285">
        <f t="shared" ca="1" si="19"/>
        <v>30</v>
      </c>
      <c r="E60" s="280">
        <f t="shared" ca="1" si="18"/>
        <v>1921655.8517015327</v>
      </c>
      <c r="F60" s="287">
        <f ca="1">'график анн Базова'!F60</f>
        <v>2945.3377505206772</v>
      </c>
      <c r="G60" s="287">
        <f t="shared" ca="1" si="6"/>
        <v>11042.793709970802</v>
      </c>
      <c r="H60" s="280">
        <f ca="1">IF(A59=$D$8,SUM($H$25:H59),IF(A59="","",(G60+F60)))</f>
        <v>13988.131460491479</v>
      </c>
      <c r="I60" s="280" t="str">
        <f t="shared" si="20"/>
        <v/>
      </c>
      <c r="J60" s="280" t="str">
        <f t="shared" si="21"/>
        <v/>
      </c>
      <c r="K60" s="280"/>
      <c r="L60" s="280" t="str">
        <f t="shared" si="22"/>
        <v/>
      </c>
      <c r="M60" s="280" t="str">
        <f t="shared" si="23"/>
        <v/>
      </c>
      <c r="N60" s="283" t="str">
        <f t="shared" si="16"/>
        <v/>
      </c>
      <c r="O60" s="280"/>
      <c r="P60" s="289" t="str">
        <f>IF(A59=$D$8,XIRR(R$24:R59,C$24:C59),"")</f>
        <v/>
      </c>
      <c r="Q60" s="280" t="str">
        <f t="shared" si="11"/>
        <v/>
      </c>
      <c r="R60" s="283">
        <f t="shared" ca="1" si="7"/>
        <v>13988.131460491479</v>
      </c>
      <c r="S60" s="284">
        <f t="shared" ca="1" si="8"/>
        <v>2024</v>
      </c>
      <c r="T60" s="284">
        <f t="shared" ca="1" si="9"/>
        <v>366</v>
      </c>
    </row>
    <row r="61" spans="1:20" x14ac:dyDescent="0.35">
      <c r="A61" s="285">
        <f t="shared" si="10"/>
        <v>37</v>
      </c>
      <c r="B61" s="286">
        <f t="shared" ca="1" si="5"/>
        <v>45614</v>
      </c>
      <c r="C61" s="286">
        <f t="shared" ca="1" si="12"/>
        <v>45614</v>
      </c>
      <c r="D61" s="285">
        <f t="shared" ca="1" si="19"/>
        <v>31</v>
      </c>
      <c r="E61" s="280">
        <f t="shared" ca="1" si="18"/>
        <v>1919354.6719550758</v>
      </c>
      <c r="F61" s="287">
        <f ca="1">'график анн Базова'!F61</f>
        <v>2301.1797464569972</v>
      </c>
      <c r="G61" s="287">
        <f t="shared" ca="1" si="6"/>
        <v>11393.424038776848</v>
      </c>
      <c r="H61" s="280">
        <f ca="1">IF(A60=$D$8,SUM($H$25:H60),IF(A60="","",(G61+F61)))</f>
        <v>13694.603785233845</v>
      </c>
      <c r="I61" s="280" t="str">
        <f t="shared" si="20"/>
        <v/>
      </c>
      <c r="J61" s="280" t="str">
        <f t="shared" si="21"/>
        <v/>
      </c>
      <c r="K61" s="280">
        <f>IF($F$8&gt;36,($O$8+$O$10),IF($A$60=$F$8,$K$37+$K$24+$K$49,""))</f>
        <v>7500</v>
      </c>
      <c r="L61" s="280" t="str">
        <f t="shared" si="22"/>
        <v/>
      </c>
      <c r="M61" s="280" t="str">
        <f t="shared" si="23"/>
        <v/>
      </c>
      <c r="N61" s="280">
        <f>IF($F$8&gt;36,($N$14),IF(A60=$F$8,N49+N37+N24,""))</f>
        <v>0</v>
      </c>
      <c r="O61" s="280"/>
      <c r="P61" s="289" t="str">
        <f>IF(A60=$D$8,XIRR(R$24:R60,C$24:C60),"")</f>
        <v/>
      </c>
      <c r="Q61" s="280" t="str">
        <f t="shared" si="11"/>
        <v/>
      </c>
      <c r="R61" s="283">
        <f t="shared" ca="1" si="7"/>
        <v>21194.603785233845</v>
      </c>
      <c r="S61" s="284">
        <f t="shared" ca="1" si="8"/>
        <v>2024</v>
      </c>
      <c r="T61" s="284">
        <f t="shared" ca="1" si="9"/>
        <v>366</v>
      </c>
    </row>
    <row r="62" spans="1:20" x14ac:dyDescent="0.35">
      <c r="A62" s="285">
        <f t="shared" si="10"/>
        <v>38</v>
      </c>
      <c r="B62" s="286">
        <f t="shared" ca="1" si="5"/>
        <v>45644</v>
      </c>
      <c r="C62" s="286">
        <f t="shared" ca="1" si="12"/>
        <v>45644</v>
      </c>
      <c r="D62" s="285">
        <f t="shared" ca="1" si="19"/>
        <v>30</v>
      </c>
      <c r="E62" s="280">
        <f t="shared" ca="1" si="18"/>
        <v>1916354.0307496281</v>
      </c>
      <c r="F62" s="287">
        <f ca="1">'график анн Базова'!F62</f>
        <v>3000.6412054478351</v>
      </c>
      <c r="G62" s="287">
        <f t="shared" ca="1" si="6"/>
        <v>11012.690740725846</v>
      </c>
      <c r="H62" s="280">
        <f ca="1">IF(A61=$D$8,SUM($H$25:H61),IF(A61="","",(G62+F62)))</f>
        <v>14013.331946173681</v>
      </c>
      <c r="I62" s="280" t="str">
        <f t="shared" si="20"/>
        <v/>
      </c>
      <c r="J62" s="280" t="str">
        <f t="shared" si="21"/>
        <v/>
      </c>
      <c r="K62" s="280"/>
      <c r="L62" s="280" t="str">
        <f t="shared" si="22"/>
        <v/>
      </c>
      <c r="M62" s="280" t="str">
        <f t="shared" si="23"/>
        <v/>
      </c>
      <c r="N62" s="283" t="str">
        <f t="shared" si="16"/>
        <v/>
      </c>
      <c r="O62" s="280"/>
      <c r="P62" s="289" t="str">
        <f>IF(A61=$D$8,XIRR(R$24:R61,C$24:C61),"")</f>
        <v/>
      </c>
      <c r="Q62" s="280" t="str">
        <f t="shared" si="11"/>
        <v/>
      </c>
      <c r="R62" s="283">
        <f t="shared" ca="1" si="7"/>
        <v>14013.331946173681</v>
      </c>
      <c r="S62" s="284">
        <f t="shared" ca="1" si="8"/>
        <v>2024</v>
      </c>
      <c r="T62" s="284">
        <f t="shared" ca="1" si="9"/>
        <v>366</v>
      </c>
    </row>
    <row r="63" spans="1:20" x14ac:dyDescent="0.35">
      <c r="A63" s="285">
        <f t="shared" si="10"/>
        <v>39</v>
      </c>
      <c r="B63" s="286">
        <f t="shared" ca="1" si="5"/>
        <v>45675</v>
      </c>
      <c r="C63" s="286">
        <f t="shared" ca="1" si="12"/>
        <v>45675</v>
      </c>
      <c r="D63" s="285">
        <f t="shared" ca="1" si="19"/>
        <v>31</v>
      </c>
      <c r="E63" s="280">
        <f t="shared" ca="1" si="18"/>
        <v>1913995.1017151743</v>
      </c>
      <c r="F63" s="287">
        <f ca="1">'график анн Базова'!F63</f>
        <v>2358.9290344538895</v>
      </c>
      <c r="G63" s="287">
        <f t="shared" ca="1" si="6"/>
        <v>11393.118484182722</v>
      </c>
      <c r="H63" s="280">
        <f ca="1">IF(A62=$D$8,SUM($H$25:H62),IF(A62="","",(G63+F63)))</f>
        <v>13752.047518636611</v>
      </c>
      <c r="I63" s="280" t="str">
        <f t="shared" si="20"/>
        <v/>
      </c>
      <c r="J63" s="280" t="str">
        <f t="shared" si="21"/>
        <v/>
      </c>
      <c r="K63" s="280"/>
      <c r="L63" s="280" t="str">
        <f t="shared" si="22"/>
        <v/>
      </c>
      <c r="M63" s="280" t="str">
        <f t="shared" si="23"/>
        <v/>
      </c>
      <c r="N63" s="283" t="str">
        <f t="shared" si="16"/>
        <v/>
      </c>
      <c r="O63" s="280"/>
      <c r="P63" s="289" t="str">
        <f>IF(A62=$D$8,XIRR(R$24:R62,C$24:C62),"")</f>
        <v/>
      </c>
      <c r="Q63" s="280" t="str">
        <f t="shared" si="11"/>
        <v/>
      </c>
      <c r="R63" s="283">
        <f t="shared" ca="1" si="7"/>
        <v>13752.047518636611</v>
      </c>
      <c r="S63" s="284">
        <f t="shared" ca="1" si="8"/>
        <v>2025</v>
      </c>
      <c r="T63" s="284">
        <f t="shared" ca="1" si="9"/>
        <v>365</v>
      </c>
    </row>
    <row r="64" spans="1:20" x14ac:dyDescent="0.35">
      <c r="A64" s="285">
        <f t="shared" si="10"/>
        <v>40</v>
      </c>
      <c r="B64" s="286">
        <f t="shared" ca="1" si="5"/>
        <v>45706</v>
      </c>
      <c r="C64" s="286">
        <f t="shared" ca="1" si="12"/>
        <v>45706</v>
      </c>
      <c r="D64" s="285">
        <f t="shared" ca="1" si="19"/>
        <v>31</v>
      </c>
      <c r="E64" s="280">
        <f t="shared" ca="1" si="18"/>
        <v>1911667.5959459655</v>
      </c>
      <c r="F64" s="287">
        <f ca="1">'график анн Базова'!F64</f>
        <v>2327.5057692087175</v>
      </c>
      <c r="G64" s="287">
        <f t="shared" ca="1" si="6"/>
        <v>11379.094166361447</v>
      </c>
      <c r="H64" s="280">
        <f ca="1">IF(A63=$D$8,SUM($H$25:H63),IF(A63="","",(G64+F64)))</f>
        <v>13706.599935570164</v>
      </c>
      <c r="I64" s="280" t="str">
        <f t="shared" si="20"/>
        <v/>
      </c>
      <c r="J64" s="280" t="str">
        <f t="shared" si="21"/>
        <v/>
      </c>
      <c r="K64" s="280"/>
      <c r="L64" s="280" t="str">
        <f t="shared" si="22"/>
        <v/>
      </c>
      <c r="M64" s="280" t="str">
        <f t="shared" si="23"/>
        <v/>
      </c>
      <c r="N64" s="283" t="str">
        <f t="shared" si="16"/>
        <v/>
      </c>
      <c r="O64" s="280"/>
      <c r="P64" s="289" t="str">
        <f>IF(A63=$D$8,XIRR(R$24:R63,C$24:C63),"")</f>
        <v/>
      </c>
      <c r="Q64" s="280" t="str">
        <f t="shared" si="11"/>
        <v/>
      </c>
      <c r="R64" s="283">
        <f t="shared" ca="1" si="7"/>
        <v>13706.599935570164</v>
      </c>
      <c r="S64" s="284">
        <f t="shared" ca="1" si="8"/>
        <v>2025</v>
      </c>
      <c r="T64" s="284">
        <f t="shared" ca="1" si="9"/>
        <v>365</v>
      </c>
    </row>
    <row r="65" spans="1:20" x14ac:dyDescent="0.35">
      <c r="A65" s="285">
        <f t="shared" si="10"/>
        <v>41</v>
      </c>
      <c r="B65" s="286">
        <f t="shared" ca="1" si="5"/>
        <v>45734</v>
      </c>
      <c r="C65" s="286">
        <f t="shared" ca="1" si="12"/>
        <v>45734</v>
      </c>
      <c r="D65" s="285">
        <f t="shared" ca="1" si="19"/>
        <v>28</v>
      </c>
      <c r="E65" s="280">
        <f t="shared" ca="1" si="18"/>
        <v>1907294.062250687</v>
      </c>
      <c r="F65" s="287">
        <f ca="1">'график анн Базова'!F65</f>
        <v>4373.5336952785292</v>
      </c>
      <c r="G65" s="287">
        <f t="shared" ca="1" si="6"/>
        <v>10265.393117956417</v>
      </c>
      <c r="H65" s="280">
        <f ca="1">IF(A64=$D$8,SUM($H$25:H64),IF(A64="","",(G65+F65)))</f>
        <v>14638.926813234946</v>
      </c>
      <c r="I65" s="280" t="str">
        <f t="shared" si="20"/>
        <v/>
      </c>
      <c r="J65" s="280" t="str">
        <f t="shared" si="21"/>
        <v/>
      </c>
      <c r="K65" s="280"/>
      <c r="L65" s="280" t="str">
        <f t="shared" si="22"/>
        <v/>
      </c>
      <c r="M65" s="280" t="str">
        <f t="shared" si="23"/>
        <v/>
      </c>
      <c r="N65" s="283" t="str">
        <f t="shared" si="16"/>
        <v/>
      </c>
      <c r="O65" s="280"/>
      <c r="P65" s="289" t="str">
        <f>IF(A64=$D$8,XIRR(R$24:R64,C$24:C64),"")</f>
        <v/>
      </c>
      <c r="Q65" s="280" t="str">
        <f t="shared" si="11"/>
        <v/>
      </c>
      <c r="R65" s="283">
        <f t="shared" ca="1" si="7"/>
        <v>14638.926813234946</v>
      </c>
      <c r="S65" s="284">
        <f t="shared" ca="1" si="8"/>
        <v>2025</v>
      </c>
      <c r="T65" s="284">
        <f t="shared" ca="1" si="9"/>
        <v>365</v>
      </c>
    </row>
    <row r="66" spans="1:20" x14ac:dyDescent="0.35">
      <c r="A66" s="285">
        <f t="shared" si="10"/>
        <v>42</v>
      </c>
      <c r="B66" s="286">
        <f t="shared" ca="1" si="5"/>
        <v>45765</v>
      </c>
      <c r="C66" s="286">
        <f t="shared" ca="1" si="12"/>
        <v>45765</v>
      </c>
      <c r="D66" s="285">
        <f t="shared" ca="1" si="19"/>
        <v>31</v>
      </c>
      <c r="E66" s="280">
        <f t="shared" ca="1" si="18"/>
        <v>1904893.3664433165</v>
      </c>
      <c r="F66" s="287">
        <f ca="1">'график анн Базова'!F66</f>
        <v>2400.6958073707028</v>
      </c>
      <c r="G66" s="287">
        <f t="shared" ca="1" si="6"/>
        <v>11339.255109819154</v>
      </c>
      <c r="H66" s="280">
        <f ca="1">IF(A65=$D$8,SUM($H$25:H65),IF(A65="","",(G66+F66)))</f>
        <v>13739.950917189857</v>
      </c>
      <c r="I66" s="280" t="str">
        <f t="shared" si="20"/>
        <v/>
      </c>
      <c r="J66" s="280" t="str">
        <f t="shared" si="21"/>
        <v/>
      </c>
      <c r="K66" s="280"/>
      <c r="L66" s="280" t="str">
        <f t="shared" si="22"/>
        <v/>
      </c>
      <c r="M66" s="280" t="str">
        <f t="shared" si="23"/>
        <v/>
      </c>
      <c r="N66" s="283" t="str">
        <f t="shared" si="16"/>
        <v/>
      </c>
      <c r="O66" s="280"/>
      <c r="P66" s="289" t="str">
        <f>IF(A65=$D$8,XIRR(R$24:R65,C$24:C65),"")</f>
        <v/>
      </c>
      <c r="Q66" s="280" t="str">
        <f t="shared" si="11"/>
        <v/>
      </c>
      <c r="R66" s="283">
        <f t="shared" ca="1" si="7"/>
        <v>13739.950917189857</v>
      </c>
      <c r="S66" s="284">
        <f t="shared" ca="1" si="8"/>
        <v>2025</v>
      </c>
      <c r="T66" s="284">
        <f t="shared" ca="1" si="9"/>
        <v>365</v>
      </c>
    </row>
    <row r="67" spans="1:20" x14ac:dyDescent="0.35">
      <c r="A67" s="285">
        <f t="shared" si="10"/>
        <v>43</v>
      </c>
      <c r="B67" s="286">
        <f t="shared" ca="1" si="5"/>
        <v>45795</v>
      </c>
      <c r="C67" s="286">
        <f t="shared" ca="1" si="12"/>
        <v>45795</v>
      </c>
      <c r="D67" s="285">
        <f t="shared" ca="1" si="19"/>
        <v>30</v>
      </c>
      <c r="E67" s="280">
        <f t="shared" ca="1" si="18"/>
        <v>1901795.3010446299</v>
      </c>
      <c r="F67" s="287">
        <f ca="1">'график анн Базова'!F67</f>
        <v>3098.0653986865218</v>
      </c>
      <c r="G67" s="287">
        <f t="shared" ca="1" si="6"/>
        <v>10959.660464468398</v>
      </c>
      <c r="H67" s="280">
        <f ca="1">IF(A66=$D$8,SUM($H$25:H66),IF(A66="","",(G67+F67)))</f>
        <v>14057.725863154919</v>
      </c>
      <c r="I67" s="280" t="str">
        <f t="shared" si="20"/>
        <v/>
      </c>
      <c r="J67" s="280" t="str">
        <f t="shared" si="21"/>
        <v/>
      </c>
      <c r="K67" s="280"/>
      <c r="L67" s="280" t="str">
        <f t="shared" si="22"/>
        <v/>
      </c>
      <c r="M67" s="280" t="str">
        <f t="shared" si="23"/>
        <v/>
      </c>
      <c r="N67" s="283" t="str">
        <f t="shared" si="16"/>
        <v/>
      </c>
      <c r="O67" s="280"/>
      <c r="P67" s="289" t="str">
        <f>IF(A66=$D$8,XIRR(R$24:R66,C$24:C66),"")</f>
        <v/>
      </c>
      <c r="Q67" s="280" t="str">
        <f t="shared" si="11"/>
        <v/>
      </c>
      <c r="R67" s="283">
        <f t="shared" ca="1" si="7"/>
        <v>14057.725863154919</v>
      </c>
      <c r="S67" s="284">
        <f t="shared" ca="1" si="8"/>
        <v>2025</v>
      </c>
      <c r="T67" s="284">
        <f t="shared" ca="1" si="9"/>
        <v>365</v>
      </c>
    </row>
    <row r="68" spans="1:20" x14ac:dyDescent="0.35">
      <c r="A68" s="285">
        <f t="shared" si="10"/>
        <v>44</v>
      </c>
      <c r="B68" s="286">
        <f t="shared" ca="1" si="5"/>
        <v>45826</v>
      </c>
      <c r="C68" s="286">
        <f t="shared" ca="1" si="12"/>
        <v>45826</v>
      </c>
      <c r="D68" s="285">
        <f t="shared" ca="1" si="19"/>
        <v>31</v>
      </c>
      <c r="E68" s="280">
        <f t="shared" ca="1" si="18"/>
        <v>1899334.5467128097</v>
      </c>
      <c r="F68" s="287">
        <f ca="1">'график анн Базова'!F68</f>
        <v>2460.7543318202006</v>
      </c>
      <c r="G68" s="287">
        <f t="shared" ca="1" si="6"/>
        <v>11306.563844566706</v>
      </c>
      <c r="H68" s="280">
        <f ca="1">IF(A67=$D$8,SUM($H$25:H67),IF(A67="","",(G68+F68)))</f>
        <v>13767.318176386907</v>
      </c>
      <c r="I68" s="280" t="str">
        <f t="shared" si="20"/>
        <v/>
      </c>
      <c r="J68" s="280" t="str">
        <f t="shared" si="21"/>
        <v/>
      </c>
      <c r="K68" s="280"/>
      <c r="L68" s="280" t="str">
        <f t="shared" si="22"/>
        <v/>
      </c>
      <c r="M68" s="280" t="str">
        <f t="shared" si="23"/>
        <v/>
      </c>
      <c r="N68" s="283" t="str">
        <f t="shared" si="16"/>
        <v/>
      </c>
      <c r="O68" s="280"/>
      <c r="P68" s="289" t="str">
        <f>IF(A67=$D$8,XIRR(R$24:R67,C$24:C67),"")</f>
        <v/>
      </c>
      <c r="Q68" s="280" t="str">
        <f t="shared" si="11"/>
        <v/>
      </c>
      <c r="R68" s="283">
        <f t="shared" ca="1" si="7"/>
        <v>13767.318176386907</v>
      </c>
      <c r="S68" s="284">
        <f t="shared" ca="1" si="8"/>
        <v>2025</v>
      </c>
      <c r="T68" s="284">
        <f t="shared" ca="1" si="9"/>
        <v>365</v>
      </c>
    </row>
    <row r="69" spans="1:20" x14ac:dyDescent="0.35">
      <c r="A69" s="285">
        <f t="shared" si="10"/>
        <v>45</v>
      </c>
      <c r="B69" s="286">
        <f t="shared" ca="1" si="5"/>
        <v>45856</v>
      </c>
      <c r="C69" s="286">
        <f t="shared" ca="1" si="12"/>
        <v>45856</v>
      </c>
      <c r="D69" s="285">
        <f t="shared" ca="1" si="19"/>
        <v>30</v>
      </c>
      <c r="E69" s="280">
        <f t="shared" ca="1" si="18"/>
        <v>1896177.725351054</v>
      </c>
      <c r="F69" s="287">
        <f ca="1">'график анн Базова'!F69</f>
        <v>3156.8213617558213</v>
      </c>
      <c r="G69" s="287">
        <f t="shared" ca="1" si="6"/>
        <v>10927.678213964111</v>
      </c>
      <c r="H69" s="280">
        <f ca="1">IF(A68=$D$8,SUM($H$25:H68),IF(A68="","",(G69+F69)))</f>
        <v>14084.499575719932</v>
      </c>
      <c r="I69" s="280" t="str">
        <f t="shared" si="20"/>
        <v/>
      </c>
      <c r="J69" s="280" t="str">
        <f t="shared" si="21"/>
        <v/>
      </c>
      <c r="K69" s="280"/>
      <c r="L69" s="280" t="str">
        <f t="shared" si="22"/>
        <v/>
      </c>
      <c r="M69" s="280" t="str">
        <f t="shared" si="23"/>
        <v/>
      </c>
      <c r="N69" s="283" t="str">
        <f t="shared" si="16"/>
        <v/>
      </c>
      <c r="O69" s="280"/>
      <c r="P69" s="289" t="str">
        <f>IF(A68=$D$8,XIRR(R$24:R68,C$24:C68),"")</f>
        <v/>
      </c>
      <c r="Q69" s="280" t="str">
        <f t="shared" si="11"/>
        <v/>
      </c>
      <c r="R69" s="283">
        <f t="shared" ca="1" si="7"/>
        <v>14084.499575719932</v>
      </c>
      <c r="S69" s="284">
        <f t="shared" ca="1" si="8"/>
        <v>2025</v>
      </c>
      <c r="T69" s="284">
        <f t="shared" ca="1" si="9"/>
        <v>365</v>
      </c>
    </row>
    <row r="70" spans="1:20" x14ac:dyDescent="0.35">
      <c r="A70" s="285">
        <f t="shared" si="10"/>
        <v>46</v>
      </c>
      <c r="B70" s="286">
        <f t="shared" ca="1" si="5"/>
        <v>45887</v>
      </c>
      <c r="C70" s="286">
        <f t="shared" ca="1" si="12"/>
        <v>45887</v>
      </c>
      <c r="D70" s="285">
        <f t="shared" ca="1" si="19"/>
        <v>31</v>
      </c>
      <c r="E70" s="280">
        <f t="shared" ca="1" si="18"/>
        <v>1893655.6147801653</v>
      </c>
      <c r="F70" s="287">
        <f ca="1">'график анн Базова'!F70</f>
        <v>2522.1105708887226</v>
      </c>
      <c r="G70" s="287">
        <f t="shared" ca="1" si="6"/>
        <v>11273.166202772021</v>
      </c>
      <c r="H70" s="280">
        <f ca="1">IF(A69=$D$8,SUM($H$25:H69),IF(A69="","",(G70+F70)))</f>
        <v>13795.276773660744</v>
      </c>
      <c r="I70" s="280" t="str">
        <f t="shared" si="20"/>
        <v/>
      </c>
      <c r="J70" s="280" t="str">
        <f t="shared" si="21"/>
        <v/>
      </c>
      <c r="K70" s="280"/>
      <c r="L70" s="280" t="str">
        <f t="shared" si="22"/>
        <v/>
      </c>
      <c r="M70" s="280" t="str">
        <f t="shared" si="23"/>
        <v/>
      </c>
      <c r="N70" s="283" t="str">
        <f t="shared" si="16"/>
        <v/>
      </c>
      <c r="O70" s="280"/>
      <c r="P70" s="289" t="str">
        <f>IF(A69=$D$8,XIRR(R$24:R69,C$24:C69),"")</f>
        <v/>
      </c>
      <c r="Q70" s="280" t="str">
        <f t="shared" si="11"/>
        <v/>
      </c>
      <c r="R70" s="283">
        <f t="shared" ca="1" si="7"/>
        <v>13795.276773660744</v>
      </c>
      <c r="S70" s="284">
        <f t="shared" ca="1" si="8"/>
        <v>2025</v>
      </c>
      <c r="T70" s="284">
        <f t="shared" ca="1" si="9"/>
        <v>365</v>
      </c>
    </row>
    <row r="71" spans="1:20" x14ac:dyDescent="0.35">
      <c r="A71" s="285">
        <f t="shared" si="10"/>
        <v>47</v>
      </c>
      <c r="B71" s="286">
        <f t="shared" ca="1" si="5"/>
        <v>45918</v>
      </c>
      <c r="C71" s="286">
        <f t="shared" ca="1" si="12"/>
        <v>45918</v>
      </c>
      <c r="D71" s="285">
        <f t="shared" ca="1" si="19"/>
        <v>31</v>
      </c>
      <c r="E71" s="280">
        <f t="shared" ca="1" si="18"/>
        <v>1891105.9572339288</v>
      </c>
      <c r="F71" s="287">
        <f ca="1">'график анн Базова'!F71</f>
        <v>2549.657546236409</v>
      </c>
      <c r="G71" s="287">
        <f t="shared" ca="1" si="6"/>
        <v>11258.171737186189</v>
      </c>
      <c r="H71" s="280">
        <f ca="1">IF(A70=$D$8,SUM($H$25:H70),IF(A70="","",(G71+F71)))</f>
        <v>13807.829283422598</v>
      </c>
      <c r="I71" s="280" t="str">
        <f t="shared" si="20"/>
        <v/>
      </c>
      <c r="J71" s="280" t="str">
        <f t="shared" si="21"/>
        <v/>
      </c>
      <c r="K71" s="280"/>
      <c r="L71" s="280" t="str">
        <f t="shared" si="22"/>
        <v/>
      </c>
      <c r="M71" s="280" t="str">
        <f t="shared" si="23"/>
        <v/>
      </c>
      <c r="N71" s="283" t="str">
        <f t="shared" si="16"/>
        <v/>
      </c>
      <c r="O71" s="280"/>
      <c r="P71" s="289" t="str">
        <f>IF(A70=$D$8,XIRR(R$24:R70,C$24:C70),"")</f>
        <v/>
      </c>
      <c r="Q71" s="280" t="str">
        <f t="shared" si="11"/>
        <v/>
      </c>
      <c r="R71" s="283">
        <f t="shared" ca="1" si="7"/>
        <v>13807.829283422598</v>
      </c>
      <c r="S71" s="284">
        <f t="shared" ca="1" si="8"/>
        <v>2025</v>
      </c>
      <c r="T71" s="284">
        <f t="shared" ca="1" si="9"/>
        <v>365</v>
      </c>
    </row>
    <row r="72" spans="1:20" x14ac:dyDescent="0.35">
      <c r="A72" s="285">
        <f t="shared" si="10"/>
        <v>48</v>
      </c>
      <c r="B72" s="286">
        <f t="shared" ca="1" si="5"/>
        <v>45948</v>
      </c>
      <c r="C72" s="286">
        <f t="shared" ca="1" si="12"/>
        <v>45948</v>
      </c>
      <c r="D72" s="285">
        <f t="shared" ca="1" si="19"/>
        <v>30</v>
      </c>
      <c r="E72" s="280">
        <f t="shared" ca="1" si="18"/>
        <v>1887862.1608085854</v>
      </c>
      <c r="F72" s="287">
        <f ca="1">'график анн Базова'!F72</f>
        <v>3243.7964253435566</v>
      </c>
      <c r="G72" s="287">
        <f t="shared" ca="1" si="6"/>
        <v>10880.335644359591</v>
      </c>
      <c r="H72" s="280">
        <f ca="1">IF(A71=$D$8,SUM($H$25:H71),IF(A71="","",(G72+F72)))</f>
        <v>14124.132069703148</v>
      </c>
      <c r="I72" s="280" t="str">
        <f t="shared" si="20"/>
        <v/>
      </c>
      <c r="J72" s="280" t="str">
        <f t="shared" si="21"/>
        <v/>
      </c>
      <c r="K72" s="280"/>
      <c r="L72" s="280" t="str">
        <f t="shared" si="22"/>
        <v/>
      </c>
      <c r="M72" s="280" t="str">
        <f t="shared" si="23"/>
        <v/>
      </c>
      <c r="N72" s="283" t="str">
        <f t="shared" si="16"/>
        <v/>
      </c>
      <c r="O72" s="280"/>
      <c r="P72" s="289" t="str">
        <f>IF(A71=$D$8,XIRR(R$24:R71,C$24:C71),"")</f>
        <v/>
      </c>
      <c r="Q72" s="280" t="str">
        <f t="shared" si="11"/>
        <v/>
      </c>
      <c r="R72" s="283">
        <f t="shared" ca="1" si="7"/>
        <v>14124.132069703148</v>
      </c>
      <c r="S72" s="284">
        <f t="shared" ca="1" si="8"/>
        <v>2025</v>
      </c>
      <c r="T72" s="284">
        <f t="shared" ca="1" si="9"/>
        <v>365</v>
      </c>
    </row>
    <row r="73" spans="1:20" x14ac:dyDescent="0.35">
      <c r="A73" s="285">
        <f t="shared" si="10"/>
        <v>49</v>
      </c>
      <c r="B73" s="286">
        <f t="shared" ca="1" si="5"/>
        <v>45979</v>
      </c>
      <c r="C73" s="286">
        <f t="shared" ca="1" si="12"/>
        <v>45979</v>
      </c>
      <c r="D73" s="285">
        <f t="shared" ca="1" si="19"/>
        <v>31</v>
      </c>
      <c r="E73" s="280">
        <f t="shared" ca="1" si="18"/>
        <v>1885249.2260469981</v>
      </c>
      <c r="F73" s="287">
        <f ca="1">'график анн Базова'!F73</f>
        <v>2612.9347615873667</v>
      </c>
      <c r="G73" s="287">
        <f t="shared" ca="1" si="6"/>
        <v>11223.728462889399</v>
      </c>
      <c r="H73" s="280">
        <f ca="1">IF(A72=$D$8,SUM($H$25:H72),IF(A72="","",(G73+F73)))</f>
        <v>13836.663224476766</v>
      </c>
      <c r="I73" s="280" t="str">
        <f t="shared" si="20"/>
        <v/>
      </c>
      <c r="J73" s="280" t="str">
        <f t="shared" si="21"/>
        <v/>
      </c>
      <c r="K73" s="280">
        <f>IF($F$8&gt;48,($O$8+$O$10),IF($A$72=$F$8,$K$37+$K$24+$K$49+$K$61,""))</f>
        <v>7500</v>
      </c>
      <c r="L73" s="280" t="str">
        <f t="shared" si="22"/>
        <v/>
      </c>
      <c r="M73" s="280" t="str">
        <f t="shared" si="23"/>
        <v/>
      </c>
      <c r="N73" s="280">
        <f>IF($F$8&gt;48,($N$14),IF(A72=$F$8,N61+N49+N37+N24,""))</f>
        <v>0</v>
      </c>
      <c r="O73" s="280"/>
      <c r="P73" s="289" t="str">
        <f>IF(A72=$D$8,XIRR(R$24:R72,C$24:C72),"")</f>
        <v/>
      </c>
      <c r="Q73" s="280" t="str">
        <f t="shared" si="11"/>
        <v/>
      </c>
      <c r="R73" s="283">
        <f t="shared" ca="1" si="7"/>
        <v>21336.663224476768</v>
      </c>
      <c r="S73" s="284">
        <f t="shared" ca="1" si="8"/>
        <v>2025</v>
      </c>
      <c r="T73" s="284">
        <f t="shared" ca="1" si="9"/>
        <v>365</v>
      </c>
    </row>
    <row r="74" spans="1:20" x14ac:dyDescent="0.35">
      <c r="A74" s="285">
        <f t="shared" si="10"/>
        <v>50</v>
      </c>
      <c r="B74" s="286">
        <f t="shared" ca="1" si="5"/>
        <v>46009</v>
      </c>
      <c r="C74" s="286">
        <f t="shared" ca="1" si="12"/>
        <v>46009</v>
      </c>
      <c r="D74" s="285">
        <f t="shared" ca="1" si="19"/>
        <v>30</v>
      </c>
      <c r="E74" s="280">
        <f t="shared" ca="1" si="18"/>
        <v>1881943.5247753006</v>
      </c>
      <c r="F74" s="287">
        <f ca="1">'график анн Базова'!F74</f>
        <v>3305.7012716974714</v>
      </c>
      <c r="G74" s="287">
        <f t="shared" ca="1" si="6"/>
        <v>10846.639382736153</v>
      </c>
      <c r="H74" s="280">
        <f ca="1">IF(A73=$D$8,SUM($H$25:H73),IF(A73="","",(G74+F74)))</f>
        <v>14152.340654433625</v>
      </c>
      <c r="I74" s="280" t="str">
        <f t="shared" si="20"/>
        <v/>
      </c>
      <c r="J74" s="280" t="str">
        <f t="shared" si="21"/>
        <v/>
      </c>
      <c r="K74" s="280"/>
      <c r="L74" s="280" t="str">
        <f t="shared" si="22"/>
        <v/>
      </c>
      <c r="M74" s="280" t="str">
        <f t="shared" si="23"/>
        <v/>
      </c>
      <c r="N74" s="283" t="str">
        <f t="shared" si="16"/>
        <v/>
      </c>
      <c r="O74" s="280"/>
      <c r="P74" s="289" t="str">
        <f>IF(A73=$D$8,XIRR(R$24:R73,C$24:C73),"")</f>
        <v/>
      </c>
      <c r="Q74" s="280" t="str">
        <f t="shared" si="11"/>
        <v/>
      </c>
      <c r="R74" s="283">
        <f t="shared" ca="1" si="7"/>
        <v>14152.340654433625</v>
      </c>
      <c r="S74" s="284">
        <f t="shared" ca="1" si="8"/>
        <v>2025</v>
      </c>
      <c r="T74" s="284">
        <f t="shared" ca="1" si="9"/>
        <v>365</v>
      </c>
    </row>
    <row r="75" spans="1:20" x14ac:dyDescent="0.35">
      <c r="A75" s="285">
        <f t="shared" si="10"/>
        <v>51</v>
      </c>
      <c r="B75" s="286">
        <f t="shared" ca="1" si="5"/>
        <v>46040</v>
      </c>
      <c r="C75" s="286">
        <f t="shared" ca="1" si="12"/>
        <v>46040</v>
      </c>
      <c r="D75" s="285">
        <f t="shared" ca="1" si="19"/>
        <v>31</v>
      </c>
      <c r="E75" s="280">
        <f t="shared" ca="1" si="18"/>
        <v>1879265.9455358768</v>
      </c>
      <c r="F75" s="287">
        <f ca="1">'график анн Базова'!F75</f>
        <v>2677.5792394237869</v>
      </c>
      <c r="G75" s="287">
        <f t="shared" ca="1" si="6"/>
        <v>11188.540955513432</v>
      </c>
      <c r="H75" s="280">
        <f ca="1">IF(A74=$D$8,SUM($H$25:H74),IF(A74="","",(G75+F75)))</f>
        <v>13866.120194937219</v>
      </c>
      <c r="I75" s="280" t="str">
        <f t="shared" si="20"/>
        <v/>
      </c>
      <c r="J75" s="280" t="str">
        <f t="shared" si="21"/>
        <v/>
      </c>
      <c r="K75" s="280"/>
      <c r="L75" s="280" t="str">
        <f t="shared" si="22"/>
        <v/>
      </c>
      <c r="M75" s="280" t="str">
        <f t="shared" si="23"/>
        <v/>
      </c>
      <c r="N75" s="283" t="str">
        <f t="shared" si="16"/>
        <v/>
      </c>
      <c r="O75" s="280"/>
      <c r="P75" s="289" t="str">
        <f>IF(A74=$D$8,XIRR(R$24:R74,C$24:C74),"")</f>
        <v/>
      </c>
      <c r="Q75" s="280" t="str">
        <f t="shared" si="11"/>
        <v/>
      </c>
      <c r="R75" s="283">
        <f t="shared" ca="1" si="7"/>
        <v>13866.120194937219</v>
      </c>
      <c r="S75" s="284">
        <f t="shared" ca="1" si="8"/>
        <v>2026</v>
      </c>
      <c r="T75" s="284">
        <f t="shared" ca="1" si="9"/>
        <v>365</v>
      </c>
    </row>
    <row r="76" spans="1:20" x14ac:dyDescent="0.35">
      <c r="A76" s="285">
        <f t="shared" si="10"/>
        <v>52</v>
      </c>
      <c r="B76" s="286">
        <f t="shared" ca="1" si="5"/>
        <v>46071</v>
      </c>
      <c r="C76" s="286">
        <f t="shared" ca="1" si="12"/>
        <v>46071</v>
      </c>
      <c r="D76" s="285">
        <f t="shared" ca="1" si="19"/>
        <v>31</v>
      </c>
      <c r="E76" s="280">
        <f t="shared" ca="1" si="18"/>
        <v>1876559.1212624917</v>
      </c>
      <c r="F76" s="287">
        <f ca="1">'график анн Базова'!F76</f>
        <v>2706.8242733851221</v>
      </c>
      <c r="G76" s="287">
        <f t="shared" ca="1" si="6"/>
        <v>11172.622196747543</v>
      </c>
      <c r="H76" s="280">
        <f ca="1">IF(A75=$D$8,SUM($H$25:H75),IF(A75="","",(G76+F76)))</f>
        <v>13879.446470132665</v>
      </c>
      <c r="I76" s="280" t="str">
        <f t="shared" si="20"/>
        <v/>
      </c>
      <c r="J76" s="280" t="str">
        <f t="shared" si="21"/>
        <v/>
      </c>
      <c r="K76" s="280"/>
      <c r="L76" s="280" t="str">
        <f t="shared" si="22"/>
        <v/>
      </c>
      <c r="M76" s="280" t="str">
        <f t="shared" si="23"/>
        <v/>
      </c>
      <c r="N76" s="283" t="str">
        <f t="shared" si="16"/>
        <v/>
      </c>
      <c r="O76" s="280"/>
      <c r="P76" s="289" t="str">
        <f>IF(A75=$D$8,XIRR(R$24:R75,C$24:C75),"")</f>
        <v/>
      </c>
      <c r="Q76" s="280" t="str">
        <f t="shared" si="11"/>
        <v/>
      </c>
      <c r="R76" s="283">
        <f t="shared" ca="1" si="7"/>
        <v>13879.446470132665</v>
      </c>
      <c r="S76" s="284">
        <f t="shared" ca="1" si="8"/>
        <v>2026</v>
      </c>
      <c r="T76" s="284">
        <f t="shared" ca="1" si="9"/>
        <v>365</v>
      </c>
    </row>
    <row r="77" spans="1:20" x14ac:dyDescent="0.35">
      <c r="A77" s="285">
        <f t="shared" si="10"/>
        <v>53</v>
      </c>
      <c r="B77" s="286">
        <f t="shared" ca="1" si="5"/>
        <v>46099</v>
      </c>
      <c r="C77" s="286">
        <f t="shared" ca="1" si="12"/>
        <v>46099</v>
      </c>
      <c r="D77" s="285">
        <f t="shared" ca="1" si="19"/>
        <v>28</v>
      </c>
      <c r="E77" s="280">
        <f t="shared" ca="1" si="18"/>
        <v>1871839.2352503906</v>
      </c>
      <c r="F77" s="287">
        <f ca="1">'график анн Базова'!F77</f>
        <v>4719.8860121011348</v>
      </c>
      <c r="G77" s="287">
        <f t="shared" ca="1" si="6"/>
        <v>10076.865418286257</v>
      </c>
      <c r="H77" s="280">
        <f ca="1">IF(A76=$D$8,SUM($H$25:H76),IF(A76="","",(G77+F77)))</f>
        <v>14796.751430387392</v>
      </c>
      <c r="I77" s="280" t="str">
        <f t="shared" si="20"/>
        <v/>
      </c>
      <c r="J77" s="280" t="str">
        <f t="shared" si="21"/>
        <v/>
      </c>
      <c r="K77" s="280"/>
      <c r="L77" s="280" t="str">
        <f t="shared" si="22"/>
        <v/>
      </c>
      <c r="M77" s="280" t="str">
        <f t="shared" si="23"/>
        <v/>
      </c>
      <c r="N77" s="283" t="str">
        <f t="shared" si="16"/>
        <v/>
      </c>
      <c r="O77" s="280"/>
      <c r="P77" s="289" t="str">
        <f>IF(A76=$D$8,XIRR(R$24:R76,C$24:C76),"")</f>
        <v/>
      </c>
      <c r="Q77" s="280" t="str">
        <f t="shared" si="11"/>
        <v/>
      </c>
      <c r="R77" s="283">
        <f t="shared" ca="1" si="7"/>
        <v>14796.751430387392</v>
      </c>
      <c r="S77" s="284">
        <f t="shared" ca="1" si="8"/>
        <v>2026</v>
      </c>
      <c r="T77" s="284">
        <f t="shared" ca="1" si="9"/>
        <v>365</v>
      </c>
    </row>
    <row r="78" spans="1:20" x14ac:dyDescent="0.35">
      <c r="A78" s="285">
        <f t="shared" si="10"/>
        <v>54</v>
      </c>
      <c r="B78" s="286">
        <f t="shared" ca="1" si="5"/>
        <v>46130</v>
      </c>
      <c r="C78" s="286">
        <f t="shared" ca="1" si="12"/>
        <v>46130</v>
      </c>
      <c r="D78" s="285">
        <f t="shared" ca="1" si="19"/>
        <v>31</v>
      </c>
      <c r="E78" s="280">
        <f t="shared" ca="1" si="18"/>
        <v>1869051.2950229668</v>
      </c>
      <c r="F78" s="287">
        <f ca="1">'график анн Базова'!F78</f>
        <v>2787.9402274238018</v>
      </c>
      <c r="G78" s="287">
        <f t="shared" ca="1" si="6"/>
        <v>11128.468878063966</v>
      </c>
      <c r="H78" s="280">
        <f ca="1">IF(A77=$D$8,SUM($H$25:H77),IF(A77="","",(G78+F78)))</f>
        <v>13916.409105487768</v>
      </c>
      <c r="I78" s="280" t="str">
        <f t="shared" si="20"/>
        <v/>
      </c>
      <c r="J78" s="280" t="str">
        <f t="shared" si="21"/>
        <v/>
      </c>
      <c r="K78" s="280"/>
      <c r="L78" s="280" t="str">
        <f t="shared" si="22"/>
        <v/>
      </c>
      <c r="M78" s="280" t="str">
        <f t="shared" si="23"/>
        <v/>
      </c>
      <c r="N78" s="283" t="str">
        <f t="shared" si="16"/>
        <v/>
      </c>
      <c r="O78" s="280"/>
      <c r="P78" s="289" t="str">
        <f>IF(A77=$D$8,XIRR(R$24:R77,C$24:C77),"")</f>
        <v/>
      </c>
      <c r="Q78" s="280" t="str">
        <f t="shared" si="11"/>
        <v/>
      </c>
      <c r="R78" s="283">
        <f t="shared" ca="1" si="7"/>
        <v>13916.409105487768</v>
      </c>
      <c r="S78" s="284">
        <f t="shared" ca="1" si="8"/>
        <v>2026</v>
      </c>
      <c r="T78" s="284">
        <f t="shared" ca="1" si="9"/>
        <v>365</v>
      </c>
    </row>
    <row r="79" spans="1:20" x14ac:dyDescent="0.35">
      <c r="A79" s="285">
        <f t="shared" si="10"/>
        <v>55</v>
      </c>
      <c r="B79" s="286">
        <f t="shared" ca="1" si="5"/>
        <v>46160</v>
      </c>
      <c r="C79" s="286">
        <f t="shared" ca="1" si="12"/>
        <v>46160</v>
      </c>
      <c r="D79" s="285">
        <f t="shared" ca="1" si="19"/>
        <v>30</v>
      </c>
      <c r="E79" s="280">
        <f t="shared" ca="1" si="18"/>
        <v>1865574.3838392401</v>
      </c>
      <c r="F79" s="287">
        <f ca="1">'график анн Базова'!F79</f>
        <v>3476.911183726821</v>
      </c>
      <c r="G79" s="287">
        <f t="shared" ca="1" si="6"/>
        <v>10753.445806981454</v>
      </c>
      <c r="H79" s="280">
        <f ca="1">IF(A78=$D$8,SUM($H$25:H78),IF(A78="","",(G79+F79)))</f>
        <v>14230.356990708275</v>
      </c>
      <c r="I79" s="280" t="str">
        <f t="shared" si="20"/>
        <v/>
      </c>
      <c r="J79" s="280" t="str">
        <f t="shared" si="21"/>
        <v/>
      </c>
      <c r="K79" s="280"/>
      <c r="L79" s="280" t="str">
        <f t="shared" si="22"/>
        <v/>
      </c>
      <c r="M79" s="280" t="str">
        <f t="shared" si="23"/>
        <v/>
      </c>
      <c r="N79" s="283" t="str">
        <f t="shared" si="16"/>
        <v/>
      </c>
      <c r="O79" s="280"/>
      <c r="P79" s="289" t="str">
        <f>IF(A78=$D$8,XIRR(R$24:R78,C$24:C78),"")</f>
        <v/>
      </c>
      <c r="Q79" s="280" t="str">
        <f t="shared" si="11"/>
        <v/>
      </c>
      <c r="R79" s="283">
        <f t="shared" ca="1" si="7"/>
        <v>14230.356990708275</v>
      </c>
      <c r="S79" s="284">
        <f t="shared" ca="1" si="8"/>
        <v>2026</v>
      </c>
      <c r="T79" s="284">
        <f t="shared" ca="1" si="9"/>
        <v>365</v>
      </c>
    </row>
    <row r="80" spans="1:20" x14ac:dyDescent="0.35">
      <c r="A80" s="285">
        <f t="shared" si="10"/>
        <v>56</v>
      </c>
      <c r="B80" s="286">
        <f t="shared" ca="1" si="5"/>
        <v>46191</v>
      </c>
      <c r="C80" s="286">
        <f t="shared" ca="1" si="12"/>
        <v>46191</v>
      </c>
      <c r="D80" s="285">
        <f t="shared" ca="1" si="19"/>
        <v>31</v>
      </c>
      <c r="E80" s="280">
        <f t="shared" ca="1" si="18"/>
        <v>1862718.0177032254</v>
      </c>
      <c r="F80" s="287">
        <f ca="1">'график анн Базова'!F80</f>
        <v>2856.3661360147416</v>
      </c>
      <c r="G80" s="287">
        <f t="shared" ca="1" si="6"/>
        <v>11091.223049126442</v>
      </c>
      <c r="H80" s="280">
        <f ca="1">IF(A79=$D$8,SUM($H$25:H79),IF(A79="","",(G80+F80)))</f>
        <v>13947.589185141183</v>
      </c>
      <c r="I80" s="280" t="str">
        <f t="shared" si="20"/>
        <v/>
      </c>
      <c r="J80" s="280" t="str">
        <f t="shared" si="21"/>
        <v/>
      </c>
      <c r="K80" s="280"/>
      <c r="L80" s="280" t="str">
        <f t="shared" si="22"/>
        <v/>
      </c>
      <c r="M80" s="280" t="str">
        <f t="shared" si="23"/>
        <v/>
      </c>
      <c r="N80" s="283" t="str">
        <f t="shared" si="16"/>
        <v/>
      </c>
      <c r="O80" s="280"/>
      <c r="P80" s="289" t="str">
        <f>IF(A79=$D$8,XIRR(R$24:R79,C$24:C79),"")</f>
        <v/>
      </c>
      <c r="Q80" s="280" t="str">
        <f t="shared" si="11"/>
        <v/>
      </c>
      <c r="R80" s="283">
        <f t="shared" ca="1" si="7"/>
        <v>13947.589185141183</v>
      </c>
      <c r="S80" s="284">
        <f t="shared" ca="1" si="8"/>
        <v>2026</v>
      </c>
      <c r="T80" s="284">
        <f t="shared" ca="1" si="9"/>
        <v>365</v>
      </c>
    </row>
    <row r="81" spans="1:21" x14ac:dyDescent="0.35">
      <c r="A81" s="285">
        <f t="shared" si="10"/>
        <v>57</v>
      </c>
      <c r="B81" s="286">
        <f t="shared" ca="1" si="5"/>
        <v>46221</v>
      </c>
      <c r="C81" s="286">
        <f t="shared" ca="1" si="12"/>
        <v>46221</v>
      </c>
      <c r="D81" s="285">
        <f t="shared" ca="1" si="19"/>
        <v>30</v>
      </c>
      <c r="E81" s="280">
        <f t="shared" ref="E81:E86" ca="1" si="24">IF(A81&gt;$D$8,"",E80-F81)</f>
        <v>1859174.1646458011</v>
      </c>
      <c r="F81" s="287">
        <f ca="1">'график анн Базова'!F81</f>
        <v>3543.8530574242504</v>
      </c>
      <c r="G81" s="287">
        <f t="shared" ref="G81:G86" ca="1" si="25">E80*D81*$D$9/IF(OR(YEAR(C81)=2020,YEAR(C81)=2024),366,365)</f>
        <v>10717.007773087051</v>
      </c>
      <c r="H81" s="280">
        <f ca="1">IF(A80=$D$8,SUM($H$25:H80),IF(A80="","",(G81+F81)))</f>
        <v>14260.860830511301</v>
      </c>
      <c r="I81" s="280" t="str">
        <f t="shared" si="20"/>
        <v/>
      </c>
      <c r="J81" s="280" t="str">
        <f t="shared" si="21"/>
        <v/>
      </c>
      <c r="K81" s="280"/>
      <c r="L81" s="280" t="str">
        <f t="shared" si="22"/>
        <v/>
      </c>
      <c r="M81" s="280" t="str">
        <f t="shared" si="23"/>
        <v/>
      </c>
      <c r="N81" s="283" t="str">
        <f t="shared" si="16"/>
        <v/>
      </c>
      <c r="O81" s="280"/>
      <c r="P81" s="289" t="str">
        <f>IF(A80=$D$8,XIRR(R$24:R80,C$24:C80),"")</f>
        <v/>
      </c>
      <c r="Q81" s="280" t="str">
        <f t="shared" si="11"/>
        <v/>
      </c>
      <c r="R81" s="283">
        <f t="shared" ca="1" si="7"/>
        <v>14260.860830511301</v>
      </c>
      <c r="S81" s="284">
        <f t="shared" ca="1" si="8"/>
        <v>2026</v>
      </c>
      <c r="T81" s="284">
        <f t="shared" ca="1" si="9"/>
        <v>365</v>
      </c>
    </row>
    <row r="82" spans="1:21" x14ac:dyDescent="0.35">
      <c r="A82" s="285">
        <f t="shared" si="10"/>
        <v>58</v>
      </c>
      <c r="B82" s="286">
        <f t="shared" ca="1" si="5"/>
        <v>46252</v>
      </c>
      <c r="C82" s="286">
        <f t="shared" ca="1" si="12"/>
        <v>46252</v>
      </c>
      <c r="D82" s="285">
        <f t="shared" ca="1" si="19"/>
        <v>31</v>
      </c>
      <c r="E82" s="280">
        <f t="shared" ca="1" si="24"/>
        <v>1856247.8940883162</v>
      </c>
      <c r="F82" s="287">
        <f ca="1">'график анн Базова'!F82</f>
        <v>2926.2705574847787</v>
      </c>
      <c r="G82" s="287">
        <f t="shared" ca="1" si="25"/>
        <v>11053.172430907915</v>
      </c>
      <c r="H82" s="280">
        <f ca="1">IF(A81=$D$8,SUM($H$25:H81),IF(A81="","",(G82+F82)))</f>
        <v>13979.442988392693</v>
      </c>
      <c r="I82" s="280" t="str">
        <f t="shared" si="20"/>
        <v/>
      </c>
      <c r="J82" s="280" t="str">
        <f t="shared" si="21"/>
        <v/>
      </c>
      <c r="K82" s="280"/>
      <c r="L82" s="280" t="str">
        <f t="shared" si="22"/>
        <v/>
      </c>
      <c r="M82" s="280" t="str">
        <f t="shared" si="23"/>
        <v/>
      </c>
      <c r="N82" s="283" t="str">
        <f t="shared" si="16"/>
        <v/>
      </c>
      <c r="O82" s="280"/>
      <c r="P82" s="289" t="str">
        <f>IF(A81=$D$8,XIRR(R$24:R81,C$24:C81),"")</f>
        <v/>
      </c>
      <c r="Q82" s="280" t="str">
        <f t="shared" si="11"/>
        <v/>
      </c>
      <c r="R82" s="283">
        <f t="shared" ca="1" si="7"/>
        <v>13979.442988392693</v>
      </c>
      <c r="S82" s="284">
        <f t="shared" ca="1" si="8"/>
        <v>2026</v>
      </c>
      <c r="T82" s="284">
        <f t="shared" ca="1" si="9"/>
        <v>365</v>
      </c>
    </row>
    <row r="83" spans="1:21" x14ac:dyDescent="0.35">
      <c r="A83" s="285">
        <f t="shared" si="10"/>
        <v>59</v>
      </c>
      <c r="B83" s="286">
        <f t="shared" ca="1" si="5"/>
        <v>46283</v>
      </c>
      <c r="C83" s="286">
        <f t="shared" ca="1" si="12"/>
        <v>46283</v>
      </c>
      <c r="D83" s="285">
        <f t="shared" ca="1" si="19"/>
        <v>31</v>
      </c>
      <c r="E83" s="280">
        <f t="shared" ca="1" si="24"/>
        <v>1853289.6622426</v>
      </c>
      <c r="F83" s="287">
        <f ca="1">'график анн Базова'!F83</f>
        <v>2958.2318457162</v>
      </c>
      <c r="G83" s="287">
        <f t="shared" ca="1" si="25"/>
        <v>11035.775151155196</v>
      </c>
      <c r="H83" s="280">
        <f ca="1">IF(A82=$D$8,SUM($H$25:H82),IF(A82="","",(G83+F83)))</f>
        <v>13994.006996871396</v>
      </c>
      <c r="I83" s="280" t="str">
        <f t="shared" si="20"/>
        <v/>
      </c>
      <c r="J83" s="280" t="str">
        <f t="shared" si="21"/>
        <v/>
      </c>
      <c r="K83" s="280"/>
      <c r="L83" s="280" t="str">
        <f t="shared" si="22"/>
        <v/>
      </c>
      <c r="M83" s="280" t="str">
        <f t="shared" si="23"/>
        <v/>
      </c>
      <c r="N83" s="283" t="str">
        <f t="shared" si="16"/>
        <v/>
      </c>
      <c r="O83" s="280"/>
      <c r="P83" s="289" t="str">
        <f>IF(A82=$D$8,XIRR(R$24:R82,C$24:C82),"")</f>
        <v/>
      </c>
      <c r="Q83" s="280" t="str">
        <f t="shared" si="11"/>
        <v/>
      </c>
      <c r="R83" s="283">
        <f t="shared" ca="1" si="7"/>
        <v>13994.006996871396</v>
      </c>
      <c r="S83" s="284">
        <f t="shared" ca="1" si="8"/>
        <v>2026</v>
      </c>
      <c r="T83" s="284">
        <f t="shared" ca="1" si="9"/>
        <v>365</v>
      </c>
    </row>
    <row r="84" spans="1:21" x14ac:dyDescent="0.35">
      <c r="A84" s="285">
        <f t="shared" si="10"/>
        <v>60</v>
      </c>
      <c r="B84" s="286">
        <f t="shared" ca="1" si="5"/>
        <v>46313</v>
      </c>
      <c r="C84" s="286">
        <f t="shared" ca="1" si="12"/>
        <v>46313</v>
      </c>
      <c r="D84" s="285">
        <f t="shared" ca="1" si="19"/>
        <v>30</v>
      </c>
      <c r="E84" s="280">
        <f t="shared" ca="1" si="24"/>
        <v>1849646.1527595124</v>
      </c>
      <c r="F84" s="287">
        <f ca="1">'график анн Базова'!F84</f>
        <v>3643.5094830875169</v>
      </c>
      <c r="G84" s="287">
        <f t="shared" ca="1" si="25"/>
        <v>10662.762440299892</v>
      </c>
      <c r="H84" s="280">
        <f ca="1">IF(A83=$D$8,SUM($H$25:H83),IF(A83="","",(G84+F84)))</f>
        <v>14306.271923387409</v>
      </c>
      <c r="I84" s="280" t="str">
        <f t="shared" si="20"/>
        <v/>
      </c>
      <c r="J84" s="280" t="str">
        <f t="shared" si="21"/>
        <v/>
      </c>
      <c r="K84" s="280"/>
      <c r="L84" s="280" t="str">
        <f t="shared" si="22"/>
        <v/>
      </c>
      <c r="M84" s="280" t="str">
        <f t="shared" si="23"/>
        <v/>
      </c>
      <c r="N84" s="283" t="str">
        <f t="shared" si="16"/>
        <v/>
      </c>
      <c r="O84" s="280"/>
      <c r="P84" s="289" t="str">
        <f>IF(A83=$D$8,XIRR(R$24:R83,C$24:C83),"")</f>
        <v/>
      </c>
      <c r="Q84" s="280" t="str">
        <f t="shared" si="11"/>
        <v/>
      </c>
      <c r="R84" s="283">
        <f t="shared" ca="1" si="7"/>
        <v>14306.271923387409</v>
      </c>
      <c r="S84" s="284">
        <f t="shared" ca="1" si="8"/>
        <v>2026</v>
      </c>
      <c r="T84" s="284">
        <f t="shared" ca="1" si="9"/>
        <v>365</v>
      </c>
    </row>
    <row r="85" spans="1:21" x14ac:dyDescent="0.35">
      <c r="A85" s="285">
        <f t="shared" si="10"/>
        <v>61</v>
      </c>
      <c r="B85" s="286">
        <f t="shared" ca="1" si="5"/>
        <v>46344</v>
      </c>
      <c r="C85" s="286">
        <f t="shared" ca="1" si="12"/>
        <v>46344</v>
      </c>
      <c r="D85" s="285">
        <f t="shared" ca="1" si="19"/>
        <v>31</v>
      </c>
      <c r="E85" s="280">
        <f t="shared" ca="1" si="24"/>
        <v>1846615.8154289157</v>
      </c>
      <c r="F85" s="287">
        <f ca="1">'график анн Базова'!F85</f>
        <v>3030.3373305967762</v>
      </c>
      <c r="G85" s="287">
        <f t="shared" ca="1" si="25"/>
        <v>10996.526442433265</v>
      </c>
      <c r="H85" s="280">
        <f ca="1">IF(A84=$D$8,SUM($H$25:H84),IF(A84="","",(G85+F85)))</f>
        <v>14026.863773030042</v>
      </c>
      <c r="I85" s="292" t="str">
        <f t="shared" si="20"/>
        <v/>
      </c>
      <c r="J85" s="292" t="str">
        <f t="shared" si="21"/>
        <v/>
      </c>
      <c r="K85" s="280">
        <f>IF($F$8&gt;60,($O$8+$O$10),IF($A$84=$F$8,$K$37+$K$24+$K$49+$K$61+$K$73,""))</f>
        <v>7500</v>
      </c>
      <c r="L85" s="292" t="str">
        <f t="shared" si="22"/>
        <v/>
      </c>
      <c r="M85" s="292" t="str">
        <f t="shared" si="23"/>
        <v/>
      </c>
      <c r="N85" s="280">
        <f>IF($F$8&gt;60,($N$14),IF(A84=$F$8,N73+N61+N49+N37+N24,""))</f>
        <v>0</v>
      </c>
      <c r="O85" s="292"/>
      <c r="P85" s="289" t="str">
        <f>IF(A84=$D$8,XIRR(R$24:R84,C$24:C84),"")</f>
        <v/>
      </c>
      <c r="Q85" s="292" t="str">
        <f t="shared" si="11"/>
        <v/>
      </c>
      <c r="R85" s="283">
        <f t="shared" ca="1" si="7"/>
        <v>21526.86377303004</v>
      </c>
      <c r="S85" s="284">
        <f t="shared" ca="1" si="8"/>
        <v>2026</v>
      </c>
      <c r="T85" s="284">
        <f t="shared" ca="1" si="9"/>
        <v>365</v>
      </c>
      <c r="U85" s="234"/>
    </row>
    <row r="86" spans="1:21" x14ac:dyDescent="0.35">
      <c r="A86" s="285">
        <f t="shared" si="10"/>
        <v>62</v>
      </c>
      <c r="B86" s="286">
        <f t="shared" ca="1" si="5"/>
        <v>46374</v>
      </c>
      <c r="C86" s="286">
        <f t="shared" ca="1" si="12"/>
        <v>46374</v>
      </c>
      <c r="D86" s="285">
        <f t="shared" ca="1" si="19"/>
        <v>30</v>
      </c>
      <c r="E86" s="280">
        <f t="shared" ca="1" si="24"/>
        <v>1842901.764299233</v>
      </c>
      <c r="F86" s="287">
        <f ca="1">'график анн Базова'!F86</f>
        <v>3714.0511296825716</v>
      </c>
      <c r="G86" s="287">
        <f t="shared" ca="1" si="25"/>
        <v>10624.364965481434</v>
      </c>
      <c r="H86" s="280">
        <f ca="1">IF(A85=$D$8,SUM($H$25:H85),IF(A85="","",(G86+F86)))</f>
        <v>14338.416095164006</v>
      </c>
      <c r="I86" s="280" t="str">
        <f t="shared" si="20"/>
        <v/>
      </c>
      <c r="J86" s="280" t="str">
        <f t="shared" si="21"/>
        <v/>
      </c>
      <c r="K86" s="280"/>
      <c r="L86" s="280" t="str">
        <f t="shared" si="22"/>
        <v/>
      </c>
      <c r="M86" s="280" t="str">
        <f t="shared" si="23"/>
        <v/>
      </c>
      <c r="N86" s="283" t="str">
        <f t="shared" si="16"/>
        <v/>
      </c>
      <c r="O86" s="280"/>
      <c r="P86" s="289" t="str">
        <f>IF(A85=$D$8,XIRR(R$24:R85,C$24:C85),"")</f>
        <v/>
      </c>
      <c r="Q86" s="280" t="str">
        <f t="shared" si="11"/>
        <v/>
      </c>
      <c r="R86" s="283">
        <f t="shared" ca="1" si="7"/>
        <v>14338.416095164006</v>
      </c>
      <c r="S86" s="284">
        <f t="shared" ca="1" si="8"/>
        <v>2026</v>
      </c>
      <c r="T86" s="284">
        <f t="shared" ca="1" si="9"/>
        <v>365</v>
      </c>
    </row>
    <row r="87" spans="1:21" x14ac:dyDescent="0.35">
      <c r="A87" s="285">
        <f t="shared" si="10"/>
        <v>63</v>
      </c>
      <c r="B87" s="286">
        <f t="shared" ca="1" si="5"/>
        <v>46405</v>
      </c>
      <c r="C87" s="286">
        <f t="shared" ca="1" si="12"/>
        <v>46405</v>
      </c>
      <c r="D87" s="285">
        <f t="shared" ca="1" si="19"/>
        <v>31</v>
      </c>
      <c r="E87" s="280">
        <f t="shared" ref="E87:E106" ca="1" si="26">IF(A87&gt;$D$8,"",E86-F87)</f>
        <v>1839797.7634644287</v>
      </c>
      <c r="F87" s="287">
        <f ca="1">'график анн Базова'!F87</f>
        <v>3104.000834804312</v>
      </c>
      <c r="G87" s="287">
        <f t="shared" ref="G87:G106" ca="1" si="27">E86*D87*$D$9/IF(OR(YEAR(C87)=2020,YEAR(C87)=2024),366,365)</f>
        <v>10956.42966720366</v>
      </c>
      <c r="H87" s="280">
        <f ca="1">IF(A86=$D$8,SUM($H$25:H86),IF(A86="","",(G87+F87)))</f>
        <v>14060.430502007972</v>
      </c>
      <c r="I87" s="280" t="str">
        <f t="shared" si="20"/>
        <v/>
      </c>
      <c r="J87" s="280" t="str">
        <f t="shared" si="21"/>
        <v/>
      </c>
      <c r="K87" s="280"/>
      <c r="L87" s="280" t="str">
        <f t="shared" si="22"/>
        <v/>
      </c>
      <c r="M87" s="280" t="str">
        <f t="shared" si="23"/>
        <v/>
      </c>
      <c r="N87" s="283" t="str">
        <f t="shared" si="16"/>
        <v/>
      </c>
      <c r="O87" s="280"/>
      <c r="P87" s="289" t="str">
        <f>IF(A86=$D$8,XIRR(R$24:R86,C$24:C86),"")</f>
        <v/>
      </c>
      <c r="Q87" s="280" t="str">
        <f t="shared" si="11"/>
        <v/>
      </c>
      <c r="R87" s="283">
        <f t="shared" ca="1" si="7"/>
        <v>14060.430502007972</v>
      </c>
      <c r="S87" s="284">
        <f t="shared" ca="1" si="8"/>
        <v>2027</v>
      </c>
      <c r="T87" s="284">
        <f t="shared" ca="1" si="9"/>
        <v>365</v>
      </c>
    </row>
    <row r="88" spans="1:21" x14ac:dyDescent="0.35">
      <c r="A88" s="285">
        <f t="shared" si="10"/>
        <v>64</v>
      </c>
      <c r="B88" s="286">
        <f t="shared" ca="1" si="5"/>
        <v>46436</v>
      </c>
      <c r="C88" s="286">
        <f t="shared" ca="1" si="12"/>
        <v>46436</v>
      </c>
      <c r="D88" s="285">
        <f t="shared" ca="1" si="19"/>
        <v>31</v>
      </c>
      <c r="E88" s="280">
        <f t="shared" ca="1" si="26"/>
        <v>1836659.8601372188</v>
      </c>
      <c r="F88" s="287">
        <f ca="1">'график анн Базова'!F88</f>
        <v>3137.903327209875</v>
      </c>
      <c r="G88" s="287">
        <f t="shared" ca="1" si="27"/>
        <v>10937.975744432357</v>
      </c>
      <c r="H88" s="280">
        <f ca="1">IF(A87=$D$8,SUM($H$25:H87),IF(A87="","",(G88+F88)))</f>
        <v>14075.879071642232</v>
      </c>
      <c r="I88" s="280" t="str">
        <f t="shared" si="20"/>
        <v/>
      </c>
      <c r="J88" s="280" t="str">
        <f t="shared" si="21"/>
        <v/>
      </c>
      <c r="K88" s="280"/>
      <c r="L88" s="280" t="str">
        <f t="shared" si="22"/>
        <v/>
      </c>
      <c r="M88" s="280" t="str">
        <f t="shared" si="23"/>
        <v/>
      </c>
      <c r="N88" s="283" t="str">
        <f t="shared" si="16"/>
        <v/>
      </c>
      <c r="O88" s="280"/>
      <c r="P88" s="289" t="str">
        <f>IF(A87=$D$8,XIRR(R$24:R87,C$24:C87),"")</f>
        <v/>
      </c>
      <c r="Q88" s="280" t="str">
        <f t="shared" si="11"/>
        <v/>
      </c>
      <c r="R88" s="283">
        <f t="shared" ca="1" si="7"/>
        <v>14075.879071642232</v>
      </c>
      <c r="S88" s="284">
        <f t="shared" ca="1" si="8"/>
        <v>2027</v>
      </c>
      <c r="T88" s="284">
        <f t="shared" ca="1" si="9"/>
        <v>365</v>
      </c>
    </row>
    <row r="89" spans="1:21" x14ac:dyDescent="0.35">
      <c r="A89" s="285">
        <f t="shared" si="10"/>
        <v>65</v>
      </c>
      <c r="B89" s="286">
        <f t="shared" ca="1" si="5"/>
        <v>46464</v>
      </c>
      <c r="C89" s="286">
        <f t="shared" ca="1" si="12"/>
        <v>46464</v>
      </c>
      <c r="D89" s="285">
        <f t="shared" ca="1" si="19"/>
        <v>28</v>
      </c>
      <c r="E89" s="280">
        <f t="shared" ca="1" si="26"/>
        <v>1831546.3597156387</v>
      </c>
      <c r="F89" s="287">
        <f ca="1">'график анн Базова'!F89</f>
        <v>5113.5004215802692</v>
      </c>
      <c r="G89" s="287">
        <f t="shared" ca="1" si="27"/>
        <v>9862.6118516957522</v>
      </c>
      <c r="H89" s="280">
        <f ca="1">IF(A88=$D$8,SUM($H$25:H88),IF(A88="","",(G89+F89)))</f>
        <v>14976.112273276021</v>
      </c>
      <c r="I89" s="280" t="str">
        <f t="shared" si="20"/>
        <v/>
      </c>
      <c r="J89" s="280" t="str">
        <f t="shared" si="21"/>
        <v/>
      </c>
      <c r="K89" s="280"/>
      <c r="L89" s="280" t="str">
        <f t="shared" si="22"/>
        <v/>
      </c>
      <c r="M89" s="280" t="str">
        <f t="shared" si="23"/>
        <v/>
      </c>
      <c r="N89" s="283" t="str">
        <f t="shared" si="16"/>
        <v/>
      </c>
      <c r="O89" s="280"/>
      <c r="P89" s="289" t="str">
        <f>IF(A88=$D$8,XIRR(R$24:R88,C$24:C88),"")</f>
        <v/>
      </c>
      <c r="Q89" s="280" t="str">
        <f t="shared" si="11"/>
        <v/>
      </c>
      <c r="R89" s="283">
        <f t="shared" ca="1" si="7"/>
        <v>14976.112273276021</v>
      </c>
      <c r="S89" s="284">
        <f t="shared" ca="1" si="8"/>
        <v>2027</v>
      </c>
      <c r="T89" s="284">
        <f t="shared" ca="1" si="9"/>
        <v>365</v>
      </c>
    </row>
    <row r="90" spans="1:21" x14ac:dyDescent="0.35">
      <c r="A90" s="285">
        <f t="shared" si="10"/>
        <v>66</v>
      </c>
      <c r="B90" s="286">
        <f t="shared" ref="B90:B108" ca="1" si="28">EDATE($B$24,A90)</f>
        <v>46495</v>
      </c>
      <c r="C90" s="286">
        <f t="shared" ca="1" si="12"/>
        <v>46495</v>
      </c>
      <c r="D90" s="285">
        <f t="shared" ca="1" si="19"/>
        <v>31</v>
      </c>
      <c r="E90" s="280">
        <f t="shared" ca="1" si="26"/>
        <v>1828318.3329742234</v>
      </c>
      <c r="F90" s="287">
        <f ca="1">'график анн Базова'!F90</f>
        <v>3228.0267414151531</v>
      </c>
      <c r="G90" s="287">
        <f t="shared" ca="1" si="27"/>
        <v>10888.919453651881</v>
      </c>
      <c r="H90" s="280">
        <f ca="1">IF(A89=$D$8,SUM($H$25:H89),IF(A89="","",(G90+F90)))</f>
        <v>14116.946195067034</v>
      </c>
      <c r="I90" s="280" t="str">
        <f t="shared" si="20"/>
        <v/>
      </c>
      <c r="J90" s="280" t="str">
        <f t="shared" si="21"/>
        <v/>
      </c>
      <c r="K90" s="280"/>
      <c r="L90" s="280" t="str">
        <f t="shared" si="22"/>
        <v/>
      </c>
      <c r="M90" s="280" t="str">
        <f t="shared" si="23"/>
        <v/>
      </c>
      <c r="N90" s="283" t="str">
        <f t="shared" si="16"/>
        <v/>
      </c>
      <c r="O90" s="280"/>
      <c r="P90" s="289" t="str">
        <f>IF(A89=$D$8,XIRR(R$24:R89,C$24:C89),"")</f>
        <v/>
      </c>
      <c r="Q90" s="280" t="str">
        <f t="shared" si="11"/>
        <v/>
      </c>
      <c r="R90" s="283">
        <f t="shared" ref="R90:R153" ca="1" si="29">SUM(H90:Q90)</f>
        <v>14116.946195067034</v>
      </c>
      <c r="S90" s="284">
        <f t="shared" ref="S90:S153" ca="1" si="30">IF(C90="","",YEAR(C90))</f>
        <v>2027</v>
      </c>
      <c r="T90" s="284">
        <f t="shared" ref="T90:T153" ca="1" si="31">IF(OR(S90=2024,S90=2028,S90=2016,S90=2020,S90=2024,S90=2028,S90=2032,S90=2036,S90=2040),366,365)</f>
        <v>365</v>
      </c>
    </row>
    <row r="91" spans="1:21" x14ac:dyDescent="0.35">
      <c r="A91" s="285">
        <f t="shared" ref="A91:A154" si="32">IF(A90&lt;$D$8,A90+1,"")</f>
        <v>67</v>
      </c>
      <c r="B91" s="286">
        <f t="shared" ca="1" si="28"/>
        <v>46525</v>
      </c>
      <c r="C91" s="286">
        <f t="shared" ca="1" si="12"/>
        <v>46525</v>
      </c>
      <c r="D91" s="285">
        <f t="shared" ca="1" si="19"/>
        <v>30</v>
      </c>
      <c r="E91" s="280">
        <f t="shared" ca="1" si="26"/>
        <v>1824410.8799614992</v>
      </c>
      <c r="F91" s="287">
        <f ca="1">'график анн Базова'!F91</f>
        <v>3907.4530127242251</v>
      </c>
      <c r="G91" s="287">
        <f t="shared" ca="1" si="27"/>
        <v>10519.091778755806</v>
      </c>
      <c r="H91" s="280">
        <f ca="1">IF(A90=$D$8,SUM($H$25:H90),IF(A90="","",(G91+F91)))</f>
        <v>14426.544791480032</v>
      </c>
      <c r="I91" s="280" t="str">
        <f t="shared" si="20"/>
        <v/>
      </c>
      <c r="J91" s="280" t="str">
        <f t="shared" si="21"/>
        <v/>
      </c>
      <c r="K91" s="280"/>
      <c r="L91" s="280" t="str">
        <f t="shared" si="22"/>
        <v/>
      </c>
      <c r="M91" s="280" t="str">
        <f t="shared" si="23"/>
        <v/>
      </c>
      <c r="N91" s="283" t="str">
        <f t="shared" si="16"/>
        <v/>
      </c>
      <c r="O91" s="280"/>
      <c r="P91" s="289" t="str">
        <f>IF(A90=$D$8,XIRR(R$24:R90,C$24:C90),"")</f>
        <v/>
      </c>
      <c r="Q91" s="280" t="str">
        <f t="shared" si="11"/>
        <v/>
      </c>
      <c r="R91" s="283">
        <f t="shared" ca="1" si="29"/>
        <v>14426.544791480032</v>
      </c>
      <c r="S91" s="284">
        <f t="shared" ca="1" si="30"/>
        <v>2027</v>
      </c>
      <c r="T91" s="284">
        <f t="shared" ca="1" si="31"/>
        <v>365</v>
      </c>
    </row>
    <row r="92" spans="1:21" x14ac:dyDescent="0.35">
      <c r="A92" s="285">
        <f t="shared" si="32"/>
        <v>68</v>
      </c>
      <c r="B92" s="286">
        <f t="shared" ca="1" si="28"/>
        <v>46556</v>
      </c>
      <c r="C92" s="286">
        <f t="shared" ca="1" si="12"/>
        <v>46556</v>
      </c>
      <c r="D92" s="285">
        <f t="shared" ca="1" si="19"/>
        <v>31</v>
      </c>
      <c r="E92" s="280">
        <f t="shared" ca="1" si="26"/>
        <v>1821104.9181417613</v>
      </c>
      <c r="F92" s="287">
        <f ca="1">'график анн Базова'!F92</f>
        <v>3305.9618197380332</v>
      </c>
      <c r="G92" s="287">
        <f t="shared" ca="1" si="27"/>
        <v>10846.497560319052</v>
      </c>
      <c r="H92" s="280">
        <f ca="1">IF(A91=$D$8,SUM($H$25:H91),IF(A91="","",(G92+F92)))</f>
        <v>14152.459380057086</v>
      </c>
      <c r="I92" s="280" t="str">
        <f t="shared" si="20"/>
        <v/>
      </c>
      <c r="J92" s="280" t="str">
        <f t="shared" si="21"/>
        <v/>
      </c>
      <c r="K92" s="280"/>
      <c r="L92" s="280" t="str">
        <f t="shared" si="22"/>
        <v/>
      </c>
      <c r="M92" s="280" t="str">
        <f t="shared" si="23"/>
        <v/>
      </c>
      <c r="N92" s="283" t="str">
        <f t="shared" si="16"/>
        <v/>
      </c>
      <c r="O92" s="280"/>
      <c r="P92" s="289" t="str">
        <f>IF(A91=$D$8,XIRR(R$24:R91,C$24:C91),"")</f>
        <v/>
      </c>
      <c r="Q92" s="280" t="str">
        <f t="shared" ref="Q92:Q155" si="33">IF(A91=$D$8,G92+M92+F92+I92+J92+K92+L92+N92+O92,"")</f>
        <v/>
      </c>
      <c r="R92" s="283">
        <f t="shared" ca="1" si="29"/>
        <v>14152.459380057086</v>
      </c>
      <c r="S92" s="284">
        <f t="shared" ca="1" si="30"/>
        <v>2027</v>
      </c>
      <c r="T92" s="284">
        <f t="shared" ca="1" si="31"/>
        <v>365</v>
      </c>
    </row>
    <row r="93" spans="1:21" x14ac:dyDescent="0.35">
      <c r="A93" s="285">
        <f t="shared" si="32"/>
        <v>69</v>
      </c>
      <c r="B93" s="286">
        <f t="shared" ca="1" si="28"/>
        <v>46586</v>
      </c>
      <c r="C93" s="286">
        <f t="shared" ref="C93:C156" ca="1" si="34">IF(B93&gt;$E$20,"",IF(B93=$E$20,B93-1,B93))</f>
        <v>46586</v>
      </c>
      <c r="D93" s="285">
        <f t="shared" ca="1" si="19"/>
        <v>30</v>
      </c>
      <c r="E93" s="280">
        <f t="shared" ca="1" si="26"/>
        <v>1817121.2203223971</v>
      </c>
      <c r="F93" s="287">
        <f ca="1">'график анн Базова'!F93</f>
        <v>3983.6978193643299</v>
      </c>
      <c r="G93" s="287">
        <f t="shared" ca="1" si="27"/>
        <v>10477.589939993697</v>
      </c>
      <c r="H93" s="280">
        <f ca="1">IF(A92=$D$8,SUM($H$25:H92),IF(A92="","",(G93+F93)))</f>
        <v>14461.287759358027</v>
      </c>
      <c r="I93" s="280" t="str">
        <f t="shared" si="20"/>
        <v/>
      </c>
      <c r="J93" s="280" t="str">
        <f t="shared" si="21"/>
        <v/>
      </c>
      <c r="K93" s="280"/>
      <c r="L93" s="280" t="str">
        <f t="shared" si="22"/>
        <v/>
      </c>
      <c r="M93" s="280" t="str">
        <f t="shared" si="23"/>
        <v/>
      </c>
      <c r="N93" s="283" t="str">
        <f t="shared" si="16"/>
        <v/>
      </c>
      <c r="O93" s="280"/>
      <c r="P93" s="289" t="str">
        <f>IF(A92=$D$8,XIRR(R$24:R92,C$24:C92),"")</f>
        <v/>
      </c>
      <c r="Q93" s="280" t="str">
        <f t="shared" si="33"/>
        <v/>
      </c>
      <c r="R93" s="283">
        <f t="shared" ca="1" si="29"/>
        <v>14461.287759358027</v>
      </c>
      <c r="S93" s="284">
        <f t="shared" ca="1" si="30"/>
        <v>2027</v>
      </c>
      <c r="T93" s="284">
        <f t="shared" ca="1" si="31"/>
        <v>365</v>
      </c>
    </row>
    <row r="94" spans="1:21" x14ac:dyDescent="0.35">
      <c r="A94" s="285">
        <f t="shared" si="32"/>
        <v>70</v>
      </c>
      <c r="B94" s="286">
        <f t="shared" ca="1" si="28"/>
        <v>46617</v>
      </c>
      <c r="C94" s="286">
        <f t="shared" ca="1" si="34"/>
        <v>46617</v>
      </c>
      <c r="D94" s="285">
        <f t="shared" ca="1" si="19"/>
        <v>31</v>
      </c>
      <c r="E94" s="280">
        <f t="shared" ca="1" si="26"/>
        <v>1813735.6394420639</v>
      </c>
      <c r="F94" s="287">
        <f ca="1">'график анн Базова'!F94</f>
        <v>3385.5808803332257</v>
      </c>
      <c r="G94" s="287">
        <f t="shared" ca="1" si="27"/>
        <v>10803.159035889319</v>
      </c>
      <c r="H94" s="280">
        <f ca="1">IF(A93=$D$8,SUM($H$25:H93),IF(A93="","",(G94+F94)))</f>
        <v>14188.739916222545</v>
      </c>
      <c r="I94" s="280" t="str">
        <f t="shared" si="20"/>
        <v/>
      </c>
      <c r="J94" s="280" t="str">
        <f t="shared" si="21"/>
        <v/>
      </c>
      <c r="K94" s="280"/>
      <c r="L94" s="280" t="str">
        <f t="shared" si="22"/>
        <v/>
      </c>
      <c r="M94" s="280" t="str">
        <f t="shared" si="23"/>
        <v/>
      </c>
      <c r="N94" s="283" t="str">
        <f t="shared" ref="N94:N156" si="35">IF(A93=$D$8,$N$24,"")</f>
        <v/>
      </c>
      <c r="O94" s="280"/>
      <c r="P94" s="289" t="str">
        <f>IF(A93=$D$8,XIRR(R$24:R93,C$24:C93),"")</f>
        <v/>
      </c>
      <c r="Q94" s="280" t="str">
        <f t="shared" si="33"/>
        <v/>
      </c>
      <c r="R94" s="283">
        <f t="shared" ca="1" si="29"/>
        <v>14188.739916222545</v>
      </c>
      <c r="S94" s="284">
        <f t="shared" ca="1" si="30"/>
        <v>2027</v>
      </c>
      <c r="T94" s="284">
        <f t="shared" ca="1" si="31"/>
        <v>365</v>
      </c>
    </row>
    <row r="95" spans="1:21" x14ac:dyDescent="0.35">
      <c r="A95" s="285">
        <f t="shared" si="32"/>
        <v>71</v>
      </c>
      <c r="B95" s="286">
        <f t="shared" ca="1" si="28"/>
        <v>46648</v>
      </c>
      <c r="C95" s="286">
        <f t="shared" ca="1" si="34"/>
        <v>46648</v>
      </c>
      <c r="D95" s="285">
        <f t="shared" ca="1" si="19"/>
        <v>31</v>
      </c>
      <c r="E95" s="280">
        <f t="shared" ca="1" si="26"/>
        <v>1810313.0805980661</v>
      </c>
      <c r="F95" s="287">
        <f ca="1">'график анн Базова'!F95</f>
        <v>3422.5588439977073</v>
      </c>
      <c r="G95" s="287">
        <f t="shared" ca="1" si="27"/>
        <v>10783.031061888436</v>
      </c>
      <c r="H95" s="280">
        <f ca="1">IF(A94=$D$8,SUM($H$25:H94),IF(A94="","",(G95+F95)))</f>
        <v>14205.589905886143</v>
      </c>
      <c r="I95" s="280" t="str">
        <f t="shared" si="20"/>
        <v/>
      </c>
      <c r="J95" s="280" t="str">
        <f t="shared" si="21"/>
        <v/>
      </c>
      <c r="K95" s="280"/>
      <c r="L95" s="280" t="str">
        <f t="shared" si="22"/>
        <v/>
      </c>
      <c r="M95" s="280" t="str">
        <f t="shared" si="23"/>
        <v/>
      </c>
      <c r="N95" s="283" t="str">
        <f t="shared" si="35"/>
        <v/>
      </c>
      <c r="O95" s="280"/>
      <c r="P95" s="289" t="str">
        <f>IF(A94=$D$8,XIRR(R$24:R94,C$24:C94),"")</f>
        <v/>
      </c>
      <c r="Q95" s="280" t="str">
        <f t="shared" si="33"/>
        <v/>
      </c>
      <c r="R95" s="283">
        <f t="shared" ca="1" si="29"/>
        <v>14205.589905886143</v>
      </c>
      <c r="S95" s="284">
        <f t="shared" ca="1" si="30"/>
        <v>2027</v>
      </c>
      <c r="T95" s="284">
        <f t="shared" ca="1" si="31"/>
        <v>365</v>
      </c>
    </row>
    <row r="96" spans="1:21" x14ac:dyDescent="0.35">
      <c r="A96" s="285">
        <f t="shared" si="32"/>
        <v>72</v>
      </c>
      <c r="B96" s="286">
        <f t="shared" ca="1" si="28"/>
        <v>46678</v>
      </c>
      <c r="C96" s="286">
        <f t="shared" ca="1" si="34"/>
        <v>46678</v>
      </c>
      <c r="D96" s="285">
        <f t="shared" ca="1" si="19"/>
        <v>30</v>
      </c>
      <c r="E96" s="280">
        <f t="shared" ca="1" si="26"/>
        <v>1806215.3145341987</v>
      </c>
      <c r="F96" s="287">
        <f ca="1">'график анн Базова'!F96</f>
        <v>4097.7660638672787</v>
      </c>
      <c r="G96" s="287">
        <f t="shared" ca="1" si="27"/>
        <v>10415.499915769697</v>
      </c>
      <c r="H96" s="280">
        <f ca="1">IF(A95=$D$8,SUM($H$25:H95),IF(A95="","",(G96+F96)))</f>
        <v>14513.265979636975</v>
      </c>
      <c r="I96" s="280" t="str">
        <f t="shared" si="20"/>
        <v/>
      </c>
      <c r="J96" s="280" t="str">
        <f t="shared" si="21"/>
        <v/>
      </c>
      <c r="K96" s="280"/>
      <c r="L96" s="280" t="str">
        <f t="shared" si="22"/>
        <v/>
      </c>
      <c r="M96" s="280" t="str">
        <f t="shared" si="23"/>
        <v/>
      </c>
      <c r="N96" s="283" t="str">
        <f t="shared" si="35"/>
        <v/>
      </c>
      <c r="O96" s="280"/>
      <c r="P96" s="289" t="str">
        <f>IF(A95=$D$8,XIRR(R$24:R95,C$24:C95),"")</f>
        <v/>
      </c>
      <c r="Q96" s="280" t="str">
        <f t="shared" si="33"/>
        <v/>
      </c>
      <c r="R96" s="283">
        <f t="shared" ca="1" si="29"/>
        <v>14513.265979636975</v>
      </c>
      <c r="S96" s="284">
        <f t="shared" ca="1" si="30"/>
        <v>2027</v>
      </c>
      <c r="T96" s="284">
        <f t="shared" ca="1" si="31"/>
        <v>365</v>
      </c>
    </row>
    <row r="97" spans="1:20" x14ac:dyDescent="0.35">
      <c r="A97" s="285">
        <f t="shared" si="32"/>
        <v>73</v>
      </c>
      <c r="B97" s="286">
        <f t="shared" ca="1" si="28"/>
        <v>46709</v>
      </c>
      <c r="C97" s="286">
        <f t="shared" ca="1" si="34"/>
        <v>46709</v>
      </c>
      <c r="D97" s="285">
        <f t="shared" ca="1" si="19"/>
        <v>31</v>
      </c>
      <c r="E97" s="280">
        <f t="shared" ca="1" si="26"/>
        <v>1802710.6172593031</v>
      </c>
      <c r="F97" s="287">
        <f ca="1">'график анн Базова'!F97</f>
        <v>3504.697274895505</v>
      </c>
      <c r="G97" s="287">
        <f t="shared" ca="1" si="27"/>
        <v>10738.321185038936</v>
      </c>
      <c r="H97" s="280">
        <f ca="1">IF(A96=$D$8,SUM($H$25:H96),IF(A96="","",(G97+F97)))</f>
        <v>14243.018459934441</v>
      </c>
      <c r="I97" s="280" t="str">
        <f t="shared" si="20"/>
        <v/>
      </c>
      <c r="J97" s="280" t="str">
        <f t="shared" si="21"/>
        <v/>
      </c>
      <c r="K97" s="280">
        <f>IF($F$8&gt;72,($O$8+$O$10),IF($A$96=$F$8,$K$37+$K$24+$K$49+$K$61+$K$73+$K$85,""))</f>
        <v>7500</v>
      </c>
      <c r="L97" s="280" t="str">
        <f t="shared" si="22"/>
        <v/>
      </c>
      <c r="M97" s="280" t="str">
        <f t="shared" si="23"/>
        <v/>
      </c>
      <c r="N97" s="280">
        <f>IF($F$8&gt;72,($N$14),IF(A96=$F$8,N85+N73+N61+N49+N37+N24,""))</f>
        <v>0</v>
      </c>
      <c r="O97" s="280"/>
      <c r="P97" s="289" t="str">
        <f>IF(A96=$D$8,XIRR(R$24:R96,C$24:C96),"")</f>
        <v/>
      </c>
      <c r="Q97" s="280" t="str">
        <f t="shared" si="33"/>
        <v/>
      </c>
      <c r="R97" s="283">
        <f t="shared" ca="1" si="29"/>
        <v>21743.018459934443</v>
      </c>
      <c r="S97" s="284">
        <f t="shared" ca="1" si="30"/>
        <v>2027</v>
      </c>
      <c r="T97" s="284">
        <f t="shared" ca="1" si="31"/>
        <v>365</v>
      </c>
    </row>
    <row r="98" spans="1:20" x14ac:dyDescent="0.35">
      <c r="A98" s="285">
        <f t="shared" si="32"/>
        <v>74</v>
      </c>
      <c r="B98" s="286">
        <f t="shared" ca="1" si="28"/>
        <v>46739</v>
      </c>
      <c r="C98" s="286">
        <f t="shared" ca="1" si="34"/>
        <v>46739</v>
      </c>
      <c r="D98" s="285">
        <f t="shared" ca="1" si="19"/>
        <v>30</v>
      </c>
      <c r="E98" s="280">
        <f t="shared" ca="1" si="26"/>
        <v>1798532.4941993784</v>
      </c>
      <c r="F98" s="287">
        <f ca="1">'график анн Базова'!F98</f>
        <v>4178.1230599246664</v>
      </c>
      <c r="G98" s="287">
        <f t="shared" ca="1" si="27"/>
        <v>10371.759715738457</v>
      </c>
      <c r="H98" s="280">
        <f ca="1">IF(A97=$D$8,SUM($H$25:H97),IF(A97="","",(G98+F98)))</f>
        <v>14549.882775663124</v>
      </c>
      <c r="I98" s="280" t="str">
        <f t="shared" si="20"/>
        <v/>
      </c>
      <c r="J98" s="280" t="str">
        <f t="shared" si="21"/>
        <v/>
      </c>
      <c r="K98" s="280"/>
      <c r="L98" s="280" t="str">
        <f t="shared" si="22"/>
        <v/>
      </c>
      <c r="M98" s="280" t="str">
        <f t="shared" si="23"/>
        <v/>
      </c>
      <c r="N98" s="283" t="str">
        <f t="shared" si="35"/>
        <v/>
      </c>
      <c r="O98" s="280"/>
      <c r="P98" s="289" t="str">
        <f>IF(A97=$D$8,XIRR(R$24:R97,C$24:C97),"")</f>
        <v/>
      </c>
      <c r="Q98" s="280" t="str">
        <f t="shared" si="33"/>
        <v/>
      </c>
      <c r="R98" s="283">
        <f t="shared" ca="1" si="29"/>
        <v>14549.882775663124</v>
      </c>
      <c r="S98" s="284">
        <f t="shared" ca="1" si="30"/>
        <v>2027</v>
      </c>
      <c r="T98" s="284">
        <f t="shared" ca="1" si="31"/>
        <v>365</v>
      </c>
    </row>
    <row r="99" spans="1:20" x14ac:dyDescent="0.35">
      <c r="A99" s="285">
        <f t="shared" si="32"/>
        <v>75</v>
      </c>
      <c r="B99" s="286">
        <f t="shared" ca="1" si="28"/>
        <v>46770</v>
      </c>
      <c r="C99" s="286">
        <f t="shared" ca="1" si="34"/>
        <v>46770</v>
      </c>
      <c r="D99" s="285">
        <f t="shared" ca="1" si="19"/>
        <v>31</v>
      </c>
      <c r="E99" s="280">
        <f t="shared" ca="1" si="26"/>
        <v>1794943.8836873684</v>
      </c>
      <c r="F99" s="287">
        <f ca="1">'график анн Базова'!F99</f>
        <v>3588.610512010011</v>
      </c>
      <c r="G99" s="287">
        <f t="shared" ca="1" si="27"/>
        <v>10692.645239486716</v>
      </c>
      <c r="H99" s="280">
        <f ca="1">IF(A98=$D$8,SUM($H$25:H98),IF(A98="","",(G99+F99)))</f>
        <v>14281.255751496727</v>
      </c>
      <c r="I99" s="280" t="str">
        <f t="shared" si="20"/>
        <v/>
      </c>
      <c r="J99" s="280" t="str">
        <f t="shared" si="21"/>
        <v/>
      </c>
      <c r="K99" s="280"/>
      <c r="L99" s="280" t="str">
        <f t="shared" si="22"/>
        <v/>
      </c>
      <c r="M99" s="280" t="str">
        <f t="shared" si="23"/>
        <v/>
      </c>
      <c r="N99" s="283" t="str">
        <f t="shared" si="35"/>
        <v/>
      </c>
      <c r="O99" s="280"/>
      <c r="P99" s="289" t="str">
        <f>IF(A98=$D$8,XIRR(R$24:R98,C$24:C98),"")</f>
        <v/>
      </c>
      <c r="Q99" s="280" t="str">
        <f t="shared" si="33"/>
        <v/>
      </c>
      <c r="R99" s="283">
        <f t="shared" ca="1" si="29"/>
        <v>14281.255751496727</v>
      </c>
      <c r="S99" s="284">
        <f t="shared" ca="1" si="30"/>
        <v>2028</v>
      </c>
      <c r="T99" s="284">
        <f t="shared" ca="1" si="31"/>
        <v>366</v>
      </c>
    </row>
    <row r="100" spans="1:20" x14ac:dyDescent="0.35">
      <c r="A100" s="285">
        <f t="shared" si="32"/>
        <v>76</v>
      </c>
      <c r="B100" s="286">
        <f t="shared" ca="1" si="28"/>
        <v>46801</v>
      </c>
      <c r="C100" s="286">
        <f t="shared" ca="1" si="34"/>
        <v>46801</v>
      </c>
      <c r="D100" s="285">
        <f t="shared" ca="1" si="19"/>
        <v>31</v>
      </c>
      <c r="E100" s="280">
        <f t="shared" ca="1" si="26"/>
        <v>1791262.5128707329</v>
      </c>
      <c r="F100" s="287">
        <f ca="1">'график анн Базова'!F100</f>
        <v>3681.3708166353244</v>
      </c>
      <c r="G100" s="287">
        <f t="shared" ca="1" si="27"/>
        <v>10671.310212607095</v>
      </c>
      <c r="H100" s="280">
        <f ca="1">IF(A99=$D$8,SUM($H$25:H99),IF(A99="","",(G100+F100)))</f>
        <v>14352.68102924242</v>
      </c>
      <c r="I100" s="280" t="str">
        <f t="shared" si="20"/>
        <v/>
      </c>
      <c r="J100" s="280" t="str">
        <f t="shared" si="21"/>
        <v/>
      </c>
      <c r="K100" s="280"/>
      <c r="L100" s="280" t="str">
        <f t="shared" si="22"/>
        <v/>
      </c>
      <c r="M100" s="280" t="str">
        <f t="shared" si="23"/>
        <v/>
      </c>
      <c r="N100" s="283" t="str">
        <f t="shared" si="35"/>
        <v/>
      </c>
      <c r="O100" s="280"/>
      <c r="P100" s="289" t="str">
        <f>IF(A99=$D$8,XIRR(R$24:R99,C$24:C99),"")</f>
        <v/>
      </c>
      <c r="Q100" s="280" t="str">
        <f t="shared" si="33"/>
        <v/>
      </c>
      <c r="R100" s="283">
        <f t="shared" ca="1" si="29"/>
        <v>14352.68102924242</v>
      </c>
      <c r="S100" s="284">
        <f t="shared" ca="1" si="30"/>
        <v>2028</v>
      </c>
      <c r="T100" s="284">
        <f t="shared" ca="1" si="31"/>
        <v>366</v>
      </c>
    </row>
    <row r="101" spans="1:20" x14ac:dyDescent="0.35">
      <c r="A101" s="285">
        <f t="shared" si="32"/>
        <v>77</v>
      </c>
      <c r="B101" s="286">
        <f t="shared" ca="1" si="28"/>
        <v>46830</v>
      </c>
      <c r="C101" s="286">
        <f t="shared" ca="1" si="34"/>
        <v>46830</v>
      </c>
      <c r="D101" s="285">
        <f t="shared" ca="1" si="19"/>
        <v>29</v>
      </c>
      <c r="E101" s="280">
        <f t="shared" ca="1" si="26"/>
        <v>1786282.2653568082</v>
      </c>
      <c r="F101" s="287">
        <f ca="1">'график анн Базова'!F101</f>
        <v>4980.247513924809</v>
      </c>
      <c r="G101" s="287">
        <f t="shared" ca="1" si="27"/>
        <v>9962.3641126783241</v>
      </c>
      <c r="H101" s="280">
        <f ca="1">IF(A100=$D$8,SUM($H$25:H100),IF(A100="","",(G101+F101)))</f>
        <v>14942.611626603133</v>
      </c>
      <c r="I101" s="280" t="str">
        <f t="shared" si="20"/>
        <v/>
      </c>
      <c r="J101" s="280" t="str">
        <f t="shared" si="21"/>
        <v/>
      </c>
      <c r="K101" s="280"/>
      <c r="L101" s="280" t="str">
        <f t="shared" si="22"/>
        <v/>
      </c>
      <c r="M101" s="280" t="str">
        <f t="shared" si="23"/>
        <v/>
      </c>
      <c r="N101" s="283" t="str">
        <f t="shared" si="35"/>
        <v/>
      </c>
      <c r="O101" s="280"/>
      <c r="P101" s="289" t="str">
        <f>IF(A100=$D$8,XIRR(R$24:R100,C$24:C100),"")</f>
        <v/>
      </c>
      <c r="Q101" s="280" t="str">
        <f t="shared" si="33"/>
        <v/>
      </c>
      <c r="R101" s="283">
        <f t="shared" ca="1" si="29"/>
        <v>14942.611626603133</v>
      </c>
      <c r="S101" s="284">
        <f t="shared" ca="1" si="30"/>
        <v>2028</v>
      </c>
      <c r="T101" s="284">
        <f t="shared" ca="1" si="31"/>
        <v>366</v>
      </c>
    </row>
    <row r="102" spans="1:20" x14ac:dyDescent="0.35">
      <c r="A102" s="285">
        <f t="shared" si="32"/>
        <v>78</v>
      </c>
      <c r="B102" s="286">
        <f t="shared" ca="1" si="28"/>
        <v>46861</v>
      </c>
      <c r="C102" s="286">
        <f t="shared" ca="1" si="34"/>
        <v>46861</v>
      </c>
      <c r="D102" s="285">
        <f t="shared" ref="D102:D165" ca="1" si="36">IF(A102&gt;$D$8,"",C102-C101)</f>
        <v>31</v>
      </c>
      <c r="E102" s="280">
        <f t="shared" ca="1" si="26"/>
        <v>1782506.5491641166</v>
      </c>
      <c r="F102" s="287">
        <f ca="1">'график анн Базова'!F102</f>
        <v>3775.7161926916378</v>
      </c>
      <c r="G102" s="287">
        <f t="shared" ca="1" si="27"/>
        <v>10619.815111847327</v>
      </c>
      <c r="H102" s="280">
        <f ca="1">IF(A101=$D$8,SUM($H$25:H101),IF(A101="","",(G102+F102)))</f>
        <v>14395.531304538965</v>
      </c>
      <c r="I102" s="280" t="str">
        <f t="shared" ref="I102:I165" si="37">IF(A101=$F$8,$I$24,"")</f>
        <v/>
      </c>
      <c r="J102" s="280" t="str">
        <f t="shared" ref="J102:J165" si="38">IF(A101=$F$8,$J$24,"")</f>
        <v/>
      </c>
      <c r="K102" s="280"/>
      <c r="L102" s="280" t="str">
        <f t="shared" ref="L102:L165" si="39">IF(A101=$F$8,$L$24,"")</f>
        <v/>
      </c>
      <c r="M102" s="280" t="str">
        <f t="shared" ref="M102:M165" si="40">IF(A101=$F$8,$M$24,"")</f>
        <v/>
      </c>
      <c r="N102" s="283" t="str">
        <f t="shared" si="35"/>
        <v/>
      </c>
      <c r="O102" s="280"/>
      <c r="P102" s="289" t="str">
        <f>IF(A101=$D$8,XIRR(R$24:R101,C$24:C101),"")</f>
        <v/>
      </c>
      <c r="Q102" s="280" t="str">
        <f t="shared" si="33"/>
        <v/>
      </c>
      <c r="R102" s="283">
        <f t="shared" ca="1" si="29"/>
        <v>14395.531304538965</v>
      </c>
      <c r="S102" s="284">
        <f t="shared" ca="1" si="30"/>
        <v>2028</v>
      </c>
      <c r="T102" s="284">
        <f t="shared" ca="1" si="31"/>
        <v>366</v>
      </c>
    </row>
    <row r="103" spans="1:20" x14ac:dyDescent="0.35">
      <c r="A103" s="285">
        <f t="shared" si="32"/>
        <v>79</v>
      </c>
      <c r="B103" s="286">
        <f t="shared" ca="1" si="28"/>
        <v>46891</v>
      </c>
      <c r="C103" s="286">
        <f t="shared" ca="1" si="34"/>
        <v>46891</v>
      </c>
      <c r="D103" s="285">
        <f t="shared" ca="1" si="36"/>
        <v>30</v>
      </c>
      <c r="E103" s="280">
        <f t="shared" ca="1" si="26"/>
        <v>1778063.3941397411</v>
      </c>
      <c r="F103" s="287">
        <f ca="1">'график анн Базова'!F103</f>
        <v>4443.15502437549</v>
      </c>
      <c r="G103" s="287">
        <f t="shared" ca="1" si="27"/>
        <v>10255.51713217711</v>
      </c>
      <c r="H103" s="280">
        <f ca="1">IF(A102=$D$8,SUM($H$25:H102),IF(A102="","",(G103+F103)))</f>
        <v>14698.6721565526</v>
      </c>
      <c r="I103" s="280" t="str">
        <f t="shared" si="37"/>
        <v/>
      </c>
      <c r="J103" s="280" t="str">
        <f t="shared" si="38"/>
        <v/>
      </c>
      <c r="K103" s="280"/>
      <c r="L103" s="280" t="str">
        <f t="shared" si="39"/>
        <v/>
      </c>
      <c r="M103" s="280" t="str">
        <f t="shared" si="40"/>
        <v/>
      </c>
      <c r="N103" s="283" t="str">
        <f t="shared" si="35"/>
        <v/>
      </c>
      <c r="O103" s="280"/>
      <c r="P103" s="289" t="str">
        <f>IF(A102=$D$8,XIRR(R$24:R102,C$24:C102),"")</f>
        <v/>
      </c>
      <c r="Q103" s="280" t="str">
        <f t="shared" si="33"/>
        <v/>
      </c>
      <c r="R103" s="283">
        <f t="shared" ca="1" si="29"/>
        <v>14698.6721565526</v>
      </c>
      <c r="S103" s="284">
        <f t="shared" ca="1" si="30"/>
        <v>2028</v>
      </c>
      <c r="T103" s="284">
        <f t="shared" ca="1" si="31"/>
        <v>366</v>
      </c>
    </row>
    <row r="104" spans="1:20" x14ac:dyDescent="0.35">
      <c r="A104" s="285">
        <f t="shared" si="32"/>
        <v>80</v>
      </c>
      <c r="B104" s="286">
        <f t="shared" ca="1" si="28"/>
        <v>46922</v>
      </c>
      <c r="C104" s="286">
        <f t="shared" ca="1" si="34"/>
        <v>46922</v>
      </c>
      <c r="D104" s="285">
        <f t="shared" ca="1" si="36"/>
        <v>31</v>
      </c>
      <c r="E104" s="280">
        <f t="shared" ca="1" si="26"/>
        <v>1774198.1551273938</v>
      </c>
      <c r="F104" s="287">
        <f ca="1">'график анн Базова'!F104</f>
        <v>3865.2390123472651</v>
      </c>
      <c r="G104" s="287">
        <f t="shared" ca="1" si="27"/>
        <v>10570.952233652708</v>
      </c>
      <c r="H104" s="280">
        <f ca="1">IF(A103=$D$8,SUM($H$25:H103),IF(A103="","",(G104+F104)))</f>
        <v>14436.191245999973</v>
      </c>
      <c r="I104" s="280" t="str">
        <f t="shared" si="37"/>
        <v/>
      </c>
      <c r="J104" s="280" t="str">
        <f t="shared" si="38"/>
        <v/>
      </c>
      <c r="K104" s="280"/>
      <c r="L104" s="280" t="str">
        <f t="shared" si="39"/>
        <v/>
      </c>
      <c r="M104" s="280" t="str">
        <f t="shared" si="40"/>
        <v/>
      </c>
      <c r="N104" s="283" t="str">
        <f t="shared" si="35"/>
        <v/>
      </c>
      <c r="O104" s="280"/>
      <c r="P104" s="289" t="str">
        <f>IF(A103=$D$8,XIRR(R$24:R103,C$24:C103),"")</f>
        <v/>
      </c>
      <c r="Q104" s="280" t="str">
        <f t="shared" si="33"/>
        <v/>
      </c>
      <c r="R104" s="283">
        <f t="shared" ca="1" si="29"/>
        <v>14436.191245999973</v>
      </c>
      <c r="S104" s="284">
        <f t="shared" ca="1" si="30"/>
        <v>2028</v>
      </c>
      <c r="T104" s="284">
        <f t="shared" ca="1" si="31"/>
        <v>366</v>
      </c>
    </row>
    <row r="105" spans="1:20" x14ac:dyDescent="0.35">
      <c r="A105" s="285">
        <f t="shared" si="32"/>
        <v>81</v>
      </c>
      <c r="B105" s="286">
        <f t="shared" ca="1" si="28"/>
        <v>46952</v>
      </c>
      <c r="C105" s="286">
        <f t="shared" ca="1" si="34"/>
        <v>46952</v>
      </c>
      <c r="D105" s="285">
        <f t="shared" ca="1" si="36"/>
        <v>30</v>
      </c>
      <c r="E105" s="280">
        <f t="shared" ca="1" si="26"/>
        <v>1769667.4214576804</v>
      </c>
      <c r="F105" s="287">
        <f ca="1">'график анн Базова'!F105</f>
        <v>4530.7336697134051</v>
      </c>
      <c r="G105" s="287">
        <f t="shared" ca="1" si="27"/>
        <v>10207.715413061718</v>
      </c>
      <c r="H105" s="280">
        <f ca="1">IF(A104=$D$8,SUM($H$25:H104),IF(A104="","",(G105+F105)))</f>
        <v>14738.449082775123</v>
      </c>
      <c r="I105" s="280" t="str">
        <f t="shared" si="37"/>
        <v/>
      </c>
      <c r="J105" s="280" t="str">
        <f t="shared" si="38"/>
        <v/>
      </c>
      <c r="K105" s="280"/>
      <c r="L105" s="280" t="str">
        <f t="shared" si="39"/>
        <v/>
      </c>
      <c r="M105" s="280" t="str">
        <f t="shared" si="40"/>
        <v/>
      </c>
      <c r="N105" s="283" t="str">
        <f t="shared" si="35"/>
        <v/>
      </c>
      <c r="O105" s="280"/>
      <c r="P105" s="289" t="str">
        <f>IF(A104=$D$8,XIRR(R$24:R104,C$24:C104),"")</f>
        <v/>
      </c>
      <c r="Q105" s="280" t="str">
        <f t="shared" si="33"/>
        <v/>
      </c>
      <c r="R105" s="283">
        <f t="shared" ca="1" si="29"/>
        <v>14738.449082775123</v>
      </c>
      <c r="S105" s="284">
        <f t="shared" ca="1" si="30"/>
        <v>2028</v>
      </c>
      <c r="T105" s="284">
        <f t="shared" ca="1" si="31"/>
        <v>366</v>
      </c>
    </row>
    <row r="106" spans="1:20" x14ac:dyDescent="0.35">
      <c r="A106" s="285">
        <f t="shared" si="32"/>
        <v>82</v>
      </c>
      <c r="B106" s="286">
        <f t="shared" ca="1" si="28"/>
        <v>46983</v>
      </c>
      <c r="C106" s="286">
        <f t="shared" ca="1" si="34"/>
        <v>46983</v>
      </c>
      <c r="D106" s="285">
        <f t="shared" ca="1" si="36"/>
        <v>31</v>
      </c>
      <c r="E106" s="280">
        <f t="shared" ca="1" si="26"/>
        <v>1765710.7305745836</v>
      </c>
      <c r="F106" s="287">
        <f ca="1">'график анн Базова'!F106</f>
        <v>3956.6908830967259</v>
      </c>
      <c r="G106" s="287">
        <f t="shared" ca="1" si="27"/>
        <v>10521.036450857991</v>
      </c>
      <c r="H106" s="280">
        <f ca="1">IF(A105=$D$8,SUM($H$25:H105),IF(A105="","",(G106+F106)))</f>
        <v>14477.727333954717</v>
      </c>
      <c r="I106" s="280" t="str">
        <f t="shared" si="37"/>
        <v/>
      </c>
      <c r="J106" s="280" t="str">
        <f t="shared" si="38"/>
        <v/>
      </c>
      <c r="K106" s="280"/>
      <c r="L106" s="280" t="str">
        <f t="shared" si="39"/>
        <v/>
      </c>
      <c r="M106" s="280" t="str">
        <f t="shared" si="40"/>
        <v/>
      </c>
      <c r="N106" s="283" t="str">
        <f t="shared" si="35"/>
        <v/>
      </c>
      <c r="O106" s="280"/>
      <c r="P106" s="289" t="str">
        <f>IF(A105=$D$8,XIRR(R$24:R105,C$24:C105),"")</f>
        <v/>
      </c>
      <c r="Q106" s="280" t="str">
        <f t="shared" si="33"/>
        <v/>
      </c>
      <c r="R106" s="283">
        <f t="shared" ca="1" si="29"/>
        <v>14477.727333954717</v>
      </c>
      <c r="S106" s="284">
        <f t="shared" ca="1" si="30"/>
        <v>2028</v>
      </c>
      <c r="T106" s="284">
        <f t="shared" ca="1" si="31"/>
        <v>366</v>
      </c>
    </row>
    <row r="107" spans="1:20" x14ac:dyDescent="0.35">
      <c r="A107" s="285">
        <f t="shared" si="32"/>
        <v>83</v>
      </c>
      <c r="B107" s="286">
        <f t="shared" ca="1" si="28"/>
        <v>47014</v>
      </c>
      <c r="C107" s="286">
        <f t="shared" ca="1" si="34"/>
        <v>47014</v>
      </c>
      <c r="D107" s="285">
        <f t="shared" ca="1" si="36"/>
        <v>31</v>
      </c>
      <c r="E107" s="280">
        <f t="shared" ref="E107:E170" ca="1" si="41">IF(A107&gt;$D$8,"",E106-F107)</f>
        <v>1761710.9420306275</v>
      </c>
      <c r="F107" s="287">
        <f ca="1">'график анн Базова'!F107</f>
        <v>3999.7885439561651</v>
      </c>
      <c r="G107" s="287">
        <f t="shared" ref="G107:G170" ca="1" si="42">E106*D107*$D$9/IF(OR(YEAR(C107)=2020,YEAR(C107)=2024),366,365)</f>
        <v>10497.513110539305</v>
      </c>
      <c r="H107" s="280">
        <f ca="1">IF(A106=$D$8,SUM($H$25:H106),IF(A106="","",(G107+F107)))</f>
        <v>14497.30165449547</v>
      </c>
      <c r="I107" s="280" t="str">
        <f t="shared" si="37"/>
        <v/>
      </c>
      <c r="J107" s="280" t="str">
        <f t="shared" si="38"/>
        <v/>
      </c>
      <c r="K107" s="280"/>
      <c r="L107" s="280" t="str">
        <f t="shared" si="39"/>
        <v/>
      </c>
      <c r="M107" s="280" t="str">
        <f t="shared" si="40"/>
        <v/>
      </c>
      <c r="N107" s="283" t="str">
        <f t="shared" si="35"/>
        <v/>
      </c>
      <c r="O107" s="280"/>
      <c r="P107" s="289" t="str">
        <f>IF(A106=$D$8,XIRR(R$24:R106,C$24:C106),"")</f>
        <v/>
      </c>
      <c r="Q107" s="280" t="str">
        <f t="shared" si="33"/>
        <v/>
      </c>
      <c r="R107" s="283">
        <f t="shared" ca="1" si="29"/>
        <v>14497.30165449547</v>
      </c>
      <c r="S107" s="284">
        <f t="shared" ca="1" si="30"/>
        <v>2028</v>
      </c>
      <c r="T107" s="284">
        <f t="shared" ca="1" si="31"/>
        <v>366</v>
      </c>
    </row>
    <row r="108" spans="1:20" x14ac:dyDescent="0.35">
      <c r="A108" s="285">
        <f t="shared" si="32"/>
        <v>84</v>
      </c>
      <c r="B108" s="286">
        <f t="shared" ca="1" si="28"/>
        <v>47044</v>
      </c>
      <c r="C108" s="286">
        <f t="shared" ca="1" si="34"/>
        <v>47044</v>
      </c>
      <c r="D108" s="285">
        <f t="shared" ca="1" si="36"/>
        <v>30</v>
      </c>
      <c r="E108" s="280">
        <f t="shared" ca="1" si="41"/>
        <v>1757048.5808523695</v>
      </c>
      <c r="F108" s="287">
        <f ca="1">'график анн Базова'!F108</f>
        <v>4662.3611782580047</v>
      </c>
      <c r="G108" s="287">
        <f t="shared" ca="1" si="42"/>
        <v>10135.871173326899</v>
      </c>
      <c r="H108" s="280">
        <f ca="1">IF(A107=$D$8,SUM($H$25:H107),IF(A107="","",(G108+F108)))</f>
        <v>14798.232351584904</v>
      </c>
      <c r="I108" s="280" t="str">
        <f t="shared" si="37"/>
        <v/>
      </c>
      <c r="J108" s="280" t="str">
        <f t="shared" si="38"/>
        <v/>
      </c>
      <c r="K108" s="280"/>
      <c r="L108" s="280" t="str">
        <f t="shared" si="39"/>
        <v/>
      </c>
      <c r="M108" s="280" t="str">
        <f t="shared" si="40"/>
        <v/>
      </c>
      <c r="N108" s="283" t="str">
        <f t="shared" si="35"/>
        <v/>
      </c>
      <c r="O108" s="280"/>
      <c r="P108" s="289" t="str">
        <f>IF(A107=$D$8,XIRR(R$24:R107,C$24:C107),"")</f>
        <v/>
      </c>
      <c r="Q108" s="280" t="str">
        <f t="shared" si="33"/>
        <v/>
      </c>
      <c r="R108" s="283">
        <f t="shared" ca="1" si="29"/>
        <v>14798.232351584904</v>
      </c>
      <c r="S108" s="284">
        <f t="shared" ca="1" si="30"/>
        <v>2028</v>
      </c>
      <c r="T108" s="284">
        <f t="shared" ca="1" si="31"/>
        <v>366</v>
      </c>
    </row>
    <row r="109" spans="1:20" x14ac:dyDescent="0.35">
      <c r="A109" s="285">
        <f t="shared" si="32"/>
        <v>85</v>
      </c>
      <c r="B109" s="286">
        <f ca="1">EDATE($B$24,A109)</f>
        <v>47075</v>
      </c>
      <c r="C109" s="286">
        <f t="shared" ca="1" si="34"/>
        <v>47075</v>
      </c>
      <c r="D109" s="285">
        <f t="shared" ca="1" si="36"/>
        <v>31</v>
      </c>
      <c r="E109" s="280">
        <f t="shared" ca="1" si="41"/>
        <v>1752954.4411442534</v>
      </c>
      <c r="F109" s="287">
        <f ca="1">'график анн Базова'!F109</f>
        <v>4094.139708116214</v>
      </c>
      <c r="G109" s="287">
        <f t="shared" ca="1" si="42"/>
        <v>10446.014850546966</v>
      </c>
      <c r="H109" s="280">
        <f ca="1">IF(A108=$D$8,SUM($H$25:H108),IF(A108="","",(G109+F109)))</f>
        <v>14540.15455866318</v>
      </c>
      <c r="I109" s="280" t="str">
        <f t="shared" si="37"/>
        <v/>
      </c>
      <c r="J109" s="280" t="str">
        <f t="shared" si="38"/>
        <v/>
      </c>
      <c r="K109" s="280">
        <f>IF($F$8&gt;84,($O$8+$O$10),IF($A$108=$F$8,$K$37+$K$24+$K$49+$K$61+$K$73+$K$85+$K$97,""))</f>
        <v>7500</v>
      </c>
      <c r="L109" s="280" t="str">
        <f t="shared" si="39"/>
        <v/>
      </c>
      <c r="M109" s="280" t="str">
        <f t="shared" si="40"/>
        <v/>
      </c>
      <c r="N109" s="280">
        <f>IF($F$8&gt;84,($N$14),IF(A108=$F$8,N97+N85+N73+N61+N49+N37+N24,""))</f>
        <v>0</v>
      </c>
      <c r="O109" s="280"/>
      <c r="P109" s="289" t="str">
        <f>IF(A108=$D$8,XIRR(R$24:R108,C$24:C108),"")</f>
        <v/>
      </c>
      <c r="Q109" s="280" t="str">
        <f t="shared" si="33"/>
        <v/>
      </c>
      <c r="R109" s="283">
        <f t="shared" ca="1" si="29"/>
        <v>22040.15455866318</v>
      </c>
      <c r="S109" s="284">
        <f t="shared" ca="1" si="30"/>
        <v>2028</v>
      </c>
      <c r="T109" s="284">
        <f t="shared" ca="1" si="31"/>
        <v>366</v>
      </c>
    </row>
    <row r="110" spans="1:20" x14ac:dyDescent="0.35">
      <c r="A110" s="285">
        <f t="shared" si="32"/>
        <v>86</v>
      </c>
      <c r="B110" s="286">
        <f t="shared" ref="B110:B173" ca="1" si="43">EDATE($B$24,A110)</f>
        <v>47105</v>
      </c>
      <c r="C110" s="286">
        <f t="shared" ca="1" si="34"/>
        <v>47105</v>
      </c>
      <c r="D110" s="285">
        <f t="shared" ca="1" si="36"/>
        <v>30</v>
      </c>
      <c r="E110" s="280">
        <f t="shared" ca="1" si="41"/>
        <v>1748199.7778337013</v>
      </c>
      <c r="F110" s="287">
        <f ca="1">'график анн Базова'!F110</f>
        <v>4754.6633105520814</v>
      </c>
      <c r="G110" s="287">
        <f t="shared" ca="1" si="42"/>
        <v>10085.491305213513</v>
      </c>
      <c r="H110" s="280">
        <f ca="1">IF(A109=$D$8,SUM($H$25:H109),IF(A109="","",(G110+F110)))</f>
        <v>14840.154615765594</v>
      </c>
      <c r="I110" s="280" t="str">
        <f t="shared" si="37"/>
        <v/>
      </c>
      <c r="J110" s="280" t="str">
        <f t="shared" si="38"/>
        <v/>
      </c>
      <c r="K110" s="280"/>
      <c r="L110" s="280" t="str">
        <f t="shared" si="39"/>
        <v/>
      </c>
      <c r="M110" s="280" t="str">
        <f t="shared" si="40"/>
        <v/>
      </c>
      <c r="N110" s="283" t="str">
        <f t="shared" si="35"/>
        <v/>
      </c>
      <c r="O110" s="280"/>
      <c r="P110" s="289" t="str">
        <f>IF(A109=$D$8,XIRR(R$24:R109,C$24:C109),"")</f>
        <v/>
      </c>
      <c r="Q110" s="280" t="str">
        <f t="shared" si="33"/>
        <v/>
      </c>
      <c r="R110" s="283">
        <f t="shared" ca="1" si="29"/>
        <v>14840.154615765594</v>
      </c>
      <c r="S110" s="284">
        <f t="shared" ca="1" si="30"/>
        <v>2028</v>
      </c>
      <c r="T110" s="284">
        <f t="shared" ca="1" si="31"/>
        <v>366</v>
      </c>
    </row>
    <row r="111" spans="1:20" x14ac:dyDescent="0.35">
      <c r="A111" s="285">
        <f t="shared" si="32"/>
        <v>87</v>
      </c>
      <c r="B111" s="286">
        <f t="shared" ca="1" si="43"/>
        <v>47136</v>
      </c>
      <c r="C111" s="286">
        <f t="shared" ca="1" si="34"/>
        <v>47136</v>
      </c>
      <c r="D111" s="285">
        <f t="shared" ca="1" si="36"/>
        <v>31</v>
      </c>
      <c r="E111" s="280">
        <f t="shared" ca="1" si="41"/>
        <v>1744009.2538684425</v>
      </c>
      <c r="F111" s="287">
        <f ca="1">'график анн Базова'!F111</f>
        <v>4190.5239652589007</v>
      </c>
      <c r="G111" s="287">
        <f t="shared" ca="1" si="42"/>
        <v>10393.406898353787</v>
      </c>
      <c r="H111" s="280">
        <f ca="1">IF(A110=$D$8,SUM($H$25:H110),IF(A110="","",(G111+F111)))</f>
        <v>14583.930863612688</v>
      </c>
      <c r="I111" s="280" t="str">
        <f t="shared" si="37"/>
        <v/>
      </c>
      <c r="J111" s="280" t="str">
        <f t="shared" si="38"/>
        <v/>
      </c>
      <c r="K111" s="280"/>
      <c r="L111" s="280" t="str">
        <f t="shared" si="39"/>
        <v/>
      </c>
      <c r="M111" s="280" t="str">
        <f t="shared" si="40"/>
        <v/>
      </c>
      <c r="N111" s="283" t="str">
        <f t="shared" si="35"/>
        <v/>
      </c>
      <c r="O111" s="280"/>
      <c r="P111" s="289" t="str">
        <f>IF(A110=$D$8,XIRR(R$24:R110,C$24:C110),"")</f>
        <v/>
      </c>
      <c r="Q111" s="280" t="str">
        <f t="shared" si="33"/>
        <v/>
      </c>
      <c r="R111" s="283">
        <f t="shared" ca="1" si="29"/>
        <v>14583.930863612688</v>
      </c>
      <c r="S111" s="284">
        <f t="shared" ca="1" si="30"/>
        <v>2029</v>
      </c>
      <c r="T111" s="284">
        <f t="shared" ca="1" si="31"/>
        <v>365</v>
      </c>
    </row>
    <row r="112" spans="1:20" x14ac:dyDescent="0.35">
      <c r="A112" s="285">
        <f t="shared" si="32"/>
        <v>88</v>
      </c>
      <c r="B112" s="286">
        <f t="shared" ca="1" si="43"/>
        <v>47167</v>
      </c>
      <c r="C112" s="286">
        <f t="shared" ca="1" si="34"/>
        <v>47167</v>
      </c>
      <c r="D112" s="285">
        <f t="shared" ca="1" si="36"/>
        <v>31</v>
      </c>
      <c r="E112" s="280">
        <f t="shared" ca="1" si="41"/>
        <v>1739825.1300690263</v>
      </c>
      <c r="F112" s="287">
        <f ca="1">'график анн Базова'!F112</f>
        <v>4184.1237994163384</v>
      </c>
      <c r="G112" s="287">
        <f t="shared" ca="1" si="42"/>
        <v>10368.493372313755</v>
      </c>
      <c r="H112" s="280">
        <f ca="1">IF(A111=$D$8,SUM($H$25:H111),IF(A111="","",(G112+F112)))</f>
        <v>14552.617171730093</v>
      </c>
      <c r="I112" s="280" t="str">
        <f t="shared" si="37"/>
        <v/>
      </c>
      <c r="J112" s="280" t="str">
        <f t="shared" si="38"/>
        <v/>
      </c>
      <c r="K112" s="280"/>
      <c r="L112" s="280" t="str">
        <f t="shared" si="39"/>
        <v/>
      </c>
      <c r="M112" s="280" t="str">
        <f t="shared" si="40"/>
        <v/>
      </c>
      <c r="N112" s="283" t="str">
        <f t="shared" si="35"/>
        <v/>
      </c>
      <c r="O112" s="280"/>
      <c r="P112" s="289" t="str">
        <f>IF(A111=$D$8,XIRR(R$24:R111,C$24:C111),"")</f>
        <v/>
      </c>
      <c r="Q112" s="280" t="str">
        <f t="shared" si="33"/>
        <v/>
      </c>
      <c r="R112" s="283">
        <f t="shared" ca="1" si="29"/>
        <v>14552.617171730093</v>
      </c>
      <c r="S112" s="284">
        <f t="shared" ca="1" si="30"/>
        <v>2029</v>
      </c>
      <c r="T112" s="284">
        <f t="shared" ca="1" si="31"/>
        <v>365</v>
      </c>
    </row>
    <row r="113" spans="1:20" x14ac:dyDescent="0.35">
      <c r="A113" s="285">
        <f t="shared" si="32"/>
        <v>89</v>
      </c>
      <c r="B113" s="286">
        <f t="shared" ca="1" si="43"/>
        <v>47195</v>
      </c>
      <c r="C113" s="286">
        <f t="shared" ca="1" si="34"/>
        <v>47195</v>
      </c>
      <c r="D113" s="285">
        <f t="shared" ca="1" si="36"/>
        <v>28</v>
      </c>
      <c r="E113" s="280">
        <f t="shared" ca="1" si="41"/>
        <v>1733756.3351377761</v>
      </c>
      <c r="F113" s="287">
        <f ca="1">'график анн Базова'!F113</f>
        <v>6068.7949312502642</v>
      </c>
      <c r="G113" s="287">
        <f t="shared" ca="1" si="42"/>
        <v>9342.6226162610728</v>
      </c>
      <c r="H113" s="280">
        <f ca="1">IF(A112=$D$8,SUM($H$25:H112),IF(A112="","",(G113+F113)))</f>
        <v>15411.417547511337</v>
      </c>
      <c r="I113" s="280" t="str">
        <f t="shared" si="37"/>
        <v/>
      </c>
      <c r="J113" s="280" t="str">
        <f t="shared" si="38"/>
        <v/>
      </c>
      <c r="K113" s="280"/>
      <c r="L113" s="280" t="str">
        <f t="shared" si="39"/>
        <v/>
      </c>
      <c r="M113" s="280" t="str">
        <f t="shared" si="40"/>
        <v/>
      </c>
      <c r="N113" s="283" t="str">
        <f t="shared" si="35"/>
        <v/>
      </c>
      <c r="O113" s="280"/>
      <c r="P113" s="289" t="str">
        <f>IF(A112=$D$8,XIRR(R$24:R112,C$24:C112),"")</f>
        <v/>
      </c>
      <c r="Q113" s="280" t="str">
        <f t="shared" si="33"/>
        <v/>
      </c>
      <c r="R113" s="283">
        <f t="shared" ca="1" si="29"/>
        <v>15411.417547511337</v>
      </c>
      <c r="S113" s="284">
        <f t="shared" ca="1" si="30"/>
        <v>2029</v>
      </c>
      <c r="T113" s="284">
        <f t="shared" ca="1" si="31"/>
        <v>365</v>
      </c>
    </row>
    <row r="114" spans="1:20" x14ac:dyDescent="0.35">
      <c r="A114" s="285">
        <f t="shared" si="32"/>
        <v>90</v>
      </c>
      <c r="B114" s="286">
        <f t="shared" ca="1" si="43"/>
        <v>47226</v>
      </c>
      <c r="C114" s="286">
        <f t="shared" ca="1" si="34"/>
        <v>47226</v>
      </c>
      <c r="D114" s="285">
        <f t="shared" ca="1" si="36"/>
        <v>31</v>
      </c>
      <c r="E114" s="280">
        <f t="shared" ca="1" si="41"/>
        <v>1729460.2269936702</v>
      </c>
      <c r="F114" s="287">
        <f ca="1">'график анн Базова'!F114</f>
        <v>4296.1081441058559</v>
      </c>
      <c r="G114" s="287">
        <f t="shared" ca="1" si="42"/>
        <v>10307.537663695821</v>
      </c>
      <c r="H114" s="280">
        <f ca="1">IF(A113=$D$8,SUM($H$25:H113),IF(A113="","",(G114+F114)))</f>
        <v>14603.645807801677</v>
      </c>
      <c r="I114" s="280" t="str">
        <f t="shared" si="37"/>
        <v/>
      </c>
      <c r="J114" s="280" t="str">
        <f t="shared" si="38"/>
        <v/>
      </c>
      <c r="K114" s="280"/>
      <c r="L114" s="280" t="str">
        <f t="shared" si="39"/>
        <v/>
      </c>
      <c r="M114" s="280" t="str">
        <f t="shared" si="40"/>
        <v/>
      </c>
      <c r="N114" s="283" t="str">
        <f t="shared" si="35"/>
        <v/>
      </c>
      <c r="O114" s="280"/>
      <c r="P114" s="289" t="str">
        <f>IF(A113=$D$8,XIRR(R$24:R113,C$24:C113),"")</f>
        <v/>
      </c>
      <c r="Q114" s="280" t="str">
        <f t="shared" si="33"/>
        <v/>
      </c>
      <c r="R114" s="283">
        <f t="shared" ca="1" si="29"/>
        <v>14603.645807801677</v>
      </c>
      <c r="S114" s="284">
        <f t="shared" ca="1" si="30"/>
        <v>2029</v>
      </c>
      <c r="T114" s="284">
        <f t="shared" ca="1" si="31"/>
        <v>365</v>
      </c>
    </row>
    <row r="115" spans="1:20" x14ac:dyDescent="0.35">
      <c r="A115" s="285">
        <f t="shared" si="32"/>
        <v>91</v>
      </c>
      <c r="B115" s="286">
        <f t="shared" ca="1" si="43"/>
        <v>47256</v>
      </c>
      <c r="C115" s="286">
        <f t="shared" ca="1" si="34"/>
        <v>47256</v>
      </c>
      <c r="D115" s="285">
        <f t="shared" ca="1" si="36"/>
        <v>30</v>
      </c>
      <c r="E115" s="280">
        <f t="shared" ca="1" si="41"/>
        <v>1724507.857342938</v>
      </c>
      <c r="F115" s="287">
        <f ca="1">'график анн Базова'!F115</f>
        <v>4952.369650732373</v>
      </c>
      <c r="G115" s="287">
        <f t="shared" ca="1" si="42"/>
        <v>9950.3191142101587</v>
      </c>
      <c r="H115" s="280">
        <f ca="1">IF(A114=$D$8,SUM($H$25:H114),IF(A114="","",(G115+F115)))</f>
        <v>14902.688764942532</v>
      </c>
      <c r="I115" s="280" t="str">
        <f t="shared" si="37"/>
        <v/>
      </c>
      <c r="J115" s="280" t="str">
        <f t="shared" si="38"/>
        <v/>
      </c>
      <c r="K115" s="280"/>
      <c r="L115" s="280" t="str">
        <f t="shared" si="39"/>
        <v/>
      </c>
      <c r="M115" s="280" t="str">
        <f t="shared" si="40"/>
        <v/>
      </c>
      <c r="N115" s="283" t="str">
        <f t="shared" si="35"/>
        <v/>
      </c>
      <c r="O115" s="280"/>
      <c r="P115" s="289" t="str">
        <f>IF(A114=$D$8,XIRR(R$24:R114,C$24:C114),"")</f>
        <v/>
      </c>
      <c r="Q115" s="280" t="str">
        <f t="shared" si="33"/>
        <v/>
      </c>
      <c r="R115" s="283">
        <f t="shared" ca="1" si="29"/>
        <v>14902.688764942532</v>
      </c>
      <c r="S115" s="284">
        <f t="shared" ca="1" si="30"/>
        <v>2029</v>
      </c>
      <c r="T115" s="284">
        <f t="shared" ca="1" si="31"/>
        <v>365</v>
      </c>
    </row>
    <row r="116" spans="1:20" x14ac:dyDescent="0.35">
      <c r="A116" s="285">
        <f t="shared" si="32"/>
        <v>92</v>
      </c>
      <c r="B116" s="286">
        <f t="shared" ca="1" si="43"/>
        <v>47287</v>
      </c>
      <c r="C116" s="286">
        <f t="shared" ca="1" si="34"/>
        <v>47287</v>
      </c>
      <c r="D116" s="285">
        <f t="shared" ca="1" si="36"/>
        <v>31</v>
      </c>
      <c r="E116" s="280">
        <f t="shared" ca="1" si="41"/>
        <v>1720110.7355506762</v>
      </c>
      <c r="F116" s="287">
        <f ca="1">'график анн Базова'!F116</f>
        <v>4397.1217922617507</v>
      </c>
      <c r="G116" s="287">
        <f t="shared" ca="1" si="42"/>
        <v>10252.553562833358</v>
      </c>
      <c r="H116" s="280">
        <f ca="1">IF(A115=$D$8,SUM($H$25:H115),IF(A115="","",(G116+F116)))</f>
        <v>14649.675355095109</v>
      </c>
      <c r="I116" s="280" t="str">
        <f t="shared" si="37"/>
        <v/>
      </c>
      <c r="J116" s="280" t="str">
        <f t="shared" si="38"/>
        <v/>
      </c>
      <c r="K116" s="280"/>
      <c r="L116" s="280" t="str">
        <f t="shared" si="39"/>
        <v/>
      </c>
      <c r="M116" s="280" t="str">
        <f t="shared" si="40"/>
        <v/>
      </c>
      <c r="N116" s="283" t="str">
        <f t="shared" si="35"/>
        <v/>
      </c>
      <c r="O116" s="280"/>
      <c r="P116" s="289" t="str">
        <f>IF(A115=$D$8,XIRR(R$24:R115,C$24:C115),"")</f>
        <v/>
      </c>
      <c r="Q116" s="280" t="str">
        <f t="shared" si="33"/>
        <v/>
      </c>
      <c r="R116" s="283">
        <f t="shared" ca="1" si="29"/>
        <v>14649.675355095109</v>
      </c>
      <c r="S116" s="284">
        <f t="shared" ca="1" si="30"/>
        <v>2029</v>
      </c>
      <c r="T116" s="284">
        <f t="shared" ca="1" si="31"/>
        <v>365</v>
      </c>
    </row>
    <row r="117" spans="1:20" x14ac:dyDescent="0.35">
      <c r="A117" s="285">
        <f t="shared" si="32"/>
        <v>93</v>
      </c>
      <c r="B117" s="286">
        <f t="shared" ca="1" si="43"/>
        <v>47317</v>
      </c>
      <c r="C117" s="286">
        <f t="shared" ca="1" si="34"/>
        <v>47317</v>
      </c>
      <c r="D117" s="285">
        <f t="shared" ca="1" si="36"/>
        <v>30</v>
      </c>
      <c r="E117" s="280">
        <f t="shared" ca="1" si="41"/>
        <v>1715059.5430561437</v>
      </c>
      <c r="F117" s="287">
        <f ca="1">'график анн Базова'!F117</f>
        <v>5051.1924945325663</v>
      </c>
      <c r="G117" s="287">
        <f t="shared" ca="1" si="42"/>
        <v>9896.5275196066323</v>
      </c>
      <c r="H117" s="280">
        <f ca="1">IF(A116=$D$8,SUM($H$25:H116),IF(A116="","",(G117+F117)))</f>
        <v>14947.720014139199</v>
      </c>
      <c r="I117" s="280" t="str">
        <f t="shared" si="37"/>
        <v/>
      </c>
      <c r="J117" s="280" t="str">
        <f t="shared" si="38"/>
        <v/>
      </c>
      <c r="K117" s="280"/>
      <c r="L117" s="280" t="str">
        <f t="shared" si="39"/>
        <v/>
      </c>
      <c r="M117" s="280" t="str">
        <f t="shared" si="40"/>
        <v/>
      </c>
      <c r="N117" s="283" t="str">
        <f t="shared" si="35"/>
        <v/>
      </c>
      <c r="O117" s="280"/>
      <c r="P117" s="289" t="str">
        <f>IF(A116=$D$8,XIRR(R$24:R116,C$24:C116),"")</f>
        <v/>
      </c>
      <c r="Q117" s="280" t="str">
        <f t="shared" si="33"/>
        <v/>
      </c>
      <c r="R117" s="283">
        <f t="shared" ca="1" si="29"/>
        <v>14947.720014139199</v>
      </c>
      <c r="S117" s="284">
        <f t="shared" ca="1" si="30"/>
        <v>2029</v>
      </c>
      <c r="T117" s="284">
        <f t="shared" ca="1" si="31"/>
        <v>365</v>
      </c>
    </row>
    <row r="118" spans="1:20" x14ac:dyDescent="0.35">
      <c r="A118" s="285">
        <f t="shared" si="32"/>
        <v>94</v>
      </c>
      <c r="B118" s="286">
        <f t="shared" ca="1" si="43"/>
        <v>47348</v>
      </c>
      <c r="C118" s="286">
        <f t="shared" ca="1" si="34"/>
        <v>47348</v>
      </c>
      <c r="D118" s="285">
        <f t="shared" ca="1" si="36"/>
        <v>31</v>
      </c>
      <c r="E118" s="280">
        <f t="shared" ca="1" si="41"/>
        <v>1710559.2249632361</v>
      </c>
      <c r="F118" s="287">
        <f ca="1">'график анн Базова'!F118</f>
        <v>4500.318092907597</v>
      </c>
      <c r="G118" s="287">
        <f t="shared" ca="1" si="42"/>
        <v>10196.381392963924</v>
      </c>
      <c r="H118" s="280">
        <f ca="1">IF(A117=$D$8,SUM($H$25:H117),IF(A117="","",(G118+F118)))</f>
        <v>14696.699485871521</v>
      </c>
      <c r="I118" s="280" t="str">
        <f t="shared" si="37"/>
        <v/>
      </c>
      <c r="J118" s="280" t="str">
        <f t="shared" si="38"/>
        <v/>
      </c>
      <c r="K118" s="280"/>
      <c r="L118" s="280" t="str">
        <f t="shared" si="39"/>
        <v/>
      </c>
      <c r="M118" s="280" t="str">
        <f t="shared" si="40"/>
        <v/>
      </c>
      <c r="N118" s="283" t="str">
        <f t="shared" si="35"/>
        <v/>
      </c>
      <c r="O118" s="280"/>
      <c r="P118" s="289" t="str">
        <f>IF(A117=$D$8,XIRR(R$24:R117,C$24:C117),"")</f>
        <v/>
      </c>
      <c r="Q118" s="280" t="str">
        <f t="shared" si="33"/>
        <v/>
      </c>
      <c r="R118" s="283">
        <f t="shared" ca="1" si="29"/>
        <v>14696.699485871521</v>
      </c>
      <c r="S118" s="284">
        <f t="shared" ca="1" si="30"/>
        <v>2029</v>
      </c>
      <c r="T118" s="284">
        <f t="shared" ca="1" si="31"/>
        <v>365</v>
      </c>
    </row>
    <row r="119" spans="1:20" x14ac:dyDescent="0.35">
      <c r="A119" s="285">
        <f t="shared" si="32"/>
        <v>95</v>
      </c>
      <c r="B119" s="286">
        <f t="shared" ca="1" si="43"/>
        <v>47379</v>
      </c>
      <c r="C119" s="286">
        <f t="shared" ca="1" si="34"/>
        <v>47379</v>
      </c>
      <c r="D119" s="285">
        <f t="shared" ca="1" si="36"/>
        <v>31</v>
      </c>
      <c r="E119" s="280">
        <f t="shared" ca="1" si="41"/>
        <v>1706009.7535330432</v>
      </c>
      <c r="F119" s="287">
        <f ca="1">'график анн Базова'!F119</f>
        <v>4549.4714301930326</v>
      </c>
      <c r="G119" s="287">
        <f t="shared" ca="1" si="42"/>
        <v>10169.626077178693</v>
      </c>
      <c r="H119" s="280">
        <f ca="1">IF(A118=$D$8,SUM($H$25:H118),IF(A118="","",(G119+F119)))</f>
        <v>14719.097507371725</v>
      </c>
      <c r="I119" s="280" t="str">
        <f t="shared" si="37"/>
        <v/>
      </c>
      <c r="J119" s="280" t="str">
        <f t="shared" si="38"/>
        <v/>
      </c>
      <c r="K119" s="280"/>
      <c r="L119" s="280" t="str">
        <f t="shared" si="39"/>
        <v/>
      </c>
      <c r="M119" s="280" t="str">
        <f t="shared" si="40"/>
        <v/>
      </c>
      <c r="N119" s="283" t="str">
        <f t="shared" si="35"/>
        <v/>
      </c>
      <c r="O119" s="280"/>
      <c r="P119" s="289" t="str">
        <f>IF(A118=$D$8,XIRR(R$24:R118,C$24:C118),"")</f>
        <v/>
      </c>
      <c r="Q119" s="280" t="str">
        <f t="shared" si="33"/>
        <v/>
      </c>
      <c r="R119" s="283">
        <f t="shared" ca="1" si="29"/>
        <v>14719.097507371725</v>
      </c>
      <c r="S119" s="284">
        <f t="shared" ca="1" si="30"/>
        <v>2029</v>
      </c>
      <c r="T119" s="284">
        <f t="shared" ca="1" si="31"/>
        <v>365</v>
      </c>
    </row>
    <row r="120" spans="1:20" x14ac:dyDescent="0.35">
      <c r="A120" s="285">
        <f t="shared" si="32"/>
        <v>96</v>
      </c>
      <c r="B120" s="286">
        <f t="shared" ca="1" si="43"/>
        <v>47409</v>
      </c>
      <c r="C120" s="286">
        <f t="shared" ca="1" si="34"/>
        <v>47409</v>
      </c>
      <c r="D120" s="285">
        <f t="shared" ca="1" si="36"/>
        <v>30</v>
      </c>
      <c r="E120" s="280">
        <f t="shared" ca="1" si="41"/>
        <v>1700809.5155902256</v>
      </c>
      <c r="F120" s="287">
        <f ca="1">'график анн Базова'!F120</f>
        <v>5200.2379428175773</v>
      </c>
      <c r="G120" s="287">
        <f t="shared" ca="1" si="42"/>
        <v>9815.3985819709342</v>
      </c>
      <c r="H120" s="280">
        <f ca="1">IF(A119=$D$8,SUM($H$25:H119),IF(A119="","",(G120+F120)))</f>
        <v>15015.636524788511</v>
      </c>
      <c r="I120" s="280" t="str">
        <f t="shared" si="37"/>
        <v/>
      </c>
      <c r="J120" s="280" t="str">
        <f t="shared" si="38"/>
        <v/>
      </c>
      <c r="K120" s="280"/>
      <c r="L120" s="280" t="str">
        <f t="shared" si="39"/>
        <v/>
      </c>
      <c r="M120" s="280" t="str">
        <f t="shared" si="40"/>
        <v/>
      </c>
      <c r="N120" s="283" t="str">
        <f t="shared" si="35"/>
        <v/>
      </c>
      <c r="O120" s="280"/>
      <c r="P120" s="289" t="str">
        <f>IF(A119=$D$8,XIRR(R$24:R119,C$24:C119),"")</f>
        <v/>
      </c>
      <c r="Q120" s="280" t="str">
        <f t="shared" si="33"/>
        <v/>
      </c>
      <c r="R120" s="283">
        <f t="shared" ca="1" si="29"/>
        <v>15015.636524788511</v>
      </c>
      <c r="S120" s="284">
        <f t="shared" ca="1" si="30"/>
        <v>2029</v>
      </c>
      <c r="T120" s="284">
        <f t="shared" ca="1" si="31"/>
        <v>365</v>
      </c>
    </row>
    <row r="121" spans="1:20" x14ac:dyDescent="0.35">
      <c r="A121" s="285">
        <f t="shared" si="32"/>
        <v>97</v>
      </c>
      <c r="B121" s="286">
        <f t="shared" ca="1" si="43"/>
        <v>47440</v>
      </c>
      <c r="C121" s="286">
        <f t="shared" ca="1" si="34"/>
        <v>47440</v>
      </c>
      <c r="D121" s="285">
        <f t="shared" ca="1" si="36"/>
        <v>31</v>
      </c>
      <c r="E121" s="280">
        <f t="shared" ca="1" si="41"/>
        <v>1696153.5559644531</v>
      </c>
      <c r="F121" s="287">
        <f ca="1">'график анн Базова'!F121</f>
        <v>4655.9596257723351</v>
      </c>
      <c r="G121" s="287">
        <f t="shared" ca="1" si="42"/>
        <v>10111.662051591204</v>
      </c>
      <c r="H121" s="280">
        <f ca="1">IF(A120=$D$8,SUM($H$25:H120),IF(A120="","",(G121+F121)))</f>
        <v>14767.621677363539</v>
      </c>
      <c r="I121" s="280" t="str">
        <f t="shared" si="37"/>
        <v/>
      </c>
      <c r="J121" s="280" t="str">
        <f t="shared" si="38"/>
        <v/>
      </c>
      <c r="K121" s="280">
        <f>IF($F$8&gt;96,($O$8+$O$10),IF($A$120=$F$8,$K$24*$G$8,""))</f>
        <v>7500</v>
      </c>
      <c r="L121" s="280" t="str">
        <f t="shared" si="39"/>
        <v/>
      </c>
      <c r="M121" s="280" t="str">
        <f t="shared" si="40"/>
        <v/>
      </c>
      <c r="N121" s="280">
        <f>IF($F$8&gt;96,($N$14),IF(A120=$F$8,N109+N97+N85+N73+N61+N49+N37+N24,""))</f>
        <v>0</v>
      </c>
      <c r="O121" s="280"/>
      <c r="P121" s="289" t="str">
        <f>IF(A120=$D$8,XIRR(R$24:R120,C$24:C120),"")</f>
        <v/>
      </c>
      <c r="Q121" s="280" t="str">
        <f t="shared" si="33"/>
        <v/>
      </c>
      <c r="R121" s="283">
        <f t="shared" ca="1" si="29"/>
        <v>22267.621677363539</v>
      </c>
      <c r="S121" s="284">
        <f t="shared" ca="1" si="30"/>
        <v>2029</v>
      </c>
      <c r="T121" s="284">
        <f t="shared" ca="1" si="31"/>
        <v>365</v>
      </c>
    </row>
    <row r="122" spans="1:20" x14ac:dyDescent="0.35">
      <c r="A122" s="285">
        <f t="shared" si="32"/>
        <v>98</v>
      </c>
      <c r="B122" s="286">
        <f t="shared" ca="1" si="43"/>
        <v>47470</v>
      </c>
      <c r="C122" s="286">
        <f t="shared" ca="1" si="34"/>
        <v>47470</v>
      </c>
      <c r="D122" s="285">
        <f t="shared" ca="1" si="36"/>
        <v>30</v>
      </c>
      <c r="E122" s="280">
        <f t="shared" ca="1" si="41"/>
        <v>1690849.1393634996</v>
      </c>
      <c r="F122" s="287">
        <f ca="1">'график анн Базова'!F122</f>
        <v>5304.416600953522</v>
      </c>
      <c r="G122" s="287">
        <f t="shared" ca="1" si="42"/>
        <v>9758.6916918502793</v>
      </c>
      <c r="H122" s="280">
        <f ca="1">IF(A121=$D$8,SUM($H$25:H121),IF(A121="","",(G122+F122)))</f>
        <v>15063.108292803801</v>
      </c>
      <c r="I122" s="280" t="str">
        <f t="shared" si="37"/>
        <v/>
      </c>
      <c r="J122" s="280" t="str">
        <f t="shared" si="38"/>
        <v/>
      </c>
      <c r="K122" s="280"/>
      <c r="L122" s="280" t="str">
        <f t="shared" si="39"/>
        <v/>
      </c>
      <c r="M122" s="280" t="str">
        <f t="shared" si="40"/>
        <v/>
      </c>
      <c r="N122" s="283" t="str">
        <f t="shared" si="35"/>
        <v/>
      </c>
      <c r="O122" s="280"/>
      <c r="P122" s="289" t="str">
        <f>IF(A121=$D$8,XIRR(R$24:R121,C$24:C121),"")</f>
        <v/>
      </c>
      <c r="Q122" s="280" t="str">
        <f t="shared" si="33"/>
        <v/>
      </c>
      <c r="R122" s="283">
        <f t="shared" ca="1" si="29"/>
        <v>15063.108292803801</v>
      </c>
      <c r="S122" s="284">
        <f t="shared" ca="1" si="30"/>
        <v>2029</v>
      </c>
      <c r="T122" s="284">
        <f t="shared" ca="1" si="31"/>
        <v>365</v>
      </c>
    </row>
    <row r="123" spans="1:20" x14ac:dyDescent="0.35">
      <c r="A123" s="285">
        <f t="shared" si="32"/>
        <v>99</v>
      </c>
      <c r="B123" s="286">
        <f t="shared" ca="1" si="43"/>
        <v>47501</v>
      </c>
      <c r="C123" s="286">
        <f t="shared" ca="1" si="34"/>
        <v>47501</v>
      </c>
      <c r="D123" s="285">
        <f t="shared" ca="1" si="36"/>
        <v>31</v>
      </c>
      <c r="E123" s="280">
        <f t="shared" ca="1" si="41"/>
        <v>1686084.3905983698</v>
      </c>
      <c r="F123" s="287">
        <f ca="1">'график анн Базова'!F123</f>
        <v>4764.7487651297743</v>
      </c>
      <c r="G123" s="287">
        <f t="shared" ca="1" si="42"/>
        <v>10052.44556827067</v>
      </c>
      <c r="H123" s="280">
        <f ca="1">IF(A122=$D$8,SUM($H$25:H122),IF(A122="","",(G123+F123)))</f>
        <v>14817.194333400445</v>
      </c>
      <c r="I123" s="280" t="str">
        <f t="shared" si="37"/>
        <v/>
      </c>
      <c r="J123" s="280" t="str">
        <f t="shared" si="38"/>
        <v/>
      </c>
      <c r="K123" s="280"/>
      <c r="L123" s="280" t="str">
        <f t="shared" si="39"/>
        <v/>
      </c>
      <c r="M123" s="280" t="str">
        <f t="shared" si="40"/>
        <v/>
      </c>
      <c r="N123" s="283" t="str">
        <f t="shared" si="35"/>
        <v/>
      </c>
      <c r="O123" s="280"/>
      <c r="P123" s="289" t="str">
        <f>IF(A122=$D$8,XIRR(R$24:R122,C$24:C122),"")</f>
        <v/>
      </c>
      <c r="Q123" s="280" t="str">
        <f t="shared" si="33"/>
        <v/>
      </c>
      <c r="R123" s="283">
        <f t="shared" ca="1" si="29"/>
        <v>14817.194333400445</v>
      </c>
      <c r="S123" s="284">
        <f t="shared" ca="1" si="30"/>
        <v>2030</v>
      </c>
      <c r="T123" s="284">
        <f t="shared" ca="1" si="31"/>
        <v>365</v>
      </c>
    </row>
    <row r="124" spans="1:20" x14ac:dyDescent="0.35">
      <c r="A124" s="285">
        <f t="shared" si="32"/>
        <v>100</v>
      </c>
      <c r="B124" s="286">
        <f t="shared" ca="1" si="43"/>
        <v>47532</v>
      </c>
      <c r="C124" s="286">
        <f t="shared" ca="1" si="34"/>
        <v>47532</v>
      </c>
      <c r="D124" s="285">
        <f t="shared" ca="1" si="36"/>
        <v>31</v>
      </c>
      <c r="E124" s="280">
        <f t="shared" ca="1" si="41"/>
        <v>1681267.6003334399</v>
      </c>
      <c r="F124" s="287">
        <f ca="1">'график анн Базова'!F124</f>
        <v>4816.7902649299576</v>
      </c>
      <c r="G124" s="287">
        <f t="shared" ca="1" si="42"/>
        <v>10024.118157804007</v>
      </c>
      <c r="H124" s="280">
        <f ca="1">IF(A123=$D$8,SUM($H$25:H123),IF(A123="","",(G124+F124)))</f>
        <v>14840.908422733964</v>
      </c>
      <c r="I124" s="280" t="str">
        <f t="shared" si="37"/>
        <v/>
      </c>
      <c r="J124" s="280" t="str">
        <f t="shared" si="38"/>
        <v/>
      </c>
      <c r="K124" s="280"/>
      <c r="L124" s="280" t="str">
        <f t="shared" si="39"/>
        <v/>
      </c>
      <c r="M124" s="280" t="str">
        <f t="shared" si="40"/>
        <v/>
      </c>
      <c r="N124" s="283" t="str">
        <f t="shared" si="35"/>
        <v/>
      </c>
      <c r="O124" s="280"/>
      <c r="P124" s="289" t="str">
        <f>IF(A123=$D$8,XIRR(R$24:R123,C$24:C123),"")</f>
        <v/>
      </c>
      <c r="Q124" s="280" t="str">
        <f t="shared" si="33"/>
        <v/>
      </c>
      <c r="R124" s="283">
        <f t="shared" ca="1" si="29"/>
        <v>14840.908422733964</v>
      </c>
      <c r="S124" s="284">
        <f t="shared" ca="1" si="30"/>
        <v>2030</v>
      </c>
      <c r="T124" s="284">
        <f t="shared" ca="1" si="31"/>
        <v>365</v>
      </c>
    </row>
    <row r="125" spans="1:20" x14ac:dyDescent="0.35">
      <c r="A125" s="285">
        <f t="shared" si="32"/>
        <v>101</v>
      </c>
      <c r="B125" s="286">
        <f t="shared" ca="1" si="43"/>
        <v>47560</v>
      </c>
      <c r="C125" s="286">
        <f t="shared" ca="1" si="34"/>
        <v>47560</v>
      </c>
      <c r="D125" s="285">
        <f t="shared" ca="1" si="36"/>
        <v>28</v>
      </c>
      <c r="E125" s="280">
        <f t="shared" ca="1" si="41"/>
        <v>1674621.123338979</v>
      </c>
      <c r="F125" s="287">
        <f ca="1">'график анн Базова'!F125</f>
        <v>6646.4769944609434</v>
      </c>
      <c r="G125" s="287">
        <f t="shared" ca="1" si="42"/>
        <v>9028.1767031603922</v>
      </c>
      <c r="H125" s="280">
        <f ca="1">IF(A124=$D$8,SUM($H$25:H124),IF(A124="","",(G125+F125)))</f>
        <v>15674.653697621336</v>
      </c>
      <c r="I125" s="280" t="str">
        <f t="shared" si="37"/>
        <v/>
      </c>
      <c r="J125" s="280" t="str">
        <f t="shared" si="38"/>
        <v/>
      </c>
      <c r="K125" s="280"/>
      <c r="L125" s="280" t="str">
        <f t="shared" si="39"/>
        <v/>
      </c>
      <c r="M125" s="280" t="str">
        <f t="shared" si="40"/>
        <v/>
      </c>
      <c r="N125" s="283" t="str">
        <f t="shared" si="35"/>
        <v/>
      </c>
      <c r="O125" s="280"/>
      <c r="P125" s="289" t="str">
        <f>IF(A124=$D$8,XIRR(R$24:R124,C$24:C124),"")</f>
        <v/>
      </c>
      <c r="Q125" s="280" t="str">
        <f t="shared" si="33"/>
        <v/>
      </c>
      <c r="R125" s="283">
        <f t="shared" ca="1" si="29"/>
        <v>15674.653697621336</v>
      </c>
      <c r="S125" s="284">
        <f t="shared" ca="1" si="30"/>
        <v>2030</v>
      </c>
      <c r="T125" s="284">
        <f t="shared" ca="1" si="31"/>
        <v>365</v>
      </c>
    </row>
    <row r="126" spans="1:20" x14ac:dyDescent="0.35">
      <c r="A126" s="285">
        <f t="shared" si="32"/>
        <v>102</v>
      </c>
      <c r="B126" s="286">
        <f t="shared" ca="1" si="43"/>
        <v>47591</v>
      </c>
      <c r="C126" s="286">
        <f t="shared" ca="1" si="34"/>
        <v>47591</v>
      </c>
      <c r="D126" s="285">
        <f t="shared" ca="1" si="36"/>
        <v>31</v>
      </c>
      <c r="E126" s="280">
        <f t="shared" ca="1" si="41"/>
        <v>1669679.129070607</v>
      </c>
      <c r="F126" s="287">
        <f ca="1">'график анн Базова'!F126</f>
        <v>4941.99426837184</v>
      </c>
      <c r="G126" s="287">
        <f t="shared" ca="1" si="42"/>
        <v>9955.9666784810524</v>
      </c>
      <c r="H126" s="280">
        <f ca="1">IF(A125=$D$8,SUM($H$25:H125),IF(A125="","",(G126+F126)))</f>
        <v>14897.960946852892</v>
      </c>
      <c r="I126" s="280" t="str">
        <f t="shared" si="37"/>
        <v/>
      </c>
      <c r="J126" s="280" t="str">
        <f t="shared" si="38"/>
        <v/>
      </c>
      <c r="K126" s="280"/>
      <c r="L126" s="280" t="str">
        <f t="shared" si="39"/>
        <v/>
      </c>
      <c r="M126" s="280" t="str">
        <f t="shared" si="40"/>
        <v/>
      </c>
      <c r="N126" s="283" t="str">
        <f t="shared" si="35"/>
        <v/>
      </c>
      <c r="O126" s="280"/>
      <c r="P126" s="289" t="str">
        <f>IF(A125=$D$8,XIRR(R$24:R125,C$24:C125),"")</f>
        <v/>
      </c>
      <c r="Q126" s="280" t="str">
        <f t="shared" si="33"/>
        <v/>
      </c>
      <c r="R126" s="283">
        <f t="shared" ca="1" si="29"/>
        <v>14897.960946852892</v>
      </c>
      <c r="S126" s="284">
        <f t="shared" ca="1" si="30"/>
        <v>2030</v>
      </c>
      <c r="T126" s="284">
        <f t="shared" ca="1" si="31"/>
        <v>365</v>
      </c>
    </row>
    <row r="127" spans="1:20" x14ac:dyDescent="0.35">
      <c r="A127" s="285">
        <f t="shared" si="32"/>
        <v>103</v>
      </c>
      <c r="B127" s="286">
        <f t="shared" ca="1" si="43"/>
        <v>47621</v>
      </c>
      <c r="C127" s="286">
        <f t="shared" ca="1" si="34"/>
        <v>47621</v>
      </c>
      <c r="D127" s="285">
        <f t="shared" ca="1" si="36"/>
        <v>30</v>
      </c>
      <c r="E127" s="280">
        <f t="shared" ca="1" si="41"/>
        <v>1664094.8814040194</v>
      </c>
      <c r="F127" s="287">
        <f ca="1">'график анн Базова'!F127</f>
        <v>5584.2476665876529</v>
      </c>
      <c r="G127" s="287">
        <f t="shared" ca="1" si="42"/>
        <v>9606.3730713651366</v>
      </c>
      <c r="H127" s="280">
        <f ca="1">IF(A126=$D$8,SUM($H$25:H126),IF(A126="","",(G127+F127)))</f>
        <v>15190.62073795279</v>
      </c>
      <c r="I127" s="280" t="str">
        <f t="shared" si="37"/>
        <v/>
      </c>
      <c r="J127" s="280" t="str">
        <f t="shared" si="38"/>
        <v/>
      </c>
      <c r="K127" s="280"/>
      <c r="L127" s="280" t="str">
        <f t="shared" si="39"/>
        <v/>
      </c>
      <c r="M127" s="280" t="str">
        <f t="shared" si="40"/>
        <v/>
      </c>
      <c r="N127" s="283" t="str">
        <f t="shared" si="35"/>
        <v/>
      </c>
      <c r="O127" s="280"/>
      <c r="P127" s="289" t="str">
        <f>IF(A126=$D$8,XIRR(R$24:R126,C$24:C126),"")</f>
        <v/>
      </c>
      <c r="Q127" s="280" t="str">
        <f t="shared" si="33"/>
        <v/>
      </c>
      <c r="R127" s="283">
        <f t="shared" ca="1" si="29"/>
        <v>15190.62073795279</v>
      </c>
      <c r="S127" s="284">
        <f t="shared" ca="1" si="30"/>
        <v>2030</v>
      </c>
      <c r="T127" s="284">
        <f t="shared" ca="1" si="31"/>
        <v>365</v>
      </c>
    </row>
    <row r="128" spans="1:20" x14ac:dyDescent="0.35">
      <c r="A128" s="285">
        <f t="shared" si="32"/>
        <v>104</v>
      </c>
      <c r="B128" s="286">
        <f t="shared" ca="1" si="43"/>
        <v>47652</v>
      </c>
      <c r="C128" s="286">
        <f t="shared" ca="1" si="34"/>
        <v>47652</v>
      </c>
      <c r="D128" s="285">
        <f t="shared" ca="1" si="36"/>
        <v>31</v>
      </c>
      <c r="E128" s="280">
        <f t="shared" ca="1" si="41"/>
        <v>1659037.9175025027</v>
      </c>
      <c r="F128" s="287">
        <f ca="1">'график анн Базова'!F128</f>
        <v>5056.9639015167995</v>
      </c>
      <c r="G128" s="287">
        <f t="shared" ca="1" si="42"/>
        <v>9893.3860072512944</v>
      </c>
      <c r="H128" s="280">
        <f ca="1">IF(A127=$D$8,SUM($H$25:H127),IF(A127="","",(G128+F128)))</f>
        <v>14950.349908768094</v>
      </c>
      <c r="I128" s="280" t="str">
        <f t="shared" si="37"/>
        <v/>
      </c>
      <c r="J128" s="280" t="str">
        <f t="shared" si="38"/>
        <v/>
      </c>
      <c r="K128" s="280"/>
      <c r="L128" s="280" t="str">
        <f t="shared" si="39"/>
        <v/>
      </c>
      <c r="M128" s="280" t="str">
        <f t="shared" si="40"/>
        <v/>
      </c>
      <c r="N128" s="283" t="str">
        <f t="shared" si="35"/>
        <v/>
      </c>
      <c r="O128" s="280"/>
      <c r="P128" s="289" t="str">
        <f>IF(A127=$D$8,XIRR(R$24:R127,C$24:C127),"")</f>
        <v/>
      </c>
      <c r="Q128" s="280" t="str">
        <f t="shared" si="33"/>
        <v/>
      </c>
      <c r="R128" s="283">
        <f t="shared" ca="1" si="29"/>
        <v>14950.349908768094</v>
      </c>
      <c r="S128" s="284">
        <f t="shared" ca="1" si="30"/>
        <v>2030</v>
      </c>
      <c r="T128" s="284">
        <f t="shared" ca="1" si="31"/>
        <v>365</v>
      </c>
    </row>
    <row r="129" spans="1:20" x14ac:dyDescent="0.35">
      <c r="A129" s="285">
        <f t="shared" si="32"/>
        <v>105</v>
      </c>
      <c r="B129" s="286">
        <f t="shared" ca="1" si="43"/>
        <v>47682</v>
      </c>
      <c r="C129" s="286">
        <f t="shared" ca="1" si="34"/>
        <v>47682</v>
      </c>
      <c r="D129" s="285">
        <f t="shared" ca="1" si="36"/>
        <v>30</v>
      </c>
      <c r="E129" s="280">
        <f t="shared" ca="1" si="41"/>
        <v>1653341.1936873405</v>
      </c>
      <c r="F129" s="287">
        <f ca="1">'график анн Базова'!F129</f>
        <v>5696.7238151623023</v>
      </c>
      <c r="G129" s="287">
        <f t="shared" ca="1" si="42"/>
        <v>9545.1496623431667</v>
      </c>
      <c r="H129" s="280">
        <f ca="1">IF(A128=$D$8,SUM($H$25:H128),IF(A128="","",(G129+F129)))</f>
        <v>15241.873477505469</v>
      </c>
      <c r="I129" s="280" t="str">
        <f t="shared" si="37"/>
        <v/>
      </c>
      <c r="J129" s="280" t="str">
        <f t="shared" si="38"/>
        <v/>
      </c>
      <c r="K129" s="280"/>
      <c r="L129" s="280" t="str">
        <f t="shared" si="39"/>
        <v/>
      </c>
      <c r="M129" s="280" t="str">
        <f t="shared" si="40"/>
        <v/>
      </c>
      <c r="N129" s="283" t="str">
        <f t="shared" si="35"/>
        <v/>
      </c>
      <c r="O129" s="280"/>
      <c r="P129" s="289" t="str">
        <f>IF(A128=$D$8,XIRR(R$24:R128,C$24:C128),"")</f>
        <v/>
      </c>
      <c r="Q129" s="280" t="str">
        <f t="shared" si="33"/>
        <v/>
      </c>
      <c r="R129" s="283">
        <f t="shared" ca="1" si="29"/>
        <v>15241.873477505469</v>
      </c>
      <c r="S129" s="284">
        <f t="shared" ca="1" si="30"/>
        <v>2030</v>
      </c>
      <c r="T129" s="284">
        <f t="shared" ca="1" si="31"/>
        <v>365</v>
      </c>
    </row>
    <row r="130" spans="1:20" x14ac:dyDescent="0.35">
      <c r="A130" s="285">
        <f t="shared" si="32"/>
        <v>106</v>
      </c>
      <c r="B130" s="286">
        <f t="shared" ca="1" si="43"/>
        <v>47713</v>
      </c>
      <c r="C130" s="286">
        <f t="shared" ca="1" si="34"/>
        <v>47713</v>
      </c>
      <c r="D130" s="285">
        <f t="shared" ca="1" si="36"/>
        <v>31</v>
      </c>
      <c r="E130" s="280">
        <f t="shared" ca="1" si="41"/>
        <v>1648166.7759462311</v>
      </c>
      <c r="F130" s="287">
        <f ca="1">'график анн Базова'!F130</f>
        <v>5174.4177411094352</v>
      </c>
      <c r="G130" s="287">
        <f t="shared" ca="1" si="42"/>
        <v>9829.4531241137774</v>
      </c>
      <c r="H130" s="280">
        <f ca="1">IF(A129=$D$8,SUM($H$25:H129),IF(A129="","",(G130+F130)))</f>
        <v>15003.870865223213</v>
      </c>
      <c r="I130" s="280" t="str">
        <f t="shared" si="37"/>
        <v/>
      </c>
      <c r="J130" s="280" t="str">
        <f t="shared" si="38"/>
        <v/>
      </c>
      <c r="K130" s="280"/>
      <c r="L130" s="280" t="str">
        <f t="shared" si="39"/>
        <v/>
      </c>
      <c r="M130" s="280" t="str">
        <f t="shared" si="40"/>
        <v/>
      </c>
      <c r="N130" s="283" t="str">
        <f t="shared" si="35"/>
        <v/>
      </c>
      <c r="O130" s="280"/>
      <c r="P130" s="289" t="str">
        <f>IF(A129=$D$8,XIRR(R$24:R129,C$24:C129),"")</f>
        <v/>
      </c>
      <c r="Q130" s="280" t="str">
        <f t="shared" si="33"/>
        <v/>
      </c>
      <c r="R130" s="283">
        <f t="shared" ca="1" si="29"/>
        <v>15003.870865223213</v>
      </c>
      <c r="S130" s="284">
        <f t="shared" ca="1" si="30"/>
        <v>2030</v>
      </c>
      <c r="T130" s="284">
        <f t="shared" ca="1" si="31"/>
        <v>365</v>
      </c>
    </row>
    <row r="131" spans="1:20" x14ac:dyDescent="0.35">
      <c r="A131" s="285">
        <f t="shared" si="32"/>
        <v>107</v>
      </c>
      <c r="B131" s="286">
        <f t="shared" ca="1" si="43"/>
        <v>47744</v>
      </c>
      <c r="C131" s="286">
        <f t="shared" ca="1" si="34"/>
        <v>47744</v>
      </c>
      <c r="D131" s="285">
        <f t="shared" ca="1" si="36"/>
        <v>31</v>
      </c>
      <c r="E131" s="280">
        <f t="shared" ca="1" si="41"/>
        <v>1642935.8422221991</v>
      </c>
      <c r="F131" s="287">
        <f ca="1">'график анн Базова'!F131</f>
        <v>5230.9337240319182</v>
      </c>
      <c r="G131" s="287">
        <f t="shared" ca="1" si="42"/>
        <v>9798.6901474063616</v>
      </c>
      <c r="H131" s="280">
        <f ca="1">IF(A130=$D$8,SUM($H$25:H130),IF(A130="","",(G131+F131)))</f>
        <v>15029.62387143828</v>
      </c>
      <c r="I131" s="280" t="str">
        <f t="shared" si="37"/>
        <v/>
      </c>
      <c r="J131" s="280" t="str">
        <f t="shared" si="38"/>
        <v/>
      </c>
      <c r="K131" s="280"/>
      <c r="L131" s="280" t="str">
        <f t="shared" si="39"/>
        <v/>
      </c>
      <c r="M131" s="280" t="str">
        <f t="shared" si="40"/>
        <v/>
      </c>
      <c r="N131" s="283" t="str">
        <f t="shared" si="35"/>
        <v/>
      </c>
      <c r="O131" s="280"/>
      <c r="P131" s="289" t="str">
        <f>IF(A130=$D$8,XIRR(R$24:R130,C$24:C130),"")</f>
        <v/>
      </c>
      <c r="Q131" s="280" t="str">
        <f t="shared" si="33"/>
        <v/>
      </c>
      <c r="R131" s="283">
        <f t="shared" ca="1" si="29"/>
        <v>15029.62387143828</v>
      </c>
      <c r="S131" s="284">
        <f t="shared" ca="1" si="30"/>
        <v>2030</v>
      </c>
      <c r="T131" s="284">
        <f t="shared" ca="1" si="31"/>
        <v>365</v>
      </c>
    </row>
    <row r="132" spans="1:20" x14ac:dyDescent="0.35">
      <c r="A132" s="285">
        <f t="shared" si="32"/>
        <v>108</v>
      </c>
      <c r="B132" s="286">
        <f t="shared" ca="1" si="43"/>
        <v>47774</v>
      </c>
      <c r="C132" s="286">
        <f t="shared" ca="1" si="34"/>
        <v>47774</v>
      </c>
      <c r="D132" s="285">
        <f t="shared" ca="1" si="36"/>
        <v>30</v>
      </c>
      <c r="E132" s="280">
        <f t="shared" ca="1" si="41"/>
        <v>1637068.9216770877</v>
      </c>
      <c r="F132" s="287">
        <f ca="1">'график анн Базова'!F132</f>
        <v>5866.9205451113739</v>
      </c>
      <c r="G132" s="287">
        <f t="shared" ca="1" si="42"/>
        <v>9452.5075853879953</v>
      </c>
      <c r="H132" s="280">
        <f ca="1">IF(A131=$D$8,SUM($H$25:H131),IF(A131="","",(G132+F132)))</f>
        <v>15319.428130499369</v>
      </c>
      <c r="I132" s="280" t="str">
        <f t="shared" si="37"/>
        <v/>
      </c>
      <c r="J132" s="280" t="str">
        <f t="shared" si="38"/>
        <v/>
      </c>
      <c r="K132" s="280"/>
      <c r="L132" s="280" t="str">
        <f t="shared" si="39"/>
        <v/>
      </c>
      <c r="M132" s="280" t="str">
        <f t="shared" si="40"/>
        <v/>
      </c>
      <c r="N132" s="283" t="str">
        <f t="shared" si="35"/>
        <v/>
      </c>
      <c r="O132" s="280"/>
      <c r="P132" s="289" t="str">
        <f>IF(A131=$D$8,XIRR(R$24:R131,C$24:C131),"")</f>
        <v/>
      </c>
      <c r="Q132" s="280" t="str">
        <f t="shared" si="33"/>
        <v/>
      </c>
      <c r="R132" s="283">
        <f t="shared" ca="1" si="29"/>
        <v>15319.428130499369</v>
      </c>
      <c r="S132" s="284">
        <f t="shared" ca="1" si="30"/>
        <v>2030</v>
      </c>
      <c r="T132" s="284">
        <f t="shared" ca="1" si="31"/>
        <v>365</v>
      </c>
    </row>
    <row r="133" spans="1:20" x14ac:dyDescent="0.35">
      <c r="A133" s="285">
        <f t="shared" si="32"/>
        <v>109</v>
      </c>
      <c r="B133" s="286">
        <f t="shared" ca="1" si="43"/>
        <v>47805</v>
      </c>
      <c r="C133" s="286">
        <f t="shared" ca="1" si="34"/>
        <v>47805</v>
      </c>
      <c r="D133" s="285">
        <f t="shared" ca="1" si="36"/>
        <v>31</v>
      </c>
      <c r="E133" s="280">
        <f t="shared" ca="1" si="41"/>
        <v>1631716.7750603727</v>
      </c>
      <c r="F133" s="287">
        <f ca="1">'график анн Базова'!F133</f>
        <v>5352.1466167151157</v>
      </c>
      <c r="G133" s="287">
        <f t="shared" ca="1" si="42"/>
        <v>9732.7111233952892</v>
      </c>
      <c r="H133" s="280">
        <f ca="1">IF(A132=$D$8,SUM($H$25:H132),IF(A132="","",(G133+F133)))</f>
        <v>15084.857740110405</v>
      </c>
      <c r="I133" s="280" t="str">
        <f t="shared" si="37"/>
        <v/>
      </c>
      <c r="J133" s="280" t="str">
        <f t="shared" si="38"/>
        <v/>
      </c>
      <c r="K133" s="280">
        <f>IF($F$8&gt;108,($O$8+$O$10),IF($A$132=$F$8,$K$24*$G$8,""))</f>
        <v>7500</v>
      </c>
      <c r="L133" s="280" t="str">
        <f t="shared" si="39"/>
        <v/>
      </c>
      <c r="M133" s="280" t="str">
        <f t="shared" si="40"/>
        <v/>
      </c>
      <c r="N133" s="280">
        <f>IF($F$8&gt;108,($N$14),IF(A132=$F$8,N121+N109+N97+N85+N73+N61+N49+N37+N24,""))</f>
        <v>0</v>
      </c>
      <c r="O133" s="280"/>
      <c r="P133" s="289" t="str">
        <f>IF(A132=$D$8,XIRR(R$24:R132,C$24:C132),"")</f>
        <v/>
      </c>
      <c r="Q133" s="280" t="str">
        <f t="shared" si="33"/>
        <v/>
      </c>
      <c r="R133" s="283">
        <f t="shared" ca="1" si="29"/>
        <v>22584.857740110405</v>
      </c>
      <c r="S133" s="284">
        <f t="shared" ca="1" si="30"/>
        <v>2030</v>
      </c>
      <c r="T133" s="284">
        <f t="shared" ca="1" si="31"/>
        <v>365</v>
      </c>
    </row>
    <row r="134" spans="1:20" x14ac:dyDescent="0.35">
      <c r="A134" s="285">
        <f t="shared" si="32"/>
        <v>110</v>
      </c>
      <c r="B134" s="286">
        <f t="shared" ca="1" si="43"/>
        <v>47835</v>
      </c>
      <c r="C134" s="286">
        <f t="shared" ca="1" si="34"/>
        <v>47835</v>
      </c>
      <c r="D134" s="285">
        <f t="shared" ca="1" si="36"/>
        <v>30</v>
      </c>
      <c r="E134" s="280">
        <f t="shared" ca="1" si="41"/>
        <v>1625731.2705122193</v>
      </c>
      <c r="F134" s="287">
        <f ca="1">'график анн Базова'!F134</f>
        <v>5985.5045481533634</v>
      </c>
      <c r="G134" s="287">
        <f t="shared" ca="1" si="42"/>
        <v>9387.9595277446097</v>
      </c>
      <c r="H134" s="280">
        <f ca="1">IF(A133=$D$8,SUM($H$25:H133),IF(A133="","",(G134+F134)))</f>
        <v>15373.464075897973</v>
      </c>
      <c r="I134" s="280" t="str">
        <f t="shared" si="37"/>
        <v/>
      </c>
      <c r="J134" s="280" t="str">
        <f t="shared" si="38"/>
        <v/>
      </c>
      <c r="K134" s="280"/>
      <c r="L134" s="280" t="str">
        <f t="shared" si="39"/>
        <v/>
      </c>
      <c r="M134" s="280" t="str">
        <f t="shared" si="40"/>
        <v/>
      </c>
      <c r="N134" s="283" t="str">
        <f t="shared" si="35"/>
        <v/>
      </c>
      <c r="O134" s="280"/>
      <c r="P134" s="289" t="str">
        <f>IF(A133=$D$8,XIRR(R$24:R133,C$24:C133),"")</f>
        <v/>
      </c>
      <c r="Q134" s="280" t="str">
        <f t="shared" si="33"/>
        <v/>
      </c>
      <c r="R134" s="283">
        <f t="shared" ca="1" si="29"/>
        <v>15373.464075897973</v>
      </c>
      <c r="S134" s="284">
        <f t="shared" ca="1" si="30"/>
        <v>2030</v>
      </c>
      <c r="T134" s="284">
        <f t="shared" ca="1" si="31"/>
        <v>365</v>
      </c>
    </row>
    <row r="135" spans="1:20" x14ac:dyDescent="0.35">
      <c r="A135" s="285">
        <f t="shared" si="32"/>
        <v>111</v>
      </c>
      <c r="B135" s="286">
        <f t="shared" ca="1" si="43"/>
        <v>47866</v>
      </c>
      <c r="C135" s="286">
        <f t="shared" ca="1" si="34"/>
        <v>47866</v>
      </c>
      <c r="D135" s="285">
        <f t="shared" ca="1" si="36"/>
        <v>31</v>
      </c>
      <c r="E135" s="280">
        <f t="shared" ca="1" si="41"/>
        <v>1620255.2918951374</v>
      </c>
      <c r="F135" s="287">
        <f ca="1">'график анн Базова'!F135</f>
        <v>5475.9786170818697</v>
      </c>
      <c r="G135" s="287">
        <f t="shared" ca="1" si="42"/>
        <v>9665.3064575657991</v>
      </c>
      <c r="H135" s="280">
        <f ca="1">IF(A134=$D$8,SUM($H$25:H134),IF(A134="","",(G135+F135)))</f>
        <v>15141.285074647669</v>
      </c>
      <c r="I135" s="280" t="str">
        <f t="shared" si="37"/>
        <v/>
      </c>
      <c r="J135" s="280" t="str">
        <f t="shared" si="38"/>
        <v/>
      </c>
      <c r="K135" s="280"/>
      <c r="L135" s="280" t="str">
        <f t="shared" si="39"/>
        <v/>
      </c>
      <c r="M135" s="280" t="str">
        <f t="shared" si="40"/>
        <v/>
      </c>
      <c r="N135" s="283" t="str">
        <f t="shared" si="35"/>
        <v/>
      </c>
      <c r="O135" s="280"/>
      <c r="P135" s="289" t="str">
        <f>IF(A134=$D$8,XIRR(R$24:R134,C$24:C134),"")</f>
        <v/>
      </c>
      <c r="Q135" s="280" t="str">
        <f t="shared" si="33"/>
        <v/>
      </c>
      <c r="R135" s="283">
        <f t="shared" ca="1" si="29"/>
        <v>15141.285074647669</v>
      </c>
      <c r="S135" s="284">
        <f t="shared" ca="1" si="30"/>
        <v>2031</v>
      </c>
      <c r="T135" s="284">
        <f t="shared" ca="1" si="31"/>
        <v>365</v>
      </c>
    </row>
    <row r="136" spans="1:20" x14ac:dyDescent="0.35">
      <c r="A136" s="285">
        <f t="shared" si="32"/>
        <v>112</v>
      </c>
      <c r="B136" s="286">
        <f t="shared" ca="1" si="43"/>
        <v>47897</v>
      </c>
      <c r="C136" s="286">
        <f t="shared" ca="1" si="34"/>
        <v>47897</v>
      </c>
      <c r="D136" s="285">
        <f t="shared" ca="1" si="36"/>
        <v>31</v>
      </c>
      <c r="E136" s="280">
        <f t="shared" ca="1" si="41"/>
        <v>1614719.5035894122</v>
      </c>
      <c r="F136" s="287">
        <f ca="1">'график анн Базова'!F136</f>
        <v>5535.7883057253166</v>
      </c>
      <c r="G136" s="287">
        <f t="shared" ca="1" si="42"/>
        <v>9632.7506394861612</v>
      </c>
      <c r="H136" s="280">
        <f ca="1">IF(A135=$D$8,SUM($H$25:H135),IF(A135="","",(G136+F136)))</f>
        <v>15168.538945211478</v>
      </c>
      <c r="I136" s="280" t="str">
        <f t="shared" si="37"/>
        <v/>
      </c>
      <c r="J136" s="280" t="str">
        <f t="shared" si="38"/>
        <v/>
      </c>
      <c r="K136" s="280"/>
      <c r="L136" s="280" t="str">
        <f t="shared" si="39"/>
        <v/>
      </c>
      <c r="M136" s="280" t="str">
        <f t="shared" si="40"/>
        <v/>
      </c>
      <c r="N136" s="283" t="str">
        <f t="shared" si="35"/>
        <v/>
      </c>
      <c r="O136" s="280"/>
      <c r="P136" s="289" t="str">
        <f>IF(A135=$D$8,XIRR(R$24:R135,C$24:C135),"")</f>
        <v/>
      </c>
      <c r="Q136" s="280" t="str">
        <f t="shared" si="33"/>
        <v/>
      </c>
      <c r="R136" s="283">
        <f t="shared" ca="1" si="29"/>
        <v>15168.538945211478</v>
      </c>
      <c r="S136" s="284">
        <f t="shared" ca="1" si="30"/>
        <v>2031</v>
      </c>
      <c r="T136" s="284">
        <f t="shared" ca="1" si="31"/>
        <v>365</v>
      </c>
    </row>
    <row r="137" spans="1:20" x14ac:dyDescent="0.35">
      <c r="A137" s="285">
        <f t="shared" si="32"/>
        <v>113</v>
      </c>
      <c r="B137" s="286">
        <f t="shared" ca="1" si="43"/>
        <v>47925</v>
      </c>
      <c r="C137" s="286">
        <f t="shared" ca="1" si="34"/>
        <v>47925</v>
      </c>
      <c r="D137" s="285">
        <f t="shared" ca="1" si="36"/>
        <v>28</v>
      </c>
      <c r="E137" s="280">
        <f t="shared" ca="1" si="41"/>
        <v>1607416.5159463049</v>
      </c>
      <c r="F137" s="287">
        <f ca="1">'график анн Базова'!F137</f>
        <v>7302.9876431072316</v>
      </c>
      <c r="G137" s="287">
        <f t="shared" ca="1" si="42"/>
        <v>8670.8225398225986</v>
      </c>
      <c r="H137" s="280">
        <f ca="1">IF(A136=$D$8,SUM($H$25:H136),IF(A136="","",(G137+F137)))</f>
        <v>15973.81018292983</v>
      </c>
      <c r="I137" s="280" t="str">
        <f t="shared" si="37"/>
        <v/>
      </c>
      <c r="J137" s="280" t="str">
        <f t="shared" si="38"/>
        <v/>
      </c>
      <c r="K137" s="280"/>
      <c r="L137" s="280" t="str">
        <f t="shared" si="39"/>
        <v/>
      </c>
      <c r="M137" s="280" t="str">
        <f t="shared" si="40"/>
        <v/>
      </c>
      <c r="N137" s="283" t="str">
        <f t="shared" si="35"/>
        <v/>
      </c>
      <c r="O137" s="280"/>
      <c r="P137" s="289" t="str">
        <f>IF(A136=$D$8,XIRR(R$24:R136,C$24:C136),"")</f>
        <v/>
      </c>
      <c r="Q137" s="280" t="str">
        <f t="shared" si="33"/>
        <v/>
      </c>
      <c r="R137" s="283">
        <f t="shared" ca="1" si="29"/>
        <v>15973.81018292983</v>
      </c>
      <c r="S137" s="284">
        <f t="shared" ca="1" si="30"/>
        <v>2031</v>
      </c>
      <c r="T137" s="284">
        <f t="shared" ca="1" si="31"/>
        <v>365</v>
      </c>
    </row>
    <row r="138" spans="1:20" x14ac:dyDescent="0.35">
      <c r="A138" s="285">
        <f t="shared" si="32"/>
        <v>114</v>
      </c>
      <c r="B138" s="286">
        <f t="shared" ca="1" si="43"/>
        <v>47956</v>
      </c>
      <c r="C138" s="286">
        <f t="shared" ca="1" si="34"/>
        <v>47956</v>
      </c>
      <c r="D138" s="285">
        <f t="shared" ca="1" si="36"/>
        <v>31</v>
      </c>
      <c r="E138" s="280">
        <f t="shared" ca="1" si="41"/>
        <v>1601740.5000674354</v>
      </c>
      <c r="F138" s="287">
        <f ca="1">'график анн Базова'!F138</f>
        <v>5676.015878869468</v>
      </c>
      <c r="G138" s="287">
        <f t="shared" ca="1" si="42"/>
        <v>9556.4214783657044</v>
      </c>
      <c r="H138" s="280">
        <f ca="1">IF(A137=$D$8,SUM($H$25:H137),IF(A137="","",(G138+F138)))</f>
        <v>15232.437357235172</v>
      </c>
      <c r="I138" s="280" t="str">
        <f t="shared" si="37"/>
        <v/>
      </c>
      <c r="J138" s="280" t="str">
        <f t="shared" si="38"/>
        <v/>
      </c>
      <c r="K138" s="280"/>
      <c r="L138" s="280" t="str">
        <f t="shared" si="39"/>
        <v/>
      </c>
      <c r="M138" s="280" t="str">
        <f t="shared" si="40"/>
        <v/>
      </c>
      <c r="N138" s="283" t="str">
        <f t="shared" si="35"/>
        <v/>
      </c>
      <c r="O138" s="280"/>
      <c r="P138" s="289" t="str">
        <f>IF(A137=$D$8,XIRR(R$24:R137,C$24:C137),"")</f>
        <v/>
      </c>
      <c r="Q138" s="280" t="str">
        <f t="shared" si="33"/>
        <v/>
      </c>
      <c r="R138" s="283">
        <f t="shared" ca="1" si="29"/>
        <v>15232.437357235172</v>
      </c>
      <c r="S138" s="284">
        <f t="shared" ca="1" si="30"/>
        <v>2031</v>
      </c>
      <c r="T138" s="284">
        <f t="shared" ca="1" si="31"/>
        <v>365</v>
      </c>
    </row>
    <row r="139" spans="1:20" x14ac:dyDescent="0.35">
      <c r="A139" s="285">
        <f t="shared" si="32"/>
        <v>115</v>
      </c>
      <c r="B139" s="286">
        <f t="shared" ca="1" si="43"/>
        <v>47986</v>
      </c>
      <c r="C139" s="286">
        <f t="shared" ca="1" si="34"/>
        <v>47986</v>
      </c>
      <c r="D139" s="285">
        <f t="shared" ca="1" si="36"/>
        <v>30</v>
      </c>
      <c r="E139" s="280">
        <f t="shared" ca="1" si="41"/>
        <v>1595438.1503989457</v>
      </c>
      <c r="F139" s="287">
        <f ca="1">'график анн Базова'!F139</f>
        <v>6302.3496684896709</v>
      </c>
      <c r="G139" s="287">
        <f t="shared" ca="1" si="42"/>
        <v>9215.4932880592187</v>
      </c>
      <c r="H139" s="280">
        <f ca="1">IF(A138=$D$8,SUM($H$25:H138),IF(A138="","",(G139+F139)))</f>
        <v>15517.84295654889</v>
      </c>
      <c r="I139" s="280" t="str">
        <f t="shared" si="37"/>
        <v/>
      </c>
      <c r="J139" s="280" t="str">
        <f t="shared" si="38"/>
        <v/>
      </c>
      <c r="K139" s="280"/>
      <c r="L139" s="280" t="str">
        <f t="shared" si="39"/>
        <v/>
      </c>
      <c r="M139" s="280" t="str">
        <f t="shared" si="40"/>
        <v/>
      </c>
      <c r="N139" s="283" t="str">
        <f t="shared" si="35"/>
        <v/>
      </c>
      <c r="O139" s="280"/>
      <c r="P139" s="289" t="str">
        <f>IF(A138=$D$8,XIRR(R$24:R138,C$24:C138),"")</f>
        <v/>
      </c>
      <c r="Q139" s="280" t="str">
        <f t="shared" si="33"/>
        <v/>
      </c>
      <c r="R139" s="283">
        <f t="shared" ca="1" si="29"/>
        <v>15517.84295654889</v>
      </c>
      <c r="S139" s="284">
        <f t="shared" ca="1" si="30"/>
        <v>2031</v>
      </c>
      <c r="T139" s="284">
        <f t="shared" ca="1" si="31"/>
        <v>365</v>
      </c>
    </row>
    <row r="140" spans="1:20" x14ac:dyDescent="0.35">
      <c r="A140" s="285">
        <f t="shared" si="32"/>
        <v>116</v>
      </c>
      <c r="B140" s="286">
        <f t="shared" ca="1" si="43"/>
        <v>48017</v>
      </c>
      <c r="C140" s="286">
        <f t="shared" ca="1" si="34"/>
        <v>48017</v>
      </c>
      <c r="D140" s="285">
        <f t="shared" ca="1" si="36"/>
        <v>31</v>
      </c>
      <c r="E140" s="280">
        <f t="shared" ca="1" si="41"/>
        <v>1589631.3045143471</v>
      </c>
      <c r="F140" s="287">
        <f ca="1">'график анн Базова'!F140</f>
        <v>5806.8458845985151</v>
      </c>
      <c r="G140" s="287">
        <f t="shared" ca="1" si="42"/>
        <v>9485.2076338786646</v>
      </c>
      <c r="H140" s="280">
        <f ca="1">IF(A139=$D$8,SUM($H$25:H139),IF(A139="","",(G140+F140)))</f>
        <v>15292.05351847718</v>
      </c>
      <c r="I140" s="280" t="str">
        <f t="shared" si="37"/>
        <v/>
      </c>
      <c r="J140" s="280" t="str">
        <f t="shared" si="38"/>
        <v/>
      </c>
      <c r="K140" s="280"/>
      <c r="L140" s="280" t="str">
        <f t="shared" si="39"/>
        <v/>
      </c>
      <c r="M140" s="280" t="str">
        <f t="shared" si="40"/>
        <v/>
      </c>
      <c r="N140" s="283" t="str">
        <f t="shared" si="35"/>
        <v/>
      </c>
      <c r="O140" s="280"/>
      <c r="P140" s="289" t="str">
        <f>IF(A139=$D$8,XIRR(R$24:R139,C$24:C139),"")</f>
        <v/>
      </c>
      <c r="Q140" s="280" t="str">
        <f t="shared" si="33"/>
        <v/>
      </c>
      <c r="R140" s="283">
        <f t="shared" ca="1" si="29"/>
        <v>15292.05351847718</v>
      </c>
      <c r="S140" s="284">
        <f t="shared" ca="1" si="30"/>
        <v>2031</v>
      </c>
      <c r="T140" s="284">
        <f t="shared" ca="1" si="31"/>
        <v>365</v>
      </c>
    </row>
    <row r="141" spans="1:20" x14ac:dyDescent="0.35">
      <c r="A141" s="285">
        <f t="shared" si="32"/>
        <v>117</v>
      </c>
      <c r="B141" s="286">
        <f t="shared" ca="1" si="43"/>
        <v>48047</v>
      </c>
      <c r="C141" s="286">
        <f t="shared" ca="1" si="34"/>
        <v>48047</v>
      </c>
      <c r="D141" s="285">
        <f t="shared" ca="1" si="36"/>
        <v>30</v>
      </c>
      <c r="E141" s="280">
        <f t="shared" ca="1" si="41"/>
        <v>1583200.9623076553</v>
      </c>
      <c r="F141" s="287">
        <f ca="1">'график анн Базова'!F141</f>
        <v>6430.3422066919047</v>
      </c>
      <c r="G141" s="287">
        <f t="shared" ca="1" si="42"/>
        <v>9145.8239437811753</v>
      </c>
      <c r="H141" s="280">
        <f ca="1">IF(A140=$D$8,SUM($H$25:H140),IF(A140="","",(G141+F141)))</f>
        <v>15576.16615047308</v>
      </c>
      <c r="I141" s="280" t="str">
        <f t="shared" si="37"/>
        <v/>
      </c>
      <c r="J141" s="280" t="str">
        <f t="shared" si="38"/>
        <v/>
      </c>
      <c r="K141" s="280"/>
      <c r="L141" s="280" t="str">
        <f t="shared" si="39"/>
        <v/>
      </c>
      <c r="M141" s="280" t="str">
        <f t="shared" si="40"/>
        <v/>
      </c>
      <c r="N141" s="283" t="str">
        <f t="shared" si="35"/>
        <v/>
      </c>
      <c r="O141" s="280"/>
      <c r="P141" s="289" t="str">
        <f>IF(A140=$D$8,XIRR(R$24:R140,C$24:C140),"")</f>
        <v/>
      </c>
      <c r="Q141" s="280" t="str">
        <f t="shared" si="33"/>
        <v/>
      </c>
      <c r="R141" s="283">
        <f t="shared" ca="1" si="29"/>
        <v>15576.16615047308</v>
      </c>
      <c r="S141" s="284">
        <f t="shared" ca="1" si="30"/>
        <v>2031</v>
      </c>
      <c r="T141" s="284">
        <f t="shared" ca="1" si="31"/>
        <v>365</v>
      </c>
    </row>
    <row r="142" spans="1:20" x14ac:dyDescent="0.35">
      <c r="A142" s="285">
        <f t="shared" si="32"/>
        <v>118</v>
      </c>
      <c r="B142" s="286">
        <f t="shared" ca="1" si="43"/>
        <v>48078</v>
      </c>
      <c r="C142" s="286">
        <f t="shared" ca="1" si="34"/>
        <v>48078</v>
      </c>
      <c r="D142" s="285">
        <f t="shared" ca="1" si="36"/>
        <v>31</v>
      </c>
      <c r="E142" s="280">
        <f t="shared" ca="1" si="41"/>
        <v>1577260.4595078656</v>
      </c>
      <c r="F142" s="287">
        <f ca="1">'график анн Базова'!F142</f>
        <v>5940.5027997895813</v>
      </c>
      <c r="G142" s="287">
        <f t="shared" ca="1" si="42"/>
        <v>9412.4550361852398</v>
      </c>
      <c r="H142" s="280">
        <f ca="1">IF(A141=$D$8,SUM($H$25:H141),IF(A141="","",(G142+F142)))</f>
        <v>15352.957835974821</v>
      </c>
      <c r="I142" s="280" t="str">
        <f t="shared" si="37"/>
        <v/>
      </c>
      <c r="J142" s="280" t="str">
        <f t="shared" si="38"/>
        <v/>
      </c>
      <c r="K142" s="280"/>
      <c r="L142" s="280" t="str">
        <f t="shared" si="39"/>
        <v/>
      </c>
      <c r="M142" s="280" t="str">
        <f t="shared" si="40"/>
        <v/>
      </c>
      <c r="N142" s="283" t="str">
        <f t="shared" si="35"/>
        <v/>
      </c>
      <c r="O142" s="280"/>
      <c r="P142" s="289" t="str">
        <f>IF(A141=$D$8,XIRR(R$24:R141,C$24:C141),"")</f>
        <v/>
      </c>
      <c r="Q142" s="280" t="str">
        <f t="shared" si="33"/>
        <v/>
      </c>
      <c r="R142" s="283">
        <f t="shared" ca="1" si="29"/>
        <v>15352.957835974821</v>
      </c>
      <c r="S142" s="284">
        <f t="shared" ca="1" si="30"/>
        <v>2031</v>
      </c>
      <c r="T142" s="284">
        <f t="shared" ca="1" si="31"/>
        <v>365</v>
      </c>
    </row>
    <row r="143" spans="1:20" x14ac:dyDescent="0.35">
      <c r="A143" s="285">
        <f t="shared" si="32"/>
        <v>119</v>
      </c>
      <c r="B143" s="286">
        <f t="shared" ca="1" si="43"/>
        <v>48109</v>
      </c>
      <c r="C143" s="286">
        <f t="shared" ca="1" si="34"/>
        <v>48109</v>
      </c>
      <c r="D143" s="285">
        <f t="shared" ca="1" si="36"/>
        <v>31</v>
      </c>
      <c r="E143" s="280">
        <f t="shared" ca="1" si="41"/>
        <v>1571255.0733972222</v>
      </c>
      <c r="F143" s="287">
        <f ca="1">'график анн Базова'!F143</f>
        <v>6005.3861106433942</v>
      </c>
      <c r="G143" s="287">
        <f t="shared" ca="1" si="42"/>
        <v>9377.1375263892296</v>
      </c>
      <c r="H143" s="280">
        <f ca="1">IF(A142=$D$8,SUM($H$25:H142),IF(A142="","",(G143+F143)))</f>
        <v>15382.523637032624</v>
      </c>
      <c r="I143" s="280" t="str">
        <f t="shared" si="37"/>
        <v/>
      </c>
      <c r="J143" s="280" t="str">
        <f t="shared" si="38"/>
        <v/>
      </c>
      <c r="K143" s="280"/>
      <c r="L143" s="280" t="str">
        <f t="shared" si="39"/>
        <v/>
      </c>
      <c r="M143" s="280" t="str">
        <f t="shared" si="40"/>
        <v/>
      </c>
      <c r="N143" s="283" t="str">
        <f t="shared" si="35"/>
        <v/>
      </c>
      <c r="O143" s="280"/>
      <c r="P143" s="289" t="str">
        <f>IF(A142=$D$8,XIRR(R$24:R142,C$24:C142),"")</f>
        <v/>
      </c>
      <c r="Q143" s="280" t="str">
        <f t="shared" si="33"/>
        <v/>
      </c>
      <c r="R143" s="283">
        <f t="shared" ca="1" si="29"/>
        <v>15382.523637032624</v>
      </c>
      <c r="S143" s="284">
        <f t="shared" ca="1" si="30"/>
        <v>2031</v>
      </c>
      <c r="T143" s="284">
        <f t="shared" ca="1" si="31"/>
        <v>365</v>
      </c>
    </row>
    <row r="144" spans="1:20" x14ac:dyDescent="0.35">
      <c r="A144" s="285">
        <f t="shared" si="32"/>
        <v>120</v>
      </c>
      <c r="B144" s="286">
        <f t="shared" ca="1" si="43"/>
        <v>48139</v>
      </c>
      <c r="C144" s="286">
        <f t="shared" ca="1" si="34"/>
        <v>48139</v>
      </c>
      <c r="D144" s="285">
        <f t="shared" ca="1" si="36"/>
        <v>30</v>
      </c>
      <c r="E144" s="280">
        <f t="shared" ca="1" si="41"/>
        <v>1564630.4969449143</v>
      </c>
      <c r="F144" s="287">
        <f ca="1">'график анн Базова'!F144</f>
        <v>6624.5764523079779</v>
      </c>
      <c r="G144" s="287">
        <f t="shared" ca="1" si="42"/>
        <v>9040.0976825593607</v>
      </c>
      <c r="H144" s="280">
        <f ca="1">IF(A143=$D$8,SUM($H$25:H143),IF(A143="","",(G144+F144)))</f>
        <v>15664.674134867339</v>
      </c>
      <c r="I144" s="280" t="str">
        <f t="shared" si="37"/>
        <v/>
      </c>
      <c r="J144" s="280" t="str">
        <f t="shared" si="38"/>
        <v/>
      </c>
      <c r="K144" s="280"/>
      <c r="L144" s="280" t="str">
        <f t="shared" si="39"/>
        <v/>
      </c>
      <c r="M144" s="280" t="str">
        <f t="shared" si="40"/>
        <v/>
      </c>
      <c r="N144" s="283" t="str">
        <f t="shared" si="35"/>
        <v/>
      </c>
      <c r="O144" s="280"/>
      <c r="P144" s="289" t="str">
        <f>IF(A143=$D$8,XIRR(R$24:R143,C$24:C143),"")</f>
        <v/>
      </c>
      <c r="Q144" s="280" t="str">
        <f t="shared" si="33"/>
        <v/>
      </c>
      <c r="R144" s="283">
        <f t="shared" ca="1" si="29"/>
        <v>15664.674134867339</v>
      </c>
      <c r="S144" s="284">
        <f t="shared" ca="1" si="30"/>
        <v>2031</v>
      </c>
      <c r="T144" s="284">
        <f t="shared" ca="1" si="31"/>
        <v>365</v>
      </c>
    </row>
    <row r="145" spans="1:20" x14ac:dyDescent="0.35">
      <c r="A145" s="285">
        <f t="shared" si="32"/>
        <v>121</v>
      </c>
      <c r="B145" s="286">
        <f t="shared" ca="1" si="43"/>
        <v>48170</v>
      </c>
      <c r="C145" s="286">
        <f t="shared" ca="1" si="34"/>
        <v>48170</v>
      </c>
      <c r="D145" s="285">
        <f t="shared" ca="1" si="36"/>
        <v>31</v>
      </c>
      <c r="E145" s="280">
        <f t="shared" ca="1" si="41"/>
        <v>1558487.1639609737</v>
      </c>
      <c r="F145" s="287">
        <f ca="1">'график анн Базова'!F145</f>
        <v>6143.3329839405487</v>
      </c>
      <c r="G145" s="287">
        <f t="shared" ca="1" si="42"/>
        <v>9302.0498037546968</v>
      </c>
      <c r="H145" s="280">
        <f ca="1">IF(A144=$D$8,SUM($H$25:H144),IF(A144="","",(G145+F145)))</f>
        <v>15445.382787695245</v>
      </c>
      <c r="I145" s="280" t="str">
        <f t="shared" si="37"/>
        <v/>
      </c>
      <c r="J145" s="280" t="str">
        <f t="shared" si="38"/>
        <v/>
      </c>
      <c r="K145" s="280">
        <f>IF($F$8&gt;120,($O$8+$O$10),IF($A$144=$F$8,$K$24*$G$8,""))</f>
        <v>7500</v>
      </c>
      <c r="L145" s="280" t="str">
        <f t="shared" si="39"/>
        <v/>
      </c>
      <c r="M145" s="280" t="str">
        <f t="shared" si="40"/>
        <v/>
      </c>
      <c r="N145" s="280">
        <f>IF($F$8&gt;120,($N$14),IF(A144=$F$8,N133+N121+N109+N97+N85+N73+N61+N49+N37+N24,""))</f>
        <v>0</v>
      </c>
      <c r="O145" s="280"/>
      <c r="P145" s="289" t="str">
        <f>IF(A144=$D$8,XIRR(R$24:R144,C$24:C144),"")</f>
        <v/>
      </c>
      <c r="Q145" s="280" t="str">
        <f t="shared" si="33"/>
        <v/>
      </c>
      <c r="R145" s="283">
        <f t="shared" ca="1" si="29"/>
        <v>22945.382787695245</v>
      </c>
      <c r="S145" s="284">
        <f t="shared" ca="1" si="30"/>
        <v>2031</v>
      </c>
      <c r="T145" s="284">
        <f t="shared" ca="1" si="31"/>
        <v>365</v>
      </c>
    </row>
    <row r="146" spans="1:20" x14ac:dyDescent="0.35">
      <c r="A146" s="285">
        <f t="shared" si="32"/>
        <v>122</v>
      </c>
      <c r="B146" s="286">
        <f t="shared" ca="1" si="43"/>
        <v>48200</v>
      </c>
      <c r="C146" s="286">
        <f t="shared" ca="1" si="34"/>
        <v>48200</v>
      </c>
      <c r="D146" s="285">
        <f t="shared" ca="1" si="36"/>
        <v>30</v>
      </c>
      <c r="E146" s="280">
        <f t="shared" ca="1" si="41"/>
        <v>1551727.6324549534</v>
      </c>
      <c r="F146" s="287">
        <f ca="1">'график анн Базова'!F146</f>
        <v>6759.5315060204375</v>
      </c>
      <c r="G146" s="287">
        <f t="shared" ca="1" si="42"/>
        <v>8966.638477583685</v>
      </c>
      <c r="H146" s="280">
        <f ca="1">IF(A145=$D$8,SUM($H$25:H145),IF(A145="","",(G146+F146)))</f>
        <v>15726.169983604123</v>
      </c>
      <c r="I146" s="280" t="str">
        <f t="shared" si="37"/>
        <v/>
      </c>
      <c r="J146" s="280" t="str">
        <f t="shared" si="38"/>
        <v/>
      </c>
      <c r="K146" s="280"/>
      <c r="L146" s="280" t="str">
        <f t="shared" si="39"/>
        <v/>
      </c>
      <c r="M146" s="280" t="str">
        <f t="shared" si="40"/>
        <v/>
      </c>
      <c r="N146" s="283" t="str">
        <f t="shared" si="35"/>
        <v/>
      </c>
      <c r="O146" s="280"/>
      <c r="P146" s="289" t="str">
        <f>IF(A145=$D$8,XIRR(R$24:R145,C$24:C145),"")</f>
        <v/>
      </c>
      <c r="Q146" s="280" t="str">
        <f t="shared" si="33"/>
        <v/>
      </c>
      <c r="R146" s="283">
        <f t="shared" ca="1" si="29"/>
        <v>15726.169983604123</v>
      </c>
      <c r="S146" s="284">
        <f t="shared" ca="1" si="30"/>
        <v>2031</v>
      </c>
      <c r="T146" s="284">
        <f t="shared" ca="1" si="31"/>
        <v>365</v>
      </c>
    </row>
    <row r="147" spans="1:20" x14ac:dyDescent="0.35">
      <c r="A147" s="285">
        <f t="shared" si="32"/>
        <v>123</v>
      </c>
      <c r="B147" s="286">
        <f t="shared" ca="1" si="43"/>
        <v>48231</v>
      </c>
      <c r="C147" s="286">
        <f t="shared" ca="1" si="34"/>
        <v>48231</v>
      </c>
      <c r="D147" s="285">
        <f t="shared" ca="1" si="36"/>
        <v>31</v>
      </c>
      <c r="E147" s="280">
        <f t="shared" ca="1" si="41"/>
        <v>1545443.3719105315</v>
      </c>
      <c r="F147" s="287">
        <f ca="1">'график анн Базова'!F147</f>
        <v>6284.2605444218607</v>
      </c>
      <c r="G147" s="287">
        <f t="shared" ca="1" si="42"/>
        <v>9225.3396230883536</v>
      </c>
      <c r="H147" s="280">
        <f ca="1">IF(A146=$D$8,SUM($H$25:H146),IF(A146="","",(G147+F147)))</f>
        <v>15509.600167510214</v>
      </c>
      <c r="I147" s="280" t="str">
        <f t="shared" si="37"/>
        <v/>
      </c>
      <c r="J147" s="280" t="str">
        <f t="shared" si="38"/>
        <v/>
      </c>
      <c r="K147" s="280"/>
      <c r="L147" s="280" t="str">
        <f t="shared" si="39"/>
        <v/>
      </c>
      <c r="M147" s="280" t="str">
        <f t="shared" si="40"/>
        <v/>
      </c>
      <c r="N147" s="283" t="str">
        <f t="shared" si="35"/>
        <v/>
      </c>
      <c r="O147" s="280"/>
      <c r="P147" s="289" t="str">
        <f>IF(A146=$D$8,XIRR(R$24:R146,C$24:C146),"")</f>
        <v/>
      </c>
      <c r="Q147" s="280" t="str">
        <f t="shared" si="33"/>
        <v/>
      </c>
      <c r="R147" s="283">
        <f t="shared" ca="1" si="29"/>
        <v>15509.600167510214</v>
      </c>
      <c r="S147" s="284">
        <f t="shared" ca="1" si="30"/>
        <v>2032</v>
      </c>
      <c r="T147" s="284">
        <f t="shared" ca="1" si="31"/>
        <v>366</v>
      </c>
    </row>
    <row r="148" spans="1:20" x14ac:dyDescent="0.35">
      <c r="A148" s="285">
        <f t="shared" si="32"/>
        <v>124</v>
      </c>
      <c r="B148" s="286">
        <f t="shared" ca="1" si="43"/>
        <v>48262</v>
      </c>
      <c r="C148" s="286">
        <f t="shared" ca="1" si="34"/>
        <v>48262</v>
      </c>
      <c r="D148" s="285">
        <f t="shared" ca="1" si="36"/>
        <v>31</v>
      </c>
      <c r="E148" s="280">
        <f t="shared" ca="1" si="41"/>
        <v>1539044.3542626132</v>
      </c>
      <c r="F148" s="287">
        <f ca="1">'график анн Базова'!F148</f>
        <v>6399.0176479182119</v>
      </c>
      <c r="G148" s="287">
        <f t="shared" ca="1" si="42"/>
        <v>9187.9784028653521</v>
      </c>
      <c r="H148" s="280">
        <f ca="1">IF(A147=$D$8,SUM($H$25:H147),IF(A147="","",(G148+F148)))</f>
        <v>15586.996050783564</v>
      </c>
      <c r="I148" s="280" t="str">
        <f t="shared" si="37"/>
        <v/>
      </c>
      <c r="J148" s="280" t="str">
        <f t="shared" si="38"/>
        <v/>
      </c>
      <c r="K148" s="280"/>
      <c r="L148" s="280" t="str">
        <f t="shared" si="39"/>
        <v/>
      </c>
      <c r="M148" s="280" t="str">
        <f t="shared" si="40"/>
        <v/>
      </c>
      <c r="N148" s="283" t="str">
        <f t="shared" si="35"/>
        <v/>
      </c>
      <c r="O148" s="280"/>
      <c r="P148" s="289" t="str">
        <f>IF(A147=$D$8,XIRR(R$24:R147,C$24:C147),"")</f>
        <v/>
      </c>
      <c r="Q148" s="280" t="str">
        <f t="shared" si="33"/>
        <v/>
      </c>
      <c r="R148" s="283">
        <f t="shared" ca="1" si="29"/>
        <v>15586.996050783564</v>
      </c>
      <c r="S148" s="284">
        <f t="shared" ca="1" si="30"/>
        <v>2032</v>
      </c>
      <c r="T148" s="284">
        <f t="shared" ca="1" si="31"/>
        <v>366</v>
      </c>
    </row>
    <row r="149" spans="1:20" x14ac:dyDescent="0.35">
      <c r="A149" s="285">
        <f t="shared" si="32"/>
        <v>125</v>
      </c>
      <c r="B149" s="286">
        <f t="shared" ca="1" si="43"/>
        <v>48291</v>
      </c>
      <c r="C149" s="286">
        <f t="shared" ca="1" si="34"/>
        <v>48291</v>
      </c>
      <c r="D149" s="285">
        <f t="shared" ca="1" si="36"/>
        <v>29</v>
      </c>
      <c r="E149" s="280">
        <f t="shared" ca="1" si="41"/>
        <v>1531494.1001893629</v>
      </c>
      <c r="F149" s="287">
        <f ca="1">'график анн Базова'!F149</f>
        <v>7550.2540732502766</v>
      </c>
      <c r="G149" s="287">
        <f t="shared" ca="1" si="42"/>
        <v>8559.6165456249455</v>
      </c>
      <c r="H149" s="280">
        <f ca="1">IF(A148=$D$8,SUM($H$25:H148),IF(A148="","",(G149+F149)))</f>
        <v>16109.870618875222</v>
      </c>
      <c r="I149" s="280" t="str">
        <f t="shared" si="37"/>
        <v/>
      </c>
      <c r="J149" s="280" t="str">
        <f t="shared" si="38"/>
        <v/>
      </c>
      <c r="K149" s="280"/>
      <c r="L149" s="280" t="str">
        <f t="shared" si="39"/>
        <v/>
      </c>
      <c r="M149" s="280" t="str">
        <f t="shared" si="40"/>
        <v/>
      </c>
      <c r="N149" s="283" t="str">
        <f t="shared" si="35"/>
        <v/>
      </c>
      <c r="O149" s="280"/>
      <c r="P149" s="289" t="str">
        <f>IF(A148=$D$8,XIRR(R$24:R148,C$24:C148),"")</f>
        <v/>
      </c>
      <c r="Q149" s="280" t="str">
        <f t="shared" si="33"/>
        <v/>
      </c>
      <c r="R149" s="283">
        <f t="shared" ca="1" si="29"/>
        <v>16109.870618875222</v>
      </c>
      <c r="S149" s="284">
        <f t="shared" ca="1" si="30"/>
        <v>2032</v>
      </c>
      <c r="T149" s="284">
        <f t="shared" ca="1" si="31"/>
        <v>366</v>
      </c>
    </row>
    <row r="150" spans="1:20" x14ac:dyDescent="0.35">
      <c r="A150" s="285">
        <f t="shared" si="32"/>
        <v>126</v>
      </c>
      <c r="B150" s="286">
        <f t="shared" ca="1" si="43"/>
        <v>48322</v>
      </c>
      <c r="C150" s="286">
        <f t="shared" ca="1" si="34"/>
        <v>48322</v>
      </c>
      <c r="D150" s="285">
        <f t="shared" ca="1" si="36"/>
        <v>31</v>
      </c>
      <c r="E150" s="280">
        <f t="shared" ca="1" si="41"/>
        <v>1524943.1421954238</v>
      </c>
      <c r="F150" s="287">
        <f ca="1">'график анн Базова'!F150</f>
        <v>6550.9579939390096</v>
      </c>
      <c r="G150" s="287">
        <f t="shared" ca="1" si="42"/>
        <v>9105.0471161942951</v>
      </c>
      <c r="H150" s="280">
        <f ca="1">IF(A149=$D$8,SUM($H$25:H149),IF(A149="","",(G150+F150)))</f>
        <v>15656.005110133305</v>
      </c>
      <c r="I150" s="280" t="str">
        <f t="shared" si="37"/>
        <v/>
      </c>
      <c r="J150" s="280" t="str">
        <f t="shared" si="38"/>
        <v/>
      </c>
      <c r="K150" s="280"/>
      <c r="L150" s="280" t="str">
        <f t="shared" si="39"/>
        <v/>
      </c>
      <c r="M150" s="280" t="str">
        <f t="shared" si="40"/>
        <v/>
      </c>
      <c r="N150" s="283" t="str">
        <f t="shared" si="35"/>
        <v/>
      </c>
      <c r="O150" s="280"/>
      <c r="P150" s="289" t="str">
        <f>IF(A149=$D$8,XIRR(R$24:R149,C$24:C149),"")</f>
        <v/>
      </c>
      <c r="Q150" s="280" t="str">
        <f t="shared" si="33"/>
        <v/>
      </c>
      <c r="R150" s="283">
        <f t="shared" ca="1" si="29"/>
        <v>15656.005110133305</v>
      </c>
      <c r="S150" s="284">
        <f t="shared" ca="1" si="30"/>
        <v>2032</v>
      </c>
      <c r="T150" s="284">
        <f t="shared" ca="1" si="31"/>
        <v>366</v>
      </c>
    </row>
    <row r="151" spans="1:20" x14ac:dyDescent="0.35">
      <c r="A151" s="285">
        <f t="shared" si="32"/>
        <v>127</v>
      </c>
      <c r="B151" s="286">
        <f t="shared" ca="1" si="43"/>
        <v>48352</v>
      </c>
      <c r="C151" s="286">
        <f t="shared" ca="1" si="34"/>
        <v>48352</v>
      </c>
      <c r="D151" s="285">
        <f t="shared" ca="1" si="36"/>
        <v>30</v>
      </c>
      <c r="E151" s="280">
        <f t="shared" ca="1" si="41"/>
        <v>1517785.0155205424</v>
      </c>
      <c r="F151" s="287">
        <f ca="1">'график анн Базова'!F151</f>
        <v>7158.1266748815451</v>
      </c>
      <c r="G151" s="287">
        <f t="shared" ca="1" si="42"/>
        <v>8773.6454756449057</v>
      </c>
      <c r="H151" s="280">
        <f ca="1">IF(A150=$D$8,SUM($H$25:H150),IF(A150="","",(G151+F151)))</f>
        <v>15931.772150526451</v>
      </c>
      <c r="I151" s="280" t="str">
        <f t="shared" si="37"/>
        <v/>
      </c>
      <c r="J151" s="280" t="str">
        <f t="shared" si="38"/>
        <v/>
      </c>
      <c r="K151" s="280"/>
      <c r="L151" s="280" t="str">
        <f t="shared" si="39"/>
        <v/>
      </c>
      <c r="M151" s="280" t="str">
        <f t="shared" si="40"/>
        <v/>
      </c>
      <c r="N151" s="283" t="str">
        <f t="shared" si="35"/>
        <v/>
      </c>
      <c r="O151" s="280"/>
      <c r="P151" s="289" t="str">
        <f>IF(A150=$D$8,XIRR(R$24:R150,C$24:C150),"")</f>
        <v/>
      </c>
      <c r="Q151" s="280" t="str">
        <f t="shared" si="33"/>
        <v/>
      </c>
      <c r="R151" s="283">
        <f t="shared" ca="1" si="29"/>
        <v>15931.772150526451</v>
      </c>
      <c r="S151" s="284">
        <f t="shared" ca="1" si="30"/>
        <v>2032</v>
      </c>
      <c r="T151" s="284">
        <f t="shared" ca="1" si="31"/>
        <v>366</v>
      </c>
    </row>
    <row r="152" spans="1:20" x14ac:dyDescent="0.35">
      <c r="A152" s="285">
        <f t="shared" si="32"/>
        <v>128</v>
      </c>
      <c r="B152" s="286">
        <f t="shared" ca="1" si="43"/>
        <v>48383</v>
      </c>
      <c r="C152" s="286">
        <f t="shared" ca="1" si="34"/>
        <v>48383</v>
      </c>
      <c r="D152" s="285">
        <f t="shared" ca="1" si="36"/>
        <v>31</v>
      </c>
      <c r="E152" s="280">
        <f t="shared" ca="1" si="41"/>
        <v>1511084.7333819566</v>
      </c>
      <c r="F152" s="287">
        <f ca="1">'график анн Базова'!F152</f>
        <v>6700.2821385857824</v>
      </c>
      <c r="G152" s="287">
        <f t="shared" ca="1" si="42"/>
        <v>9023.5437909029515</v>
      </c>
      <c r="H152" s="280">
        <f ca="1">IF(A151=$D$8,SUM($H$25:H151),IF(A151="","",(G152+F152)))</f>
        <v>15723.825929488734</v>
      </c>
      <c r="I152" s="280" t="str">
        <f t="shared" si="37"/>
        <v/>
      </c>
      <c r="J152" s="280" t="str">
        <f t="shared" si="38"/>
        <v/>
      </c>
      <c r="K152" s="280"/>
      <c r="L152" s="280" t="str">
        <f t="shared" si="39"/>
        <v/>
      </c>
      <c r="M152" s="280" t="str">
        <f t="shared" si="40"/>
        <v/>
      </c>
      <c r="N152" s="283" t="str">
        <f t="shared" si="35"/>
        <v/>
      </c>
      <c r="O152" s="280"/>
      <c r="P152" s="289" t="str">
        <f>IF(A151=$D$8,XIRR(R$24:R151,C$24:C151),"")</f>
        <v/>
      </c>
      <c r="Q152" s="280" t="str">
        <f t="shared" si="33"/>
        <v/>
      </c>
      <c r="R152" s="283">
        <f t="shared" ca="1" si="29"/>
        <v>15723.825929488734</v>
      </c>
      <c r="S152" s="284">
        <f t="shared" ca="1" si="30"/>
        <v>2032</v>
      </c>
      <c r="T152" s="284">
        <f t="shared" ca="1" si="31"/>
        <v>366</v>
      </c>
    </row>
    <row r="153" spans="1:20" x14ac:dyDescent="0.35">
      <c r="A153" s="285">
        <f t="shared" si="32"/>
        <v>129</v>
      </c>
      <c r="B153" s="286">
        <f t="shared" ca="1" si="43"/>
        <v>48413</v>
      </c>
      <c r="C153" s="286">
        <f t="shared" ca="1" si="34"/>
        <v>48413</v>
      </c>
      <c r="D153" s="285">
        <f t="shared" ca="1" si="36"/>
        <v>30</v>
      </c>
      <c r="E153" s="280">
        <f t="shared" ca="1" si="41"/>
        <v>1503780.5254469593</v>
      </c>
      <c r="F153" s="287">
        <f ca="1">'график анн Базова'!F153</f>
        <v>7304.2079349972755</v>
      </c>
      <c r="G153" s="287">
        <f t="shared" ca="1" si="42"/>
        <v>8693.9121646633121</v>
      </c>
      <c r="H153" s="280">
        <f ca="1">IF(A152=$D$8,SUM($H$25:H152),IF(A152="","",(G153+F153)))</f>
        <v>15998.120099660588</v>
      </c>
      <c r="I153" s="280" t="str">
        <f t="shared" si="37"/>
        <v/>
      </c>
      <c r="J153" s="280" t="str">
        <f t="shared" si="38"/>
        <v/>
      </c>
      <c r="K153" s="280"/>
      <c r="L153" s="280" t="str">
        <f t="shared" si="39"/>
        <v/>
      </c>
      <c r="M153" s="280" t="str">
        <f t="shared" si="40"/>
        <v/>
      </c>
      <c r="N153" s="283" t="str">
        <f t="shared" si="35"/>
        <v/>
      </c>
      <c r="O153" s="280"/>
      <c r="P153" s="289" t="str">
        <f>IF(A152=$D$8,XIRR(R$24:R152,C$24:C152),"")</f>
        <v/>
      </c>
      <c r="Q153" s="280" t="str">
        <f t="shared" si="33"/>
        <v/>
      </c>
      <c r="R153" s="283">
        <f t="shared" ca="1" si="29"/>
        <v>15998.120099660588</v>
      </c>
      <c r="S153" s="284">
        <f t="shared" ca="1" si="30"/>
        <v>2032</v>
      </c>
      <c r="T153" s="284">
        <f t="shared" ca="1" si="31"/>
        <v>366</v>
      </c>
    </row>
    <row r="154" spans="1:20" x14ac:dyDescent="0.35">
      <c r="A154" s="285">
        <f t="shared" si="32"/>
        <v>130</v>
      </c>
      <c r="B154" s="286">
        <f t="shared" ca="1" si="43"/>
        <v>48444</v>
      </c>
      <c r="C154" s="286">
        <f t="shared" ca="1" si="34"/>
        <v>48444</v>
      </c>
      <c r="D154" s="285">
        <f t="shared" ca="1" si="36"/>
        <v>31</v>
      </c>
      <c r="E154" s="280">
        <f t="shared" ca="1" si="41"/>
        <v>1496927.7015047469</v>
      </c>
      <c r="F154" s="287">
        <f ca="1">'график анн Базова'!F154</f>
        <v>6852.8239422124116</v>
      </c>
      <c r="G154" s="287">
        <f t="shared" ca="1" si="42"/>
        <v>8940.2842197805548</v>
      </c>
      <c r="H154" s="280">
        <f ca="1">IF(A153=$D$8,SUM($H$25:H153),IF(A153="","",(G154+F154)))</f>
        <v>15793.108161992966</v>
      </c>
      <c r="I154" s="280" t="str">
        <f t="shared" si="37"/>
        <v/>
      </c>
      <c r="J154" s="280" t="str">
        <f t="shared" si="38"/>
        <v/>
      </c>
      <c r="K154" s="280"/>
      <c r="L154" s="280" t="str">
        <f t="shared" si="39"/>
        <v/>
      </c>
      <c r="M154" s="280" t="str">
        <f t="shared" si="40"/>
        <v/>
      </c>
      <c r="N154" s="283" t="str">
        <f t="shared" si="35"/>
        <v/>
      </c>
      <c r="O154" s="280"/>
      <c r="P154" s="289" t="str">
        <f>IF(A153=$D$8,XIRR(R$24:R153,C$24:C153),"")</f>
        <v/>
      </c>
      <c r="Q154" s="280" t="str">
        <f t="shared" si="33"/>
        <v/>
      </c>
      <c r="R154" s="283">
        <f t="shared" ref="R154:R217" ca="1" si="44">SUM(H154:Q154)</f>
        <v>15793.108161992966</v>
      </c>
      <c r="S154" s="284">
        <f t="shared" ref="S154:S217" ca="1" si="45">IF(C154="","",YEAR(C154))</f>
        <v>2032</v>
      </c>
      <c r="T154" s="284">
        <f t="shared" ref="T154:T217" ca="1" si="46">IF(OR(S154=2024,S154=2028,S154=2016,S154=2020,S154=2024,S154=2028,S154=2032,S154=2036,S154=2040),366,365)</f>
        <v>366</v>
      </c>
    </row>
    <row r="155" spans="1:20" x14ac:dyDescent="0.35">
      <c r="A155" s="285">
        <f t="shared" ref="A155:A218" si="47">IF(A154&lt;$D$8,A154+1,"")</f>
        <v>131</v>
      </c>
      <c r="B155" s="286">
        <f t="shared" ca="1" si="43"/>
        <v>48475</v>
      </c>
      <c r="C155" s="286">
        <f t="shared" ca="1" si="34"/>
        <v>48475</v>
      </c>
      <c r="D155" s="285">
        <f t="shared" ca="1" si="36"/>
        <v>31</v>
      </c>
      <c r="E155" s="280">
        <f t="shared" ca="1" si="41"/>
        <v>1490000.2342075398</v>
      </c>
      <c r="F155" s="287">
        <f ca="1">'график анн Базова'!F155</f>
        <v>6927.467297207013</v>
      </c>
      <c r="G155" s="287">
        <f t="shared" ca="1" si="42"/>
        <v>8899.5427733295928</v>
      </c>
      <c r="H155" s="280">
        <f ca="1">IF(A154=$D$8,SUM($H$25:H154),IF(A154="","",(G155+F155)))</f>
        <v>15827.010070536606</v>
      </c>
      <c r="I155" s="280" t="str">
        <f t="shared" si="37"/>
        <v/>
      </c>
      <c r="J155" s="280" t="str">
        <f t="shared" si="38"/>
        <v/>
      </c>
      <c r="K155" s="280"/>
      <c r="L155" s="280" t="str">
        <f t="shared" si="39"/>
        <v/>
      </c>
      <c r="M155" s="280" t="str">
        <f t="shared" si="40"/>
        <v/>
      </c>
      <c r="N155" s="283" t="str">
        <f t="shared" si="35"/>
        <v/>
      </c>
      <c r="O155" s="280"/>
      <c r="P155" s="289" t="str">
        <f>IF(A154=$D$8,XIRR(R$24:R154,C$24:C154),"")</f>
        <v/>
      </c>
      <c r="Q155" s="280" t="str">
        <f t="shared" si="33"/>
        <v/>
      </c>
      <c r="R155" s="283">
        <f t="shared" ca="1" si="44"/>
        <v>15827.010070536606</v>
      </c>
      <c r="S155" s="284">
        <f t="shared" ca="1" si="45"/>
        <v>2032</v>
      </c>
      <c r="T155" s="284">
        <f t="shared" ca="1" si="46"/>
        <v>366</v>
      </c>
    </row>
    <row r="156" spans="1:20" x14ac:dyDescent="0.35">
      <c r="A156" s="285">
        <f t="shared" si="47"/>
        <v>132</v>
      </c>
      <c r="B156" s="286">
        <f t="shared" ca="1" si="43"/>
        <v>48505</v>
      </c>
      <c r="C156" s="286">
        <f t="shared" ca="1" si="34"/>
        <v>48505</v>
      </c>
      <c r="D156" s="285">
        <f t="shared" ca="1" si="36"/>
        <v>30</v>
      </c>
      <c r="E156" s="280">
        <f t="shared" ca="1" si="41"/>
        <v>1482473.7749123925</v>
      </c>
      <c r="F156" s="287">
        <f ca="1">'график анн Базова'!F156</f>
        <v>7526.459295147275</v>
      </c>
      <c r="G156" s="287">
        <f t="shared" ca="1" si="42"/>
        <v>8572.6040872214635</v>
      </c>
      <c r="H156" s="280">
        <f ca="1">IF(A155=$D$8,SUM($H$25:H155),IF(A155="","",(G156+F156)))</f>
        <v>16099.063382368739</v>
      </c>
      <c r="I156" s="280" t="str">
        <f t="shared" si="37"/>
        <v/>
      </c>
      <c r="J156" s="280" t="str">
        <f t="shared" si="38"/>
        <v/>
      </c>
      <c r="K156" s="280"/>
      <c r="L156" s="280" t="str">
        <f t="shared" si="39"/>
        <v/>
      </c>
      <c r="M156" s="280" t="str">
        <f t="shared" si="40"/>
        <v/>
      </c>
      <c r="N156" s="283" t="str">
        <f t="shared" si="35"/>
        <v/>
      </c>
      <c r="O156" s="280"/>
      <c r="P156" s="289" t="str">
        <f>IF(A155=$D$8,XIRR(R$24:R155,C$24:C155),"")</f>
        <v/>
      </c>
      <c r="Q156" s="280" t="str">
        <f t="shared" ref="Q156:Q219" si="48">IF(A155=$D$8,G156+M156+F156+I156+J156+K156+L156+N156+O156,"")</f>
        <v/>
      </c>
      <c r="R156" s="283">
        <f t="shared" ca="1" si="44"/>
        <v>16099.063382368739</v>
      </c>
      <c r="S156" s="284">
        <f t="shared" ca="1" si="45"/>
        <v>2032</v>
      </c>
      <c r="T156" s="284">
        <f t="shared" ca="1" si="46"/>
        <v>366</v>
      </c>
    </row>
    <row r="157" spans="1:20" x14ac:dyDescent="0.35">
      <c r="A157" s="285">
        <f t="shared" si="47"/>
        <v>133</v>
      </c>
      <c r="B157" s="286">
        <f t="shared" ca="1" si="43"/>
        <v>48536</v>
      </c>
      <c r="C157" s="286">
        <f t="shared" ref="C157:C220" ca="1" si="49">IF(B157&gt;$E$20,"",IF(B157=$E$20,B157-1,B157))</f>
        <v>48536</v>
      </c>
      <c r="D157" s="285">
        <f t="shared" ca="1" si="36"/>
        <v>31</v>
      </c>
      <c r="E157" s="280">
        <f t="shared" ca="1" si="41"/>
        <v>1475388.8703918164</v>
      </c>
      <c r="F157" s="287">
        <f ca="1">'график анн Базова'!F157</f>
        <v>7084.9045205760849</v>
      </c>
      <c r="G157" s="287">
        <f t="shared" ca="1" si="42"/>
        <v>8813.6112097531295</v>
      </c>
      <c r="H157" s="280">
        <f ca="1">IF(A156=$D$8,SUM($H$25:H156),IF(A156="","",(G157+F157)))</f>
        <v>15898.515730329214</v>
      </c>
      <c r="I157" s="280" t="str">
        <f t="shared" si="37"/>
        <v/>
      </c>
      <c r="J157" s="280" t="str">
        <f t="shared" si="38"/>
        <v/>
      </c>
      <c r="K157" s="280">
        <f>IF($F$8&gt;132,($O$8+$O$10),IF($A$156=$F$8,$K$24*$G$8,""))</f>
        <v>7500</v>
      </c>
      <c r="L157" s="280" t="str">
        <f t="shared" si="39"/>
        <v/>
      </c>
      <c r="M157" s="280" t="str">
        <f t="shared" si="40"/>
        <v/>
      </c>
      <c r="N157" s="280">
        <f>IF($F$8&gt;132,($N$14),IF(A156=$F$8,N145+N133+N121+N109+N97+N85+N73+N61+N49+N37+N24,""))</f>
        <v>0</v>
      </c>
      <c r="O157" s="280"/>
      <c r="P157" s="289" t="str">
        <f>IF(A156=$D$8,XIRR(R$24:R156,C$24:C156),"")</f>
        <v/>
      </c>
      <c r="Q157" s="280" t="str">
        <f t="shared" si="48"/>
        <v/>
      </c>
      <c r="R157" s="283">
        <f t="shared" ca="1" si="44"/>
        <v>23398.515730329214</v>
      </c>
      <c r="S157" s="284">
        <f t="shared" ca="1" si="45"/>
        <v>2032</v>
      </c>
      <c r="T157" s="284">
        <f t="shared" ca="1" si="46"/>
        <v>366</v>
      </c>
    </row>
    <row r="158" spans="1:20" x14ac:dyDescent="0.35">
      <c r="A158" s="285">
        <f t="shared" si="47"/>
        <v>134</v>
      </c>
      <c r="B158" s="286">
        <f t="shared" ca="1" si="43"/>
        <v>48566</v>
      </c>
      <c r="C158" s="286">
        <f t="shared" ca="1" si="49"/>
        <v>48566</v>
      </c>
      <c r="D158" s="285">
        <f t="shared" ca="1" si="36"/>
        <v>30</v>
      </c>
      <c r="E158" s="280">
        <f t="shared" ca="1" si="41"/>
        <v>1467708.3929502182</v>
      </c>
      <c r="F158" s="287">
        <f ca="1">'график анн Базова'!F158</f>
        <v>7680.4774415982611</v>
      </c>
      <c r="G158" s="287">
        <f t="shared" ca="1" si="42"/>
        <v>8488.5387063638755</v>
      </c>
      <c r="H158" s="280">
        <f ca="1">IF(A157=$D$8,SUM($H$25:H157),IF(A157="","",(G158+F158)))</f>
        <v>16169.016147962137</v>
      </c>
      <c r="I158" s="280" t="str">
        <f t="shared" si="37"/>
        <v/>
      </c>
      <c r="J158" s="280" t="str">
        <f t="shared" si="38"/>
        <v/>
      </c>
      <c r="K158" s="280"/>
      <c r="L158" s="280" t="str">
        <f t="shared" si="39"/>
        <v/>
      </c>
      <c r="M158" s="280" t="str">
        <f t="shared" si="40"/>
        <v/>
      </c>
      <c r="N158" s="283" t="str">
        <f t="shared" ref="N158:N221" si="50">IF(A157=$D$8,$N$24,"")</f>
        <v/>
      </c>
      <c r="O158" s="280"/>
      <c r="P158" s="289" t="str">
        <f>IF(A157=$D$8,XIRR(R$24:R157,C$24:C157),"")</f>
        <v/>
      </c>
      <c r="Q158" s="280" t="str">
        <f t="shared" si="48"/>
        <v/>
      </c>
      <c r="R158" s="283">
        <f t="shared" ca="1" si="44"/>
        <v>16169.016147962137</v>
      </c>
      <c r="S158" s="284">
        <f t="shared" ca="1" si="45"/>
        <v>2032</v>
      </c>
      <c r="T158" s="284">
        <f t="shared" ca="1" si="46"/>
        <v>366</v>
      </c>
    </row>
    <row r="159" spans="1:20" x14ac:dyDescent="0.35">
      <c r="A159" s="285">
        <f t="shared" si="47"/>
        <v>135</v>
      </c>
      <c r="B159" s="286">
        <f t="shared" ca="1" si="43"/>
        <v>48597</v>
      </c>
      <c r="C159" s="286">
        <f t="shared" ca="1" si="49"/>
        <v>48597</v>
      </c>
      <c r="D159" s="285">
        <f t="shared" ca="1" si="36"/>
        <v>31</v>
      </c>
      <c r="E159" s="280">
        <f t="shared" ca="1" si="41"/>
        <v>1460462.6587254608</v>
      </c>
      <c r="F159" s="287">
        <f ca="1">'график анн Базова'!F159</f>
        <v>7245.7342247575198</v>
      </c>
      <c r="G159" s="287">
        <f t="shared" ca="1" si="42"/>
        <v>8725.8279800054061</v>
      </c>
      <c r="H159" s="280">
        <f ca="1">IF(A158=$D$8,SUM($H$25:H158),IF(A158="","",(G159+F159)))</f>
        <v>15971.562204762926</v>
      </c>
      <c r="I159" s="280" t="str">
        <f t="shared" si="37"/>
        <v/>
      </c>
      <c r="J159" s="280" t="str">
        <f t="shared" si="38"/>
        <v/>
      </c>
      <c r="K159" s="280"/>
      <c r="L159" s="280" t="str">
        <f t="shared" si="39"/>
        <v/>
      </c>
      <c r="M159" s="280" t="str">
        <f t="shared" si="40"/>
        <v/>
      </c>
      <c r="N159" s="283" t="str">
        <f t="shared" si="50"/>
        <v/>
      </c>
      <c r="O159" s="280"/>
      <c r="P159" s="289" t="str">
        <f>IF(A158=$D$8,XIRR(R$24:R158,C$24:C158),"")</f>
        <v/>
      </c>
      <c r="Q159" s="280" t="str">
        <f t="shared" si="48"/>
        <v/>
      </c>
      <c r="R159" s="283">
        <f t="shared" ca="1" si="44"/>
        <v>15971.562204762926</v>
      </c>
      <c r="S159" s="284">
        <f t="shared" ca="1" si="45"/>
        <v>2033</v>
      </c>
      <c r="T159" s="284">
        <f t="shared" ca="1" si="46"/>
        <v>365</v>
      </c>
    </row>
    <row r="160" spans="1:20" x14ac:dyDescent="0.35">
      <c r="A160" s="285">
        <f t="shared" si="47"/>
        <v>136</v>
      </c>
      <c r="B160" s="286">
        <f t="shared" ca="1" si="43"/>
        <v>48628</v>
      </c>
      <c r="C160" s="286">
        <f t="shared" ca="1" si="49"/>
        <v>48628</v>
      </c>
      <c r="D160" s="285">
        <f t="shared" ca="1" si="36"/>
        <v>31</v>
      </c>
      <c r="E160" s="280">
        <f t="shared" ca="1" si="41"/>
        <v>1453181.5846350938</v>
      </c>
      <c r="F160" s="287">
        <f ca="1">'график анн Базова'!F160</f>
        <v>7281.0740903670521</v>
      </c>
      <c r="G160" s="287">
        <f t="shared" ca="1" si="42"/>
        <v>8682.7506011897258</v>
      </c>
      <c r="H160" s="280">
        <f ca="1">IF(A159=$D$8,SUM($H$25:H159),IF(A159="","",(G160+F160)))</f>
        <v>15963.824691556778</v>
      </c>
      <c r="I160" s="280" t="str">
        <f t="shared" si="37"/>
        <v/>
      </c>
      <c r="J160" s="280" t="str">
        <f t="shared" si="38"/>
        <v/>
      </c>
      <c r="K160" s="280"/>
      <c r="L160" s="280" t="str">
        <f t="shared" si="39"/>
        <v/>
      </c>
      <c r="M160" s="280" t="str">
        <f t="shared" si="40"/>
        <v/>
      </c>
      <c r="N160" s="283" t="str">
        <f t="shared" si="50"/>
        <v/>
      </c>
      <c r="O160" s="280"/>
      <c r="P160" s="289" t="str">
        <f>IF(A159=$D$8,XIRR(R$24:R159,C$24:C159),"")</f>
        <v/>
      </c>
      <c r="Q160" s="280" t="str">
        <f t="shared" si="48"/>
        <v/>
      </c>
      <c r="R160" s="283">
        <f t="shared" ca="1" si="44"/>
        <v>15963.824691556778</v>
      </c>
      <c r="S160" s="284">
        <f t="shared" ca="1" si="45"/>
        <v>2033</v>
      </c>
      <c r="T160" s="284">
        <f t="shared" ca="1" si="46"/>
        <v>365</v>
      </c>
    </row>
    <row r="161" spans="1:20" x14ac:dyDescent="0.35">
      <c r="A161" s="285">
        <f t="shared" si="47"/>
        <v>137</v>
      </c>
      <c r="B161" s="286">
        <f t="shared" ca="1" si="43"/>
        <v>48656</v>
      </c>
      <c r="C161" s="286">
        <f t="shared" ca="1" si="49"/>
        <v>48656</v>
      </c>
      <c r="D161" s="285">
        <f t="shared" ca="1" si="36"/>
        <v>28</v>
      </c>
      <c r="E161" s="280">
        <f t="shared" ca="1" si="41"/>
        <v>1444284.9922287792</v>
      </c>
      <c r="F161" s="287">
        <f ca="1">'график анн Базова'!F161</f>
        <v>8896.5924063146558</v>
      </c>
      <c r="G161" s="287">
        <f t="shared" ca="1" si="42"/>
        <v>7803.3860435199567</v>
      </c>
      <c r="H161" s="280">
        <f ca="1">IF(A160=$D$8,SUM($H$25:H160),IF(A160="","",(G161+F161)))</f>
        <v>16699.978449834613</v>
      </c>
      <c r="I161" s="280" t="str">
        <f t="shared" si="37"/>
        <v/>
      </c>
      <c r="J161" s="280" t="str">
        <f t="shared" si="38"/>
        <v/>
      </c>
      <c r="K161" s="280"/>
      <c r="L161" s="280" t="str">
        <f t="shared" si="39"/>
        <v/>
      </c>
      <c r="M161" s="280" t="str">
        <f t="shared" si="40"/>
        <v/>
      </c>
      <c r="N161" s="283" t="str">
        <f t="shared" si="50"/>
        <v/>
      </c>
      <c r="O161" s="280"/>
      <c r="P161" s="289" t="str">
        <f>IF(A160=$D$8,XIRR(R$24:R160,C$24:C160),"")</f>
        <v/>
      </c>
      <c r="Q161" s="280" t="str">
        <f t="shared" si="48"/>
        <v/>
      </c>
      <c r="R161" s="283">
        <f t="shared" ca="1" si="44"/>
        <v>16699.978449834613</v>
      </c>
      <c r="S161" s="284">
        <f t="shared" ca="1" si="45"/>
        <v>2033</v>
      </c>
      <c r="T161" s="284">
        <f t="shared" ca="1" si="46"/>
        <v>365</v>
      </c>
    </row>
    <row r="162" spans="1:20" x14ac:dyDescent="0.35">
      <c r="A162" s="285">
        <f t="shared" si="47"/>
        <v>138</v>
      </c>
      <c r="B162" s="286">
        <f t="shared" ca="1" si="43"/>
        <v>48687</v>
      </c>
      <c r="C162" s="286">
        <f t="shared" ca="1" si="49"/>
        <v>48687</v>
      </c>
      <c r="D162" s="285">
        <f t="shared" ca="1" si="36"/>
        <v>31</v>
      </c>
      <c r="E162" s="280">
        <f t="shared" ca="1" si="41"/>
        <v>1436827.2225623692</v>
      </c>
      <c r="F162" s="287">
        <f ca="1">'график анн Базова'!F162</f>
        <v>7457.769666409984</v>
      </c>
      <c r="G162" s="287">
        <f t="shared" ca="1" si="42"/>
        <v>8586.5710496889078</v>
      </c>
      <c r="H162" s="280">
        <f ca="1">IF(A161=$D$8,SUM($H$25:H161),IF(A161="","",(G162+F162)))</f>
        <v>16044.340716098892</v>
      </c>
      <c r="I162" s="280" t="str">
        <f t="shared" si="37"/>
        <v/>
      </c>
      <c r="J162" s="280" t="str">
        <f t="shared" si="38"/>
        <v/>
      </c>
      <c r="K162" s="280"/>
      <c r="L162" s="280" t="str">
        <f t="shared" si="39"/>
        <v/>
      </c>
      <c r="M162" s="280" t="str">
        <f t="shared" si="40"/>
        <v/>
      </c>
      <c r="N162" s="283" t="str">
        <f t="shared" si="50"/>
        <v/>
      </c>
      <c r="O162" s="280"/>
      <c r="P162" s="289" t="str">
        <f>IF(A161=$D$8,XIRR(R$24:R161,C$24:C161),"")</f>
        <v/>
      </c>
      <c r="Q162" s="280" t="str">
        <f t="shared" si="48"/>
        <v/>
      </c>
      <c r="R162" s="283">
        <f t="shared" ca="1" si="44"/>
        <v>16044.340716098892</v>
      </c>
      <c r="S162" s="284">
        <f t="shared" ca="1" si="45"/>
        <v>2033</v>
      </c>
      <c r="T162" s="284">
        <f t="shared" ca="1" si="46"/>
        <v>365</v>
      </c>
    </row>
    <row r="163" spans="1:20" x14ac:dyDescent="0.35">
      <c r="A163" s="285">
        <f t="shared" si="47"/>
        <v>139</v>
      </c>
      <c r="B163" s="286">
        <f t="shared" ca="1" si="43"/>
        <v>48717</v>
      </c>
      <c r="C163" s="286">
        <f t="shared" ca="1" si="49"/>
        <v>48717</v>
      </c>
      <c r="D163" s="285">
        <f t="shared" ca="1" si="36"/>
        <v>30</v>
      </c>
      <c r="E163" s="280">
        <f t="shared" ca="1" si="41"/>
        <v>1428781.7621415108</v>
      </c>
      <c r="F163" s="287">
        <f ca="1">'график анн Базова'!F163</f>
        <v>8045.4604208582859</v>
      </c>
      <c r="G163" s="287">
        <f t="shared" ca="1" si="42"/>
        <v>8266.6771709067816</v>
      </c>
      <c r="H163" s="280">
        <f ca="1">IF(A162=$D$8,SUM($H$25:H162),IF(A162="","",(G163+F163)))</f>
        <v>16312.137591765068</v>
      </c>
      <c r="I163" s="280" t="str">
        <f t="shared" si="37"/>
        <v/>
      </c>
      <c r="J163" s="280" t="str">
        <f t="shared" si="38"/>
        <v/>
      </c>
      <c r="K163" s="280"/>
      <c r="L163" s="280" t="str">
        <f t="shared" si="39"/>
        <v/>
      </c>
      <c r="M163" s="280" t="str">
        <f t="shared" si="40"/>
        <v/>
      </c>
      <c r="N163" s="283" t="str">
        <f t="shared" si="50"/>
        <v/>
      </c>
      <c r="O163" s="280"/>
      <c r="P163" s="289" t="str">
        <f>IF(A162=$D$8,XIRR(R$24:R162,C$24:C162),"")</f>
        <v/>
      </c>
      <c r="Q163" s="280" t="str">
        <f t="shared" si="48"/>
        <v/>
      </c>
      <c r="R163" s="283">
        <f t="shared" ca="1" si="44"/>
        <v>16312.137591765068</v>
      </c>
      <c r="S163" s="284">
        <f t="shared" ca="1" si="45"/>
        <v>2033</v>
      </c>
      <c r="T163" s="284">
        <f t="shared" ca="1" si="46"/>
        <v>365</v>
      </c>
    </row>
    <row r="164" spans="1:20" x14ac:dyDescent="0.35">
      <c r="A164" s="285">
        <f t="shared" si="47"/>
        <v>140</v>
      </c>
      <c r="B164" s="286">
        <f t="shared" ca="1" si="43"/>
        <v>48748</v>
      </c>
      <c r="C164" s="286">
        <f t="shared" ca="1" si="49"/>
        <v>48748</v>
      </c>
      <c r="D164" s="285">
        <f t="shared" ca="1" si="36"/>
        <v>31</v>
      </c>
      <c r="E164" s="280">
        <f t="shared" ca="1" si="41"/>
        <v>1421154.6632228654</v>
      </c>
      <c r="F164" s="287">
        <f ca="1">'график анн Базова'!F164</f>
        <v>7627.0989186453371</v>
      </c>
      <c r="G164" s="287">
        <f t="shared" ca="1" si="42"/>
        <v>8494.4011612248742</v>
      </c>
      <c r="H164" s="280">
        <f ca="1">IF(A163=$D$8,SUM($H$25:H163),IF(A163="","",(G164+F164)))</f>
        <v>16121.500079870211</v>
      </c>
      <c r="I164" s="280" t="str">
        <f t="shared" si="37"/>
        <v/>
      </c>
      <c r="J164" s="280" t="str">
        <f t="shared" si="38"/>
        <v/>
      </c>
      <c r="K164" s="280"/>
      <c r="L164" s="280" t="str">
        <f t="shared" si="39"/>
        <v/>
      </c>
      <c r="M164" s="280" t="str">
        <f t="shared" si="40"/>
        <v/>
      </c>
      <c r="N164" s="283" t="str">
        <f t="shared" si="50"/>
        <v/>
      </c>
      <c r="O164" s="280"/>
      <c r="P164" s="289" t="str">
        <f>IF(A163=$D$8,XIRR(R$24:R163,C$24:C163),"")</f>
        <v/>
      </c>
      <c r="Q164" s="280" t="str">
        <f t="shared" si="48"/>
        <v/>
      </c>
      <c r="R164" s="283">
        <f t="shared" ca="1" si="44"/>
        <v>16121.500079870211</v>
      </c>
      <c r="S164" s="284">
        <f t="shared" ca="1" si="45"/>
        <v>2033</v>
      </c>
      <c r="T164" s="284">
        <f t="shared" ca="1" si="46"/>
        <v>365</v>
      </c>
    </row>
    <row r="165" spans="1:20" x14ac:dyDescent="0.35">
      <c r="A165" s="285">
        <f t="shared" si="47"/>
        <v>141</v>
      </c>
      <c r="B165" s="286">
        <f t="shared" ca="1" si="43"/>
        <v>48778</v>
      </c>
      <c r="C165" s="286">
        <f t="shared" ca="1" si="49"/>
        <v>48778</v>
      </c>
      <c r="D165" s="285">
        <f t="shared" ca="1" si="36"/>
        <v>30</v>
      </c>
      <c r="E165" s="280">
        <f t="shared" ca="1" si="41"/>
        <v>1412943.5459967146</v>
      </c>
      <c r="F165" s="287">
        <f ca="1">'график анн Базова'!F165</f>
        <v>8211.1172261509055</v>
      </c>
      <c r="G165" s="287">
        <f t="shared" ca="1" si="42"/>
        <v>8176.5062815562133</v>
      </c>
      <c r="H165" s="280">
        <f ca="1">IF(A164=$D$8,SUM($H$25:H164),IF(A164="","",(G165+F165)))</f>
        <v>16387.623507707118</v>
      </c>
      <c r="I165" s="280" t="str">
        <f t="shared" si="37"/>
        <v/>
      </c>
      <c r="J165" s="280" t="str">
        <f t="shared" si="38"/>
        <v/>
      </c>
      <c r="K165" s="280"/>
      <c r="L165" s="280" t="str">
        <f t="shared" si="39"/>
        <v/>
      </c>
      <c r="M165" s="280" t="str">
        <f t="shared" si="40"/>
        <v/>
      </c>
      <c r="N165" s="283" t="str">
        <f t="shared" si="50"/>
        <v/>
      </c>
      <c r="O165" s="280"/>
      <c r="P165" s="289" t="str">
        <f>IF(A164=$D$8,XIRR(R$24:R164,C$24:C164),"")</f>
        <v/>
      </c>
      <c r="Q165" s="280" t="str">
        <f t="shared" si="48"/>
        <v/>
      </c>
      <c r="R165" s="283">
        <f t="shared" ca="1" si="44"/>
        <v>16387.623507707118</v>
      </c>
      <c r="S165" s="284">
        <f t="shared" ca="1" si="45"/>
        <v>2033</v>
      </c>
      <c r="T165" s="284">
        <f t="shared" ca="1" si="46"/>
        <v>365</v>
      </c>
    </row>
    <row r="166" spans="1:20" x14ac:dyDescent="0.35">
      <c r="A166" s="285">
        <f t="shared" si="47"/>
        <v>142</v>
      </c>
      <c r="B166" s="286">
        <f t="shared" ca="1" si="43"/>
        <v>48809</v>
      </c>
      <c r="C166" s="286">
        <f t="shared" ca="1" si="49"/>
        <v>48809</v>
      </c>
      <c r="D166" s="285">
        <f t="shared" ref="D166:D229" ca="1" si="51">IF(A166&gt;$D$8,"",C166-C165)</f>
        <v>31</v>
      </c>
      <c r="E166" s="280">
        <f t="shared" ca="1" si="41"/>
        <v>1405143.4590438697</v>
      </c>
      <c r="F166" s="287">
        <f ca="1">'график анн Базова'!F166</f>
        <v>7800.086952844913</v>
      </c>
      <c r="G166" s="287">
        <f t="shared" ca="1" si="42"/>
        <v>8400.2397118160843</v>
      </c>
      <c r="H166" s="280">
        <f ca="1">IF(A165=$D$8,SUM($H$25:H165),IF(A165="","",(G166+F166)))</f>
        <v>16200.326664660997</v>
      </c>
      <c r="I166" s="280" t="str">
        <f t="shared" ref="I166:I229" si="52">IF(A165=$F$8,$I$24,"")</f>
        <v/>
      </c>
      <c r="J166" s="280" t="str">
        <f t="shared" ref="J166:J229" si="53">IF(A165=$F$8,$J$24,"")</f>
        <v/>
      </c>
      <c r="K166" s="280"/>
      <c r="L166" s="280" t="str">
        <f t="shared" ref="L166:L229" si="54">IF(A165=$F$8,$L$24,"")</f>
        <v/>
      </c>
      <c r="M166" s="280" t="str">
        <f t="shared" ref="M166:M229" si="55">IF(A165=$F$8,$M$24,"")</f>
        <v/>
      </c>
      <c r="N166" s="283" t="str">
        <f t="shared" si="50"/>
        <v/>
      </c>
      <c r="O166" s="280"/>
      <c r="P166" s="289" t="str">
        <f>IF(A165=$D$8,XIRR(R$24:R165,C$24:C165),"")</f>
        <v/>
      </c>
      <c r="Q166" s="280" t="str">
        <f t="shared" si="48"/>
        <v/>
      </c>
      <c r="R166" s="283">
        <f t="shared" ca="1" si="44"/>
        <v>16200.326664660997</v>
      </c>
      <c r="S166" s="284">
        <f t="shared" ca="1" si="45"/>
        <v>2033</v>
      </c>
      <c r="T166" s="284">
        <f t="shared" ca="1" si="46"/>
        <v>365</v>
      </c>
    </row>
    <row r="167" spans="1:20" x14ac:dyDescent="0.35">
      <c r="A167" s="285">
        <f t="shared" si="47"/>
        <v>143</v>
      </c>
      <c r="B167" s="286">
        <f t="shared" ca="1" si="43"/>
        <v>48840</v>
      </c>
      <c r="C167" s="286">
        <f t="shared" ca="1" si="49"/>
        <v>48840</v>
      </c>
      <c r="D167" s="285">
        <f t="shared" ca="1" si="51"/>
        <v>31</v>
      </c>
      <c r="E167" s="280">
        <f t="shared" ca="1" si="41"/>
        <v>1397258.1780454188</v>
      </c>
      <c r="F167" s="287">
        <f ca="1">'график анн Базова'!F167</f>
        <v>7885.2809984509695</v>
      </c>
      <c r="G167" s="287">
        <f t="shared" ca="1" si="42"/>
        <v>8353.8665921238298</v>
      </c>
      <c r="H167" s="280">
        <f ca="1">IF(A166=$D$8,SUM($H$25:H166),IF(A166="","",(G167+F167)))</f>
        <v>16239.147590574799</v>
      </c>
      <c r="I167" s="280" t="str">
        <f t="shared" si="52"/>
        <v/>
      </c>
      <c r="J167" s="280" t="str">
        <f t="shared" si="53"/>
        <v/>
      </c>
      <c r="K167" s="280"/>
      <c r="L167" s="280" t="str">
        <f t="shared" si="54"/>
        <v/>
      </c>
      <c r="M167" s="280" t="str">
        <f t="shared" si="55"/>
        <v/>
      </c>
      <c r="N167" s="283" t="str">
        <f t="shared" si="50"/>
        <v/>
      </c>
      <c r="O167" s="280"/>
      <c r="P167" s="289" t="str">
        <f>IF(A166=$D$8,XIRR(R$24:R166,C$24:C166),"")</f>
        <v/>
      </c>
      <c r="Q167" s="280" t="str">
        <f t="shared" si="48"/>
        <v/>
      </c>
      <c r="R167" s="283">
        <f t="shared" ca="1" si="44"/>
        <v>16239.147590574799</v>
      </c>
      <c r="S167" s="284">
        <f t="shared" ca="1" si="45"/>
        <v>2033</v>
      </c>
      <c r="T167" s="284">
        <f t="shared" ca="1" si="46"/>
        <v>365</v>
      </c>
    </row>
    <row r="168" spans="1:20" x14ac:dyDescent="0.35">
      <c r="A168" s="285">
        <f t="shared" si="47"/>
        <v>144</v>
      </c>
      <c r="B168" s="286">
        <f t="shared" ca="1" si="43"/>
        <v>48870</v>
      </c>
      <c r="C168" s="286">
        <f t="shared" ca="1" si="49"/>
        <v>48870</v>
      </c>
      <c r="D168" s="285">
        <f t="shared" ca="1" si="51"/>
        <v>30</v>
      </c>
      <c r="E168" s="280">
        <f t="shared" ca="1" si="41"/>
        <v>1388794.4782444334</v>
      </c>
      <c r="F168" s="287">
        <f ca="1">'график анн Базова'!F168</f>
        <v>8463.699800985396</v>
      </c>
      <c r="G168" s="287">
        <f t="shared" ca="1" si="42"/>
        <v>8039.0196545078907</v>
      </c>
      <c r="H168" s="280">
        <f ca="1">IF(A167=$D$8,SUM($H$25:H167),IF(A167="","",(G168+F168)))</f>
        <v>16502.719455493287</v>
      </c>
      <c r="I168" s="280" t="str">
        <f t="shared" si="52"/>
        <v/>
      </c>
      <c r="J168" s="280" t="str">
        <f t="shared" si="53"/>
        <v/>
      </c>
      <c r="K168" s="280"/>
      <c r="L168" s="280" t="str">
        <f t="shared" si="54"/>
        <v/>
      </c>
      <c r="M168" s="280" t="str">
        <f t="shared" si="55"/>
        <v/>
      </c>
      <c r="N168" s="283" t="str">
        <f t="shared" si="50"/>
        <v/>
      </c>
      <c r="O168" s="280"/>
      <c r="P168" s="289" t="str">
        <f>IF(A167=$D$8,XIRR(R$24:R167,C$24:C167),"")</f>
        <v/>
      </c>
      <c r="Q168" s="280" t="str">
        <f t="shared" si="48"/>
        <v/>
      </c>
      <c r="R168" s="283">
        <f t="shared" ca="1" si="44"/>
        <v>16502.719455493287</v>
      </c>
      <c r="S168" s="284">
        <f t="shared" ca="1" si="45"/>
        <v>2033</v>
      </c>
      <c r="T168" s="284">
        <f t="shared" ca="1" si="46"/>
        <v>365</v>
      </c>
    </row>
    <row r="169" spans="1:20" x14ac:dyDescent="0.35">
      <c r="A169" s="285">
        <f t="shared" si="47"/>
        <v>145</v>
      </c>
      <c r="B169" s="286">
        <f t="shared" ca="1" si="43"/>
        <v>48901</v>
      </c>
      <c r="C169" s="286">
        <f t="shared" ca="1" si="49"/>
        <v>48901</v>
      </c>
      <c r="D169" s="285">
        <f t="shared" ca="1" si="51"/>
        <v>31</v>
      </c>
      <c r="E169" s="280">
        <f t="shared" ca="1" si="41"/>
        <v>1380730.6305422699</v>
      </c>
      <c r="F169" s="287">
        <f ca="1">'график анн Базова'!F169</f>
        <v>8063.8477021633898</v>
      </c>
      <c r="G169" s="287">
        <f t="shared" ca="1" si="42"/>
        <v>8256.668541891564</v>
      </c>
      <c r="H169" s="280">
        <f ca="1">IF(A168=$D$8,SUM($H$25:H168),IF(A168="","",(G169+F169)))</f>
        <v>16320.516244054954</v>
      </c>
      <c r="I169" s="280" t="str">
        <f t="shared" si="52"/>
        <v/>
      </c>
      <c r="J169" s="280" t="str">
        <f t="shared" si="53"/>
        <v/>
      </c>
      <c r="K169" s="280">
        <f>IF($F$8&gt;144,($O$8+$O$10),IF($A$168=$F$8,$K$24*$G$8,""))</f>
        <v>7500</v>
      </c>
      <c r="L169" s="280" t="str">
        <f t="shared" si="54"/>
        <v/>
      </c>
      <c r="M169" s="280" t="str">
        <f t="shared" si="55"/>
        <v/>
      </c>
      <c r="N169" s="280">
        <f>IF($F$8&gt;144,($N$14),IF(A168=$F$8,N157+N145+N133+N121+N109+N97+N85+N73+N61+N49+N37+N24,""))</f>
        <v>0</v>
      </c>
      <c r="O169" s="280"/>
      <c r="P169" s="289" t="str">
        <f>IF(A168=$D$8,XIRR(R$24:R168,C$24:C168),"")</f>
        <v/>
      </c>
      <c r="Q169" s="280" t="str">
        <f t="shared" si="48"/>
        <v/>
      </c>
      <c r="R169" s="283">
        <f t="shared" ca="1" si="44"/>
        <v>23820.516244054954</v>
      </c>
      <c r="S169" s="284">
        <f t="shared" ca="1" si="45"/>
        <v>2033</v>
      </c>
      <c r="T169" s="284">
        <f t="shared" ca="1" si="46"/>
        <v>365</v>
      </c>
    </row>
    <row r="170" spans="1:20" x14ac:dyDescent="0.35">
      <c r="A170" s="285">
        <f t="shared" si="47"/>
        <v>146</v>
      </c>
      <c r="B170" s="286">
        <f t="shared" ca="1" si="43"/>
        <v>48931</v>
      </c>
      <c r="C170" s="286">
        <f t="shared" ca="1" si="49"/>
        <v>48931</v>
      </c>
      <c r="D170" s="285">
        <f t="shared" ca="1" si="51"/>
        <v>30</v>
      </c>
      <c r="E170" s="280">
        <f t="shared" ca="1" si="41"/>
        <v>1372092.2368282238</v>
      </c>
      <c r="F170" s="287">
        <f ca="1">'график анн Базова'!F170</f>
        <v>8638.3937140460785</v>
      </c>
      <c r="G170" s="287">
        <f t="shared" ca="1" si="42"/>
        <v>7943.9296551747047</v>
      </c>
      <c r="H170" s="280">
        <f ca="1">IF(A169=$D$8,SUM($H$25:H169),IF(A169="","",(G170+F170)))</f>
        <v>16582.323369220783</v>
      </c>
      <c r="I170" s="280" t="str">
        <f t="shared" si="52"/>
        <v/>
      </c>
      <c r="J170" s="280" t="str">
        <f t="shared" si="53"/>
        <v/>
      </c>
      <c r="K170" s="280"/>
      <c r="L170" s="280" t="str">
        <f t="shared" si="54"/>
        <v/>
      </c>
      <c r="M170" s="280" t="str">
        <f t="shared" si="55"/>
        <v/>
      </c>
      <c r="N170" s="283" t="str">
        <f t="shared" si="50"/>
        <v/>
      </c>
      <c r="O170" s="280"/>
      <c r="P170" s="289" t="str">
        <f>IF(A169=$D$8,XIRR(R$24:R169,C$24:C169),"")</f>
        <v/>
      </c>
      <c r="Q170" s="280" t="str">
        <f t="shared" si="48"/>
        <v/>
      </c>
      <c r="R170" s="283">
        <f t="shared" ca="1" si="44"/>
        <v>16582.323369220783</v>
      </c>
      <c r="S170" s="284">
        <f t="shared" ca="1" si="45"/>
        <v>2033</v>
      </c>
      <c r="T170" s="284">
        <f t="shared" ca="1" si="46"/>
        <v>365</v>
      </c>
    </row>
    <row r="171" spans="1:20" x14ac:dyDescent="0.35">
      <c r="A171" s="285">
        <f t="shared" si="47"/>
        <v>147</v>
      </c>
      <c r="B171" s="286">
        <f t="shared" ca="1" si="43"/>
        <v>48962</v>
      </c>
      <c r="C171" s="286">
        <f t="shared" ca="1" si="49"/>
        <v>48962</v>
      </c>
      <c r="D171" s="285">
        <f t="shared" ca="1" si="51"/>
        <v>31</v>
      </c>
      <c r="E171" s="280">
        <f t="shared" ref="E171:E234" ca="1" si="56">IF(A171&gt;$D$8,"",E170-F171)</f>
        <v>1363845.964042143</v>
      </c>
      <c r="F171" s="287">
        <f ca="1">'график анн Базова'!F171</f>
        <v>8246.2727860808172</v>
      </c>
      <c r="G171" s="287">
        <f t="shared" ref="G171:G234" ca="1" si="57">E170*D171*$D$9/IF(OR(YEAR(C171)=2020,YEAR(C171)=2024),366,365)</f>
        <v>8157.3702847047834</v>
      </c>
      <c r="H171" s="280">
        <f ca="1">IF(A170=$D$8,SUM($H$25:H170),IF(A170="","",(G171+F171)))</f>
        <v>16403.643070785602</v>
      </c>
      <c r="I171" s="280" t="str">
        <f t="shared" si="52"/>
        <v/>
      </c>
      <c r="J171" s="280" t="str">
        <f t="shared" si="53"/>
        <v/>
      </c>
      <c r="K171" s="280"/>
      <c r="L171" s="280" t="str">
        <f t="shared" si="54"/>
        <v/>
      </c>
      <c r="M171" s="280" t="str">
        <f t="shared" si="55"/>
        <v/>
      </c>
      <c r="N171" s="283" t="str">
        <f t="shared" si="50"/>
        <v/>
      </c>
      <c r="O171" s="280"/>
      <c r="P171" s="289" t="str">
        <f>IF(A170=$D$8,XIRR(R$24:R170,C$24:C170),"")</f>
        <v/>
      </c>
      <c r="Q171" s="280" t="str">
        <f t="shared" si="48"/>
        <v/>
      </c>
      <c r="R171" s="283">
        <f t="shared" ca="1" si="44"/>
        <v>16403.643070785602</v>
      </c>
      <c r="S171" s="284">
        <f t="shared" ca="1" si="45"/>
        <v>2034</v>
      </c>
      <c r="T171" s="284">
        <f t="shared" ca="1" si="46"/>
        <v>365</v>
      </c>
    </row>
    <row r="172" spans="1:20" x14ac:dyDescent="0.35">
      <c r="A172" s="285">
        <f t="shared" si="47"/>
        <v>148</v>
      </c>
      <c r="B172" s="286">
        <f t="shared" ca="1" si="43"/>
        <v>48993</v>
      </c>
      <c r="C172" s="286">
        <f t="shared" ca="1" si="49"/>
        <v>48993</v>
      </c>
      <c r="D172" s="285">
        <f t="shared" ca="1" si="51"/>
        <v>31</v>
      </c>
      <c r="E172" s="280">
        <f t="shared" ca="1" si="56"/>
        <v>1355509.6238832157</v>
      </c>
      <c r="F172" s="287">
        <f ca="1">'график анн Базова'!F172</f>
        <v>8336.3401589273653</v>
      </c>
      <c r="G172" s="287">
        <f t="shared" ca="1" si="57"/>
        <v>8108.3444985519191</v>
      </c>
      <c r="H172" s="280">
        <f ca="1">IF(A171=$D$8,SUM($H$25:H171),IF(A171="","",(G172+F172)))</f>
        <v>16444.684657479283</v>
      </c>
      <c r="I172" s="280" t="str">
        <f t="shared" si="52"/>
        <v/>
      </c>
      <c r="J172" s="280" t="str">
        <f t="shared" si="53"/>
        <v/>
      </c>
      <c r="K172" s="280"/>
      <c r="L172" s="280" t="str">
        <f t="shared" si="54"/>
        <v/>
      </c>
      <c r="M172" s="280" t="str">
        <f t="shared" si="55"/>
        <v/>
      </c>
      <c r="N172" s="283" t="str">
        <f t="shared" si="50"/>
        <v/>
      </c>
      <c r="O172" s="280"/>
      <c r="P172" s="289" t="str">
        <f>IF(A171=$D$8,XIRR(R$24:R171,C$24:C171),"")</f>
        <v/>
      </c>
      <c r="Q172" s="280" t="str">
        <f t="shared" si="48"/>
        <v/>
      </c>
      <c r="R172" s="283">
        <f t="shared" ca="1" si="44"/>
        <v>16444.684657479283</v>
      </c>
      <c r="S172" s="284">
        <f t="shared" ca="1" si="45"/>
        <v>2034</v>
      </c>
      <c r="T172" s="284">
        <f t="shared" ca="1" si="46"/>
        <v>365</v>
      </c>
    </row>
    <row r="173" spans="1:20" x14ac:dyDescent="0.35">
      <c r="A173" s="285">
        <f t="shared" si="47"/>
        <v>149</v>
      </c>
      <c r="B173" s="286">
        <f t="shared" ca="1" si="43"/>
        <v>49021</v>
      </c>
      <c r="C173" s="286">
        <f t="shared" ca="1" si="49"/>
        <v>49021</v>
      </c>
      <c r="D173" s="285">
        <f t="shared" ca="1" si="51"/>
        <v>28</v>
      </c>
      <c r="E173" s="280">
        <f t="shared" ca="1" si="56"/>
        <v>1345649.4775145028</v>
      </c>
      <c r="F173" s="287">
        <f ca="1">'график анн Базова'!F173</f>
        <v>9860.146368712909</v>
      </c>
      <c r="G173" s="287">
        <f t="shared" ca="1" si="57"/>
        <v>7278.9009940030219</v>
      </c>
      <c r="H173" s="280">
        <f ca="1">IF(A172=$D$8,SUM($H$25:H172),IF(A172="","",(G173+F173)))</f>
        <v>17139.04736271593</v>
      </c>
      <c r="I173" s="280" t="str">
        <f t="shared" si="52"/>
        <v/>
      </c>
      <c r="J173" s="280" t="str">
        <f t="shared" si="53"/>
        <v/>
      </c>
      <c r="K173" s="280"/>
      <c r="L173" s="280" t="str">
        <f t="shared" si="54"/>
        <v/>
      </c>
      <c r="M173" s="280" t="str">
        <f t="shared" si="55"/>
        <v/>
      </c>
      <c r="N173" s="283" t="str">
        <f t="shared" si="50"/>
        <v/>
      </c>
      <c r="O173" s="280"/>
      <c r="P173" s="289" t="str">
        <f>IF(A172=$D$8,XIRR(R$24:R172,C$24:C172),"")</f>
        <v/>
      </c>
      <c r="Q173" s="280" t="str">
        <f t="shared" si="48"/>
        <v/>
      </c>
      <c r="R173" s="283">
        <f t="shared" ca="1" si="44"/>
        <v>17139.04736271593</v>
      </c>
      <c r="S173" s="284">
        <f t="shared" ca="1" si="45"/>
        <v>2034</v>
      </c>
      <c r="T173" s="284">
        <f t="shared" ca="1" si="46"/>
        <v>365</v>
      </c>
    </row>
    <row r="174" spans="1:20" x14ac:dyDescent="0.35">
      <c r="A174" s="285">
        <f t="shared" si="47"/>
        <v>150</v>
      </c>
      <c r="B174" s="286">
        <f t="shared" ref="B174:B237" ca="1" si="58">EDATE($B$24,A174)</f>
        <v>49052</v>
      </c>
      <c r="C174" s="286">
        <f t="shared" ca="1" si="49"/>
        <v>49052</v>
      </c>
      <c r="D174" s="285">
        <f t="shared" ca="1" si="51"/>
        <v>31</v>
      </c>
      <c r="E174" s="280">
        <f t="shared" ca="1" si="56"/>
        <v>1337114.3918399834</v>
      </c>
      <c r="F174" s="287">
        <f ca="1">'график анн Базова'!F174</f>
        <v>8535.0856745193942</v>
      </c>
      <c r="G174" s="287">
        <f t="shared" ca="1" si="57"/>
        <v>8000.1626471410173</v>
      </c>
      <c r="H174" s="280">
        <f ca="1">IF(A173=$D$8,SUM($H$25:H173),IF(A173="","",(G174+F174)))</f>
        <v>16535.248321660412</v>
      </c>
      <c r="I174" s="280" t="str">
        <f t="shared" si="52"/>
        <v/>
      </c>
      <c r="J174" s="280" t="str">
        <f t="shared" si="53"/>
        <v/>
      </c>
      <c r="K174" s="280"/>
      <c r="L174" s="280" t="str">
        <f t="shared" si="54"/>
        <v/>
      </c>
      <c r="M174" s="280" t="str">
        <f t="shared" si="55"/>
        <v/>
      </c>
      <c r="N174" s="283" t="str">
        <f t="shared" si="50"/>
        <v/>
      </c>
      <c r="O174" s="280"/>
      <c r="P174" s="289" t="str">
        <f>IF(A173=$D$8,XIRR(R$24:R173,C$24:C173),"")</f>
        <v/>
      </c>
      <c r="Q174" s="280" t="str">
        <f t="shared" si="48"/>
        <v/>
      </c>
      <c r="R174" s="283">
        <f t="shared" ca="1" si="44"/>
        <v>16535.248321660412</v>
      </c>
      <c r="S174" s="284">
        <f t="shared" ca="1" si="45"/>
        <v>2034</v>
      </c>
      <c r="T174" s="284">
        <f t="shared" ca="1" si="46"/>
        <v>365</v>
      </c>
    </row>
    <row r="175" spans="1:20" x14ac:dyDescent="0.35">
      <c r="A175" s="285">
        <f t="shared" si="47"/>
        <v>151</v>
      </c>
      <c r="B175" s="286">
        <f t="shared" ca="1" si="58"/>
        <v>49082</v>
      </c>
      <c r="C175" s="286">
        <f t="shared" ca="1" si="49"/>
        <v>49082</v>
      </c>
      <c r="D175" s="285">
        <f t="shared" ca="1" si="51"/>
        <v>30</v>
      </c>
      <c r="E175" s="280">
        <f t="shared" ca="1" si="56"/>
        <v>1328014.9804576815</v>
      </c>
      <c r="F175" s="287">
        <f ca="1">'график анн Базова'!F175</f>
        <v>9099.4113823020271</v>
      </c>
      <c r="G175" s="287">
        <f t="shared" ca="1" si="57"/>
        <v>7692.986911956069</v>
      </c>
      <c r="H175" s="280">
        <f ca="1">IF(A174=$D$8,SUM($H$25:H174),IF(A174="","",(G175+F175)))</f>
        <v>16792.398294258095</v>
      </c>
      <c r="I175" s="280" t="str">
        <f t="shared" si="52"/>
        <v/>
      </c>
      <c r="J175" s="280" t="str">
        <f t="shared" si="53"/>
        <v/>
      </c>
      <c r="K175" s="280"/>
      <c r="L175" s="280" t="str">
        <f t="shared" si="54"/>
        <v/>
      </c>
      <c r="M175" s="280" t="str">
        <f t="shared" si="55"/>
        <v/>
      </c>
      <c r="N175" s="283" t="str">
        <f t="shared" si="50"/>
        <v/>
      </c>
      <c r="O175" s="280"/>
      <c r="P175" s="289" t="str">
        <f>IF(A174=$D$8,XIRR(R$24:R174,C$24:C174),"")</f>
        <v/>
      </c>
      <c r="Q175" s="280" t="str">
        <f t="shared" si="48"/>
        <v/>
      </c>
      <c r="R175" s="283">
        <f t="shared" ca="1" si="44"/>
        <v>16792.398294258095</v>
      </c>
      <c r="S175" s="284">
        <f t="shared" ca="1" si="45"/>
        <v>2034</v>
      </c>
      <c r="T175" s="284">
        <f t="shared" ca="1" si="46"/>
        <v>365</v>
      </c>
    </row>
    <row r="176" spans="1:20" x14ac:dyDescent="0.35">
      <c r="A176" s="285">
        <f t="shared" si="47"/>
        <v>152</v>
      </c>
      <c r="B176" s="286">
        <f t="shared" ca="1" si="58"/>
        <v>49113</v>
      </c>
      <c r="C176" s="286">
        <f t="shared" ca="1" si="49"/>
        <v>49113</v>
      </c>
      <c r="D176" s="285">
        <f t="shared" ca="1" si="51"/>
        <v>31</v>
      </c>
      <c r="E176" s="280">
        <f t="shared" ca="1" si="56"/>
        <v>1319287.2874243492</v>
      </c>
      <c r="F176" s="287">
        <f ca="1">'график анн Базова'!F176</f>
        <v>8727.6930333323344</v>
      </c>
      <c r="G176" s="287">
        <f t="shared" ca="1" si="57"/>
        <v>7895.3219386114224</v>
      </c>
      <c r="H176" s="280">
        <f ca="1">IF(A175=$D$8,SUM($H$25:H175),IF(A175="","",(G176+F176)))</f>
        <v>16623.014971943758</v>
      </c>
      <c r="I176" s="280" t="str">
        <f t="shared" si="52"/>
        <v/>
      </c>
      <c r="J176" s="280" t="str">
        <f t="shared" si="53"/>
        <v/>
      </c>
      <c r="K176" s="280"/>
      <c r="L176" s="280" t="str">
        <f t="shared" si="54"/>
        <v/>
      </c>
      <c r="M176" s="280" t="str">
        <f t="shared" si="55"/>
        <v/>
      </c>
      <c r="N176" s="283" t="str">
        <f t="shared" si="50"/>
        <v/>
      </c>
      <c r="O176" s="280"/>
      <c r="P176" s="289" t="str">
        <f>IF(A175=$D$8,XIRR(R$24:R175,C$24:C175),"")</f>
        <v/>
      </c>
      <c r="Q176" s="280" t="str">
        <f t="shared" si="48"/>
        <v/>
      </c>
      <c r="R176" s="283">
        <f t="shared" ca="1" si="44"/>
        <v>16623.014971943758</v>
      </c>
      <c r="S176" s="284">
        <f t="shared" ca="1" si="45"/>
        <v>2034</v>
      </c>
      <c r="T176" s="284">
        <f t="shared" ca="1" si="46"/>
        <v>365</v>
      </c>
    </row>
    <row r="177" spans="1:20" x14ac:dyDescent="0.35">
      <c r="A177" s="285">
        <f t="shared" si="47"/>
        <v>153</v>
      </c>
      <c r="B177" s="286">
        <f t="shared" ca="1" si="58"/>
        <v>49143</v>
      </c>
      <c r="C177" s="286">
        <f t="shared" ca="1" si="49"/>
        <v>49143</v>
      </c>
      <c r="D177" s="285">
        <f t="shared" ca="1" si="51"/>
        <v>30</v>
      </c>
      <c r="E177" s="280">
        <f t="shared" ca="1" si="56"/>
        <v>1309999.445990443</v>
      </c>
      <c r="F177" s="287">
        <f ca="1">'график анн Базова'!F177</f>
        <v>9287.8414339061801</v>
      </c>
      <c r="G177" s="287">
        <f t="shared" ca="1" si="57"/>
        <v>7590.4200098387219</v>
      </c>
      <c r="H177" s="280">
        <f ca="1">IF(A176=$D$8,SUM($H$25:H176),IF(A176="","",(G177+F177)))</f>
        <v>16878.261443744901</v>
      </c>
      <c r="I177" s="280" t="str">
        <f t="shared" si="52"/>
        <v/>
      </c>
      <c r="J177" s="280" t="str">
        <f t="shared" si="53"/>
        <v/>
      </c>
      <c r="K177" s="280"/>
      <c r="L177" s="280" t="str">
        <f t="shared" si="54"/>
        <v/>
      </c>
      <c r="M177" s="280" t="str">
        <f t="shared" si="55"/>
        <v/>
      </c>
      <c r="N177" s="283" t="str">
        <f t="shared" si="50"/>
        <v/>
      </c>
      <c r="O177" s="280"/>
      <c r="P177" s="289" t="str">
        <f>IF(A176=$D$8,XIRR(R$24:R176,C$24:C176),"")</f>
        <v/>
      </c>
      <c r="Q177" s="280" t="str">
        <f t="shared" si="48"/>
        <v/>
      </c>
      <c r="R177" s="283">
        <f t="shared" ca="1" si="44"/>
        <v>16878.261443744901</v>
      </c>
      <c r="S177" s="284">
        <f t="shared" ca="1" si="45"/>
        <v>2034</v>
      </c>
      <c r="T177" s="284">
        <f t="shared" ca="1" si="46"/>
        <v>365</v>
      </c>
    </row>
    <row r="178" spans="1:20" x14ac:dyDescent="0.35">
      <c r="A178" s="285">
        <f t="shared" si="47"/>
        <v>154</v>
      </c>
      <c r="B178" s="286">
        <f t="shared" ca="1" si="58"/>
        <v>49174</v>
      </c>
      <c r="C178" s="286">
        <f t="shared" ca="1" si="49"/>
        <v>49174</v>
      </c>
      <c r="D178" s="285">
        <f t="shared" ca="1" si="51"/>
        <v>31</v>
      </c>
      <c r="E178" s="280">
        <f t="shared" ca="1" si="56"/>
        <v>1301074.9838346255</v>
      </c>
      <c r="F178" s="287">
        <f ca="1">'график анн Базова'!F178</f>
        <v>8924.4621558175222</v>
      </c>
      <c r="G178" s="287">
        <f t="shared" ca="1" si="57"/>
        <v>7788.2158843815387</v>
      </c>
      <c r="H178" s="280">
        <f ca="1">IF(A177=$D$8,SUM($H$25:H177),IF(A177="","",(G178+F178)))</f>
        <v>16712.678040199062</v>
      </c>
      <c r="I178" s="280" t="str">
        <f t="shared" si="52"/>
        <v/>
      </c>
      <c r="J178" s="280" t="str">
        <f t="shared" si="53"/>
        <v/>
      </c>
      <c r="K178" s="280"/>
      <c r="L178" s="280" t="str">
        <f t="shared" si="54"/>
        <v/>
      </c>
      <c r="M178" s="280" t="str">
        <f t="shared" si="55"/>
        <v/>
      </c>
      <c r="N178" s="283" t="str">
        <f t="shared" si="50"/>
        <v/>
      </c>
      <c r="O178" s="280"/>
      <c r="P178" s="289" t="str">
        <f>IF(A177=$D$8,XIRR(R$24:R177,C$24:C177),"")</f>
        <v/>
      </c>
      <c r="Q178" s="280" t="str">
        <f t="shared" si="48"/>
        <v/>
      </c>
      <c r="R178" s="283">
        <f t="shared" ca="1" si="44"/>
        <v>16712.678040199062</v>
      </c>
      <c r="S178" s="284">
        <f t="shared" ca="1" si="45"/>
        <v>2034</v>
      </c>
      <c r="T178" s="284">
        <f t="shared" ca="1" si="46"/>
        <v>365</v>
      </c>
    </row>
    <row r="179" spans="1:20" x14ac:dyDescent="0.35">
      <c r="A179" s="285">
        <f t="shared" si="47"/>
        <v>155</v>
      </c>
      <c r="B179" s="286">
        <f t="shared" ca="1" si="58"/>
        <v>49205</v>
      </c>
      <c r="C179" s="286">
        <f t="shared" ca="1" si="49"/>
        <v>49205</v>
      </c>
      <c r="D179" s="285">
        <f t="shared" ca="1" si="51"/>
        <v>31</v>
      </c>
      <c r="E179" s="280">
        <f t="shared" ca="1" si="56"/>
        <v>1292053.0469916014</v>
      </c>
      <c r="F179" s="287">
        <f ca="1">'график анн Базова'!F179</f>
        <v>9021.9368430240465</v>
      </c>
      <c r="G179" s="287">
        <f t="shared" ca="1" si="57"/>
        <v>7735.1581230716101</v>
      </c>
      <c r="H179" s="280">
        <f ca="1">IF(A178=$D$8,SUM($H$25:H178),IF(A178="","",(G179+F179)))</f>
        <v>16757.094966095658</v>
      </c>
      <c r="I179" s="280" t="str">
        <f t="shared" si="52"/>
        <v/>
      </c>
      <c r="J179" s="280" t="str">
        <f t="shared" si="53"/>
        <v/>
      </c>
      <c r="K179" s="280"/>
      <c r="L179" s="280" t="str">
        <f t="shared" si="54"/>
        <v/>
      </c>
      <c r="M179" s="280" t="str">
        <f t="shared" si="55"/>
        <v/>
      </c>
      <c r="N179" s="283" t="str">
        <f t="shared" si="50"/>
        <v/>
      </c>
      <c r="O179" s="280"/>
      <c r="P179" s="289" t="str">
        <f>IF(A178=$D$8,XIRR(R$24:R178,C$24:C178),"")</f>
        <v/>
      </c>
      <c r="Q179" s="280" t="str">
        <f t="shared" si="48"/>
        <v/>
      </c>
      <c r="R179" s="283">
        <f t="shared" ca="1" si="44"/>
        <v>16757.094966095658</v>
      </c>
      <c r="S179" s="284">
        <f t="shared" ca="1" si="45"/>
        <v>2034</v>
      </c>
      <c r="T179" s="284">
        <f t="shared" ca="1" si="46"/>
        <v>365</v>
      </c>
    </row>
    <row r="180" spans="1:20" x14ac:dyDescent="0.35">
      <c r="A180" s="285">
        <f t="shared" si="47"/>
        <v>156</v>
      </c>
      <c r="B180" s="286">
        <f t="shared" ca="1" si="58"/>
        <v>49235</v>
      </c>
      <c r="C180" s="286">
        <f t="shared" ca="1" si="49"/>
        <v>49235</v>
      </c>
      <c r="D180" s="285">
        <f t="shared" ca="1" si="51"/>
        <v>30</v>
      </c>
      <c r="E180" s="280">
        <f t="shared" ca="1" si="56"/>
        <v>1282477.343367039</v>
      </c>
      <c r="F180" s="287">
        <f ca="1">'график анн Базова'!F180</f>
        <v>9575.7036245624586</v>
      </c>
      <c r="G180" s="287">
        <f t="shared" ca="1" si="57"/>
        <v>7433.7298594037338</v>
      </c>
      <c r="H180" s="280">
        <f ca="1">IF(A179=$D$8,SUM($H$25:H179),IF(A179="","",(G180+F180)))</f>
        <v>17009.433483966193</v>
      </c>
      <c r="I180" s="280" t="str">
        <f t="shared" si="52"/>
        <v/>
      </c>
      <c r="J180" s="280" t="str">
        <f t="shared" si="53"/>
        <v/>
      </c>
      <c r="K180" s="280"/>
      <c r="L180" s="280" t="str">
        <f t="shared" si="54"/>
        <v/>
      </c>
      <c r="M180" s="280" t="str">
        <f t="shared" si="55"/>
        <v/>
      </c>
      <c r="N180" s="283" t="str">
        <f t="shared" si="50"/>
        <v/>
      </c>
      <c r="O180" s="280"/>
      <c r="P180" s="289" t="str">
        <f>IF(A179=$D$8,XIRR(R$24:R179,C$24:C179),"")</f>
        <v/>
      </c>
      <c r="Q180" s="280" t="str">
        <f t="shared" si="48"/>
        <v/>
      </c>
      <c r="R180" s="283">
        <f t="shared" ca="1" si="44"/>
        <v>17009.433483966193</v>
      </c>
      <c r="S180" s="284">
        <f t="shared" ca="1" si="45"/>
        <v>2034</v>
      </c>
      <c r="T180" s="284">
        <f t="shared" ca="1" si="46"/>
        <v>365</v>
      </c>
    </row>
    <row r="181" spans="1:20" x14ac:dyDescent="0.35">
      <c r="A181" s="285">
        <f t="shared" si="47"/>
        <v>157</v>
      </c>
      <c r="B181" s="286">
        <f t="shared" ca="1" si="58"/>
        <v>49266</v>
      </c>
      <c r="C181" s="286">
        <f t="shared" ca="1" si="49"/>
        <v>49266</v>
      </c>
      <c r="D181" s="285">
        <f t="shared" ca="1" si="51"/>
        <v>31</v>
      </c>
      <c r="E181" s="280">
        <f t="shared" ca="1" si="56"/>
        <v>1273252.2795281571</v>
      </c>
      <c r="F181" s="287">
        <f ca="1">'график анн Базова'!F181</f>
        <v>9225.0638388818043</v>
      </c>
      <c r="G181" s="287">
        <f t="shared" ca="1" si="57"/>
        <v>7624.5913290588351</v>
      </c>
      <c r="H181" s="280">
        <f ca="1">IF(A180=$D$8,SUM($H$25:H180),IF(A180="","",(G181+F181)))</f>
        <v>16849.65516794064</v>
      </c>
      <c r="I181" s="280" t="str">
        <f t="shared" si="52"/>
        <v/>
      </c>
      <c r="J181" s="280" t="str">
        <f t="shared" si="53"/>
        <v/>
      </c>
      <c r="K181" s="280">
        <f>IF($F$8&gt;156,($O$8+$O$10),IF($A$180=$F$8,$K$24*$G$8,""))</f>
        <v>7500</v>
      </c>
      <c r="L181" s="280" t="str">
        <f t="shared" si="54"/>
        <v/>
      </c>
      <c r="M181" s="280" t="str">
        <f t="shared" si="55"/>
        <v/>
      </c>
      <c r="N181" s="280">
        <f>IF($F$8&gt;156,($N$14),IF(A180=$F$8,N169+N157+N145+N133+N121+N109+N97+N85+N73+N61+N49+N37+N24,""))</f>
        <v>0</v>
      </c>
      <c r="O181" s="280"/>
      <c r="P181" s="289" t="str">
        <f>IF(A180=$D$8,XIRR(R$24:R180,C$24:C180),"")</f>
        <v/>
      </c>
      <c r="Q181" s="280" t="str">
        <f t="shared" si="48"/>
        <v/>
      </c>
      <c r="R181" s="283">
        <f t="shared" ca="1" si="44"/>
        <v>24349.65516794064</v>
      </c>
      <c r="S181" s="284">
        <f t="shared" ca="1" si="45"/>
        <v>2034</v>
      </c>
      <c r="T181" s="284">
        <f t="shared" ca="1" si="46"/>
        <v>365</v>
      </c>
    </row>
    <row r="182" spans="1:20" x14ac:dyDescent="0.35">
      <c r="A182" s="285">
        <f t="shared" si="47"/>
        <v>158</v>
      </c>
      <c r="B182" s="286">
        <f t="shared" ca="1" si="58"/>
        <v>49296</v>
      </c>
      <c r="C182" s="286">
        <f t="shared" ca="1" si="49"/>
        <v>49296</v>
      </c>
      <c r="D182" s="285">
        <f t="shared" ca="1" si="51"/>
        <v>30</v>
      </c>
      <c r="E182" s="280">
        <f t="shared" ca="1" si="56"/>
        <v>1263477.8543669537</v>
      </c>
      <c r="F182" s="287">
        <f ca="1">'график анн Базова'!F182</f>
        <v>9774.4251612034641</v>
      </c>
      <c r="G182" s="287">
        <f t="shared" ca="1" si="57"/>
        <v>7325.5610602989873</v>
      </c>
      <c r="H182" s="280">
        <f ca="1">IF(A181=$D$8,SUM($H$25:H181),IF(A181="","",(G182+F182)))</f>
        <v>17099.986221502451</v>
      </c>
      <c r="I182" s="280" t="str">
        <f t="shared" si="52"/>
        <v/>
      </c>
      <c r="J182" s="280" t="str">
        <f t="shared" si="53"/>
        <v/>
      </c>
      <c r="K182" s="280"/>
      <c r="L182" s="280" t="str">
        <f t="shared" si="54"/>
        <v/>
      </c>
      <c r="M182" s="280" t="str">
        <f t="shared" si="55"/>
        <v/>
      </c>
      <c r="N182" s="283" t="str">
        <f t="shared" si="50"/>
        <v/>
      </c>
      <c r="O182" s="280"/>
      <c r="P182" s="289" t="str">
        <f>IF(A181=$D$8,XIRR(R$24:R181,C$24:C181),"")</f>
        <v/>
      </c>
      <c r="Q182" s="280" t="str">
        <f t="shared" si="48"/>
        <v/>
      </c>
      <c r="R182" s="283">
        <f t="shared" ca="1" si="44"/>
        <v>17099.986221502451</v>
      </c>
      <c r="S182" s="284">
        <f t="shared" ca="1" si="45"/>
        <v>2034</v>
      </c>
      <c r="T182" s="284">
        <f t="shared" ca="1" si="46"/>
        <v>365</v>
      </c>
    </row>
    <row r="183" spans="1:20" x14ac:dyDescent="0.35">
      <c r="A183" s="285">
        <f t="shared" si="47"/>
        <v>159</v>
      </c>
      <c r="B183" s="286">
        <f t="shared" ca="1" si="58"/>
        <v>49327</v>
      </c>
      <c r="C183" s="286">
        <f t="shared" ca="1" si="49"/>
        <v>49327</v>
      </c>
      <c r="D183" s="285">
        <f t="shared" ca="1" si="51"/>
        <v>31</v>
      </c>
      <c r="E183" s="280">
        <f t="shared" ca="1" si="56"/>
        <v>1254045.2744654755</v>
      </c>
      <c r="F183" s="287">
        <f ca="1">'график анн Базова'!F183</f>
        <v>9432.5799014783479</v>
      </c>
      <c r="G183" s="287">
        <f t="shared" ca="1" si="57"/>
        <v>7511.6354629487396</v>
      </c>
      <c r="H183" s="280">
        <f ca="1">IF(A182=$D$8,SUM($H$25:H182),IF(A182="","",(G183+F183)))</f>
        <v>16944.215364427087</v>
      </c>
      <c r="I183" s="280" t="str">
        <f t="shared" si="52"/>
        <v/>
      </c>
      <c r="J183" s="280" t="str">
        <f t="shared" si="53"/>
        <v/>
      </c>
      <c r="K183" s="280"/>
      <c r="L183" s="280" t="str">
        <f t="shared" si="54"/>
        <v/>
      </c>
      <c r="M183" s="280" t="str">
        <f t="shared" si="55"/>
        <v/>
      </c>
      <c r="N183" s="283" t="str">
        <f t="shared" si="50"/>
        <v/>
      </c>
      <c r="O183" s="280"/>
      <c r="P183" s="289" t="str">
        <f>IF(A182=$D$8,XIRR(R$24:R182,C$24:C182),"")</f>
        <v/>
      </c>
      <c r="Q183" s="280" t="str">
        <f t="shared" si="48"/>
        <v/>
      </c>
      <c r="R183" s="283">
        <f t="shared" ca="1" si="44"/>
        <v>16944.215364427087</v>
      </c>
      <c r="S183" s="284">
        <f t="shared" ca="1" si="45"/>
        <v>2035</v>
      </c>
      <c r="T183" s="284">
        <f t="shared" ca="1" si="46"/>
        <v>365</v>
      </c>
    </row>
    <row r="184" spans="1:20" x14ac:dyDescent="0.35">
      <c r="A184" s="285">
        <f t="shared" si="47"/>
        <v>160</v>
      </c>
      <c r="B184" s="286">
        <f t="shared" ca="1" si="58"/>
        <v>49358</v>
      </c>
      <c r="C184" s="286">
        <f t="shared" ca="1" si="49"/>
        <v>49358</v>
      </c>
      <c r="D184" s="285">
        <f t="shared" ca="1" si="51"/>
        <v>31</v>
      </c>
      <c r="E184" s="280">
        <f t="shared" ca="1" si="56"/>
        <v>1244509.6701173251</v>
      </c>
      <c r="F184" s="287">
        <f ca="1">'график анн Базова'!F184</f>
        <v>9535.6043481502238</v>
      </c>
      <c r="G184" s="287">
        <f t="shared" ca="1" si="57"/>
        <v>7455.5568372331009</v>
      </c>
      <c r="H184" s="280">
        <f ca="1">IF(A183=$D$8,SUM($H$25:H183),IF(A183="","",(G184+F184)))</f>
        <v>16991.161185383324</v>
      </c>
      <c r="I184" s="280" t="str">
        <f t="shared" si="52"/>
        <v/>
      </c>
      <c r="J184" s="280" t="str">
        <f t="shared" si="53"/>
        <v/>
      </c>
      <c r="K184" s="280"/>
      <c r="L184" s="280" t="str">
        <f t="shared" si="54"/>
        <v/>
      </c>
      <c r="M184" s="280" t="str">
        <f t="shared" si="55"/>
        <v/>
      </c>
      <c r="N184" s="283" t="str">
        <f t="shared" si="50"/>
        <v/>
      </c>
      <c r="O184" s="280"/>
      <c r="P184" s="289" t="str">
        <f>IF(A183=$D$8,XIRR(R$24:R183,C$24:C183),"")</f>
        <v/>
      </c>
      <c r="Q184" s="280" t="str">
        <f t="shared" si="48"/>
        <v/>
      </c>
      <c r="R184" s="283">
        <f t="shared" ca="1" si="44"/>
        <v>16991.161185383324</v>
      </c>
      <c r="S184" s="284">
        <f t="shared" ca="1" si="45"/>
        <v>2035</v>
      </c>
      <c r="T184" s="284">
        <f t="shared" ca="1" si="46"/>
        <v>365</v>
      </c>
    </row>
    <row r="185" spans="1:20" x14ac:dyDescent="0.35">
      <c r="A185" s="285">
        <f t="shared" si="47"/>
        <v>161</v>
      </c>
      <c r="B185" s="286">
        <f t="shared" ca="1" si="58"/>
        <v>49386</v>
      </c>
      <c r="C185" s="286">
        <f t="shared" ca="1" si="49"/>
        <v>49386</v>
      </c>
      <c r="D185" s="285">
        <f t="shared" ca="1" si="51"/>
        <v>28</v>
      </c>
      <c r="E185" s="280">
        <f t="shared" ca="1" si="56"/>
        <v>1233554.486396502</v>
      </c>
      <c r="F185" s="287">
        <f ca="1">'график анн Базова'!F185</f>
        <v>10955.183720823101</v>
      </c>
      <c r="G185" s="287">
        <f t="shared" ca="1" si="57"/>
        <v>6682.846447753308</v>
      </c>
      <c r="H185" s="280">
        <f ca="1">IF(A184=$D$8,SUM($H$25:H184),IF(A184="","",(G185+F185)))</f>
        <v>17638.03016857641</v>
      </c>
      <c r="I185" s="280" t="str">
        <f t="shared" si="52"/>
        <v/>
      </c>
      <c r="J185" s="280" t="str">
        <f t="shared" si="53"/>
        <v/>
      </c>
      <c r="K185" s="280"/>
      <c r="L185" s="280" t="str">
        <f t="shared" si="54"/>
        <v/>
      </c>
      <c r="M185" s="280" t="str">
        <f t="shared" si="55"/>
        <v/>
      </c>
      <c r="N185" s="283" t="str">
        <f t="shared" si="50"/>
        <v/>
      </c>
      <c r="O185" s="280"/>
      <c r="P185" s="289" t="str">
        <f>IF(A184=$D$8,XIRR(R$24:R184,C$24:C184),"")</f>
        <v/>
      </c>
      <c r="Q185" s="280" t="str">
        <f t="shared" si="48"/>
        <v/>
      </c>
      <c r="R185" s="283">
        <f t="shared" ca="1" si="44"/>
        <v>17638.03016857641</v>
      </c>
      <c r="S185" s="284">
        <f t="shared" ca="1" si="45"/>
        <v>2035</v>
      </c>
      <c r="T185" s="284">
        <f t="shared" ca="1" si="46"/>
        <v>365</v>
      </c>
    </row>
    <row r="186" spans="1:20" x14ac:dyDescent="0.35">
      <c r="A186" s="285">
        <f t="shared" si="47"/>
        <v>162</v>
      </c>
      <c r="B186" s="286">
        <f t="shared" ca="1" si="58"/>
        <v>49417</v>
      </c>
      <c r="C186" s="286">
        <f t="shared" ca="1" si="49"/>
        <v>49417</v>
      </c>
      <c r="D186" s="285">
        <f t="shared" ca="1" si="51"/>
        <v>31</v>
      </c>
      <c r="E186" s="280">
        <f t="shared" ca="1" si="56"/>
        <v>1223795.0777313223</v>
      </c>
      <c r="F186" s="287">
        <f ca="1">'график анн Базова'!F186</f>
        <v>9759.4086651797279</v>
      </c>
      <c r="G186" s="287">
        <f t="shared" ca="1" si="57"/>
        <v>7333.7348917271511</v>
      </c>
      <c r="H186" s="280">
        <f ca="1">IF(A185=$D$8,SUM($H$25:H185),IF(A185="","",(G186+F186)))</f>
        <v>17093.143556906878</v>
      </c>
      <c r="I186" s="280" t="str">
        <f t="shared" si="52"/>
        <v/>
      </c>
      <c r="J186" s="280" t="str">
        <f t="shared" si="53"/>
        <v/>
      </c>
      <c r="K186" s="280"/>
      <c r="L186" s="280" t="str">
        <f t="shared" si="54"/>
        <v/>
      </c>
      <c r="M186" s="280" t="str">
        <f t="shared" si="55"/>
        <v/>
      </c>
      <c r="N186" s="283" t="str">
        <f t="shared" si="50"/>
        <v/>
      </c>
      <c r="O186" s="280"/>
      <c r="P186" s="289" t="str">
        <f>IF(A185=$D$8,XIRR(R$24:R185,C$24:C185),"")</f>
        <v/>
      </c>
      <c r="Q186" s="280" t="str">
        <f t="shared" si="48"/>
        <v/>
      </c>
      <c r="R186" s="283">
        <f t="shared" ca="1" si="44"/>
        <v>17093.143556906878</v>
      </c>
      <c r="S186" s="284">
        <f t="shared" ca="1" si="45"/>
        <v>2035</v>
      </c>
      <c r="T186" s="284">
        <f t="shared" ca="1" si="46"/>
        <v>365</v>
      </c>
    </row>
    <row r="187" spans="1:20" x14ac:dyDescent="0.35">
      <c r="A187" s="285">
        <f t="shared" si="47"/>
        <v>163</v>
      </c>
      <c r="B187" s="286">
        <f t="shared" ca="1" si="58"/>
        <v>49447</v>
      </c>
      <c r="C187" s="286">
        <f t="shared" ca="1" si="49"/>
        <v>49447</v>
      </c>
      <c r="D187" s="285">
        <f t="shared" ca="1" si="51"/>
        <v>30</v>
      </c>
      <c r="E187" s="280">
        <f t="shared" ca="1" si="56"/>
        <v>1213497.8967220853</v>
      </c>
      <c r="F187" s="287">
        <f ca="1">'график анн Базова'!F187</f>
        <v>10297.181009236861</v>
      </c>
      <c r="G187" s="287">
        <f t="shared" ca="1" si="57"/>
        <v>7041.0127759884299</v>
      </c>
      <c r="H187" s="280">
        <f ca="1">IF(A186=$D$8,SUM($H$25:H186),IF(A186="","",(G187+F187)))</f>
        <v>17338.193785225292</v>
      </c>
      <c r="I187" s="280" t="str">
        <f t="shared" si="52"/>
        <v/>
      </c>
      <c r="J187" s="280" t="str">
        <f t="shared" si="53"/>
        <v/>
      </c>
      <c r="K187" s="280"/>
      <c r="L187" s="280" t="str">
        <f t="shared" si="54"/>
        <v/>
      </c>
      <c r="M187" s="280" t="str">
        <f t="shared" si="55"/>
        <v/>
      </c>
      <c r="N187" s="283" t="str">
        <f t="shared" si="50"/>
        <v/>
      </c>
      <c r="P187" s="289" t="str">
        <f>IF(A186=$D$8,XIRR(R$24:R186,C$24:C186),"")</f>
        <v/>
      </c>
      <c r="Q187" s="280" t="str">
        <f t="shared" si="48"/>
        <v/>
      </c>
      <c r="R187" s="283">
        <f t="shared" ca="1" si="44"/>
        <v>17338.193785225292</v>
      </c>
      <c r="S187" s="284">
        <f t="shared" ca="1" si="45"/>
        <v>2035</v>
      </c>
      <c r="T187" s="284">
        <f t="shared" ca="1" si="46"/>
        <v>365</v>
      </c>
    </row>
    <row r="188" spans="1:20" x14ac:dyDescent="0.35">
      <c r="A188" s="285">
        <f t="shared" si="47"/>
        <v>164</v>
      </c>
      <c r="B188" s="286">
        <f t="shared" ca="1" si="58"/>
        <v>49478</v>
      </c>
      <c r="C188" s="286">
        <f t="shared" ca="1" si="49"/>
        <v>49478</v>
      </c>
      <c r="D188" s="285">
        <f t="shared" ca="1" si="51"/>
        <v>31</v>
      </c>
      <c r="E188" s="280">
        <f t="shared" ca="1" si="56"/>
        <v>1203519.4261380124</v>
      </c>
      <c r="F188" s="287">
        <f ca="1">'график анн Базова'!F188</f>
        <v>9978.4705840729603</v>
      </c>
      <c r="G188" s="287">
        <f t="shared" ca="1" si="57"/>
        <v>7214.4943448956865</v>
      </c>
      <c r="H188" s="280">
        <f ca="1">IF(A187=$D$8,SUM($H$25:H187),IF(A187="","",(G188+F188)))</f>
        <v>17192.964928968646</v>
      </c>
      <c r="I188" s="280" t="str">
        <f t="shared" si="52"/>
        <v/>
      </c>
      <c r="J188" s="280" t="str">
        <f t="shared" si="53"/>
        <v/>
      </c>
      <c r="K188" s="280"/>
      <c r="L188" s="280" t="str">
        <f t="shared" si="54"/>
        <v/>
      </c>
      <c r="M188" s="280" t="str">
        <f t="shared" si="55"/>
        <v/>
      </c>
      <c r="N188" s="283" t="str">
        <f t="shared" si="50"/>
        <v/>
      </c>
      <c r="P188" s="289" t="str">
        <f>IF(A187=$D$8,XIRR(R$24:R187,C$24:C187),"")</f>
        <v/>
      </c>
      <c r="Q188" s="280" t="str">
        <f t="shared" si="48"/>
        <v/>
      </c>
      <c r="R188" s="283">
        <f t="shared" ca="1" si="44"/>
        <v>17192.964928968646</v>
      </c>
      <c r="S188" s="284">
        <f t="shared" ca="1" si="45"/>
        <v>2035</v>
      </c>
      <c r="T188" s="284">
        <f t="shared" ca="1" si="46"/>
        <v>365</v>
      </c>
    </row>
    <row r="189" spans="1:20" x14ac:dyDescent="0.35">
      <c r="A189" s="285">
        <f t="shared" si="47"/>
        <v>165</v>
      </c>
      <c r="B189" s="286">
        <f t="shared" ca="1" si="58"/>
        <v>49508</v>
      </c>
      <c r="C189" s="286">
        <f t="shared" ca="1" si="49"/>
        <v>49508</v>
      </c>
      <c r="D189" s="285">
        <f t="shared" ca="1" si="51"/>
        <v>30</v>
      </c>
      <c r="E189" s="280">
        <f t="shared" ca="1" si="56"/>
        <v>1193007.9342689209</v>
      </c>
      <c r="F189" s="287">
        <f ca="1">'график анн Базова'!F189</f>
        <v>10511.491869091626</v>
      </c>
      <c r="G189" s="287">
        <f t="shared" ca="1" si="57"/>
        <v>6924.3583421639078</v>
      </c>
      <c r="H189" s="280">
        <f ca="1">IF(A188=$D$8,SUM($H$25:H188),IF(A188="","",(G189+F189)))</f>
        <v>17435.850211255532</v>
      </c>
      <c r="I189" s="280" t="str">
        <f t="shared" si="52"/>
        <v/>
      </c>
      <c r="J189" s="280" t="str">
        <f t="shared" si="53"/>
        <v/>
      </c>
      <c r="K189" s="280"/>
      <c r="L189" s="280" t="str">
        <f t="shared" si="54"/>
        <v/>
      </c>
      <c r="M189" s="280" t="str">
        <f t="shared" si="55"/>
        <v/>
      </c>
      <c r="N189" s="283" t="str">
        <f t="shared" si="50"/>
        <v/>
      </c>
      <c r="P189" s="289" t="str">
        <f>IF(A188=$D$8,XIRR(R$24:R188,C$24:C188),"")</f>
        <v/>
      </c>
      <c r="Q189" s="280" t="str">
        <f t="shared" si="48"/>
        <v/>
      </c>
      <c r="R189" s="283">
        <f t="shared" ca="1" si="44"/>
        <v>17435.850211255532</v>
      </c>
      <c r="S189" s="284">
        <f t="shared" ca="1" si="45"/>
        <v>2035</v>
      </c>
      <c r="T189" s="284">
        <f t="shared" ca="1" si="46"/>
        <v>365</v>
      </c>
    </row>
    <row r="190" spans="1:20" x14ac:dyDescent="0.35">
      <c r="A190" s="285">
        <f t="shared" si="47"/>
        <v>166</v>
      </c>
      <c r="B190" s="286">
        <f t="shared" ca="1" si="58"/>
        <v>49539</v>
      </c>
      <c r="C190" s="286">
        <f t="shared" ca="1" si="49"/>
        <v>49539</v>
      </c>
      <c r="D190" s="285">
        <f t="shared" ca="1" si="51"/>
        <v>31</v>
      </c>
      <c r="E190" s="280">
        <f t="shared" ca="1" si="56"/>
        <v>1182805.6683853527</v>
      </c>
      <c r="F190" s="287">
        <f ca="1">'график анн Базова'!F190</f>
        <v>10202.265883568261</v>
      </c>
      <c r="G190" s="287">
        <f t="shared" ca="1" si="57"/>
        <v>7092.6773078453662</v>
      </c>
      <c r="H190" s="280">
        <f ca="1">IF(A189=$D$8,SUM($H$25:H189),IF(A189="","",(G190+F190)))</f>
        <v>17294.943191413629</v>
      </c>
      <c r="I190" s="280" t="str">
        <f t="shared" si="52"/>
        <v/>
      </c>
      <c r="J190" s="280" t="str">
        <f t="shared" si="53"/>
        <v/>
      </c>
      <c r="K190" s="280"/>
      <c r="L190" s="280" t="str">
        <f t="shared" si="54"/>
        <v/>
      </c>
      <c r="M190" s="280" t="str">
        <f t="shared" si="55"/>
        <v/>
      </c>
      <c r="N190" s="283" t="str">
        <f t="shared" si="50"/>
        <v/>
      </c>
      <c r="P190" s="289" t="str">
        <f>IF(A189=$D$8,XIRR(R$24:R189,C$24:C189),"")</f>
        <v/>
      </c>
      <c r="Q190" s="280" t="str">
        <f t="shared" si="48"/>
        <v/>
      </c>
      <c r="R190" s="283">
        <f t="shared" ca="1" si="44"/>
        <v>17294.943191413629</v>
      </c>
      <c r="S190" s="284">
        <f t="shared" ca="1" si="45"/>
        <v>2035</v>
      </c>
      <c r="T190" s="284">
        <f t="shared" ca="1" si="46"/>
        <v>365</v>
      </c>
    </row>
    <row r="191" spans="1:20" x14ac:dyDescent="0.35">
      <c r="A191" s="285">
        <f t="shared" si="47"/>
        <v>167</v>
      </c>
      <c r="B191" s="286">
        <f t="shared" ca="1" si="58"/>
        <v>49570</v>
      </c>
      <c r="C191" s="286">
        <f t="shared" ca="1" si="49"/>
        <v>49570</v>
      </c>
      <c r="D191" s="285">
        <f t="shared" ca="1" si="51"/>
        <v>31</v>
      </c>
      <c r="E191" s="280">
        <f t="shared" ca="1" si="56"/>
        <v>1172491.9713972053</v>
      </c>
      <c r="F191" s="287">
        <f ca="1">'график анн Базова'!F191</f>
        <v>10313.696988147529</v>
      </c>
      <c r="G191" s="287">
        <f t="shared" ca="1" si="57"/>
        <v>7032.0227408115497</v>
      </c>
      <c r="H191" s="280">
        <f ca="1">IF(A190=$D$8,SUM($H$25:H190),IF(A190="","",(G191+F191)))</f>
        <v>17345.719728959077</v>
      </c>
      <c r="I191" s="280" t="str">
        <f t="shared" si="52"/>
        <v/>
      </c>
      <c r="J191" s="280" t="str">
        <f t="shared" si="53"/>
        <v/>
      </c>
      <c r="K191" s="280"/>
      <c r="L191" s="280" t="str">
        <f t="shared" si="54"/>
        <v/>
      </c>
      <c r="M191" s="280" t="str">
        <f t="shared" si="55"/>
        <v/>
      </c>
      <c r="N191" s="283" t="str">
        <f t="shared" si="50"/>
        <v/>
      </c>
      <c r="P191" s="289" t="str">
        <f>IF(A190=$D$8,XIRR(R$24:R190,C$24:C190),"")</f>
        <v/>
      </c>
      <c r="Q191" s="280" t="str">
        <f t="shared" si="48"/>
        <v/>
      </c>
      <c r="R191" s="283">
        <f t="shared" ca="1" si="44"/>
        <v>17345.719728959077</v>
      </c>
      <c r="S191" s="284">
        <f t="shared" ca="1" si="45"/>
        <v>2035</v>
      </c>
      <c r="T191" s="284">
        <f t="shared" ca="1" si="46"/>
        <v>365</v>
      </c>
    </row>
    <row r="192" spans="1:20" x14ac:dyDescent="0.35">
      <c r="A192" s="285">
        <f t="shared" si="47"/>
        <v>168</v>
      </c>
      <c r="B192" s="286">
        <f t="shared" ca="1" si="58"/>
        <v>49600</v>
      </c>
      <c r="C192" s="286">
        <f t="shared" ca="1" si="49"/>
        <v>49600</v>
      </c>
      <c r="D192" s="285">
        <f t="shared" ca="1" si="51"/>
        <v>30</v>
      </c>
      <c r="E192" s="280">
        <f t="shared" ca="1" si="56"/>
        <v>1161652.5235818396</v>
      </c>
      <c r="F192" s="287">
        <f ca="1">'график анн Базова'!F192</f>
        <v>10839.447815365693</v>
      </c>
      <c r="G192" s="287">
        <f t="shared" ca="1" si="57"/>
        <v>6745.8442189976195</v>
      </c>
      <c r="H192" s="280">
        <f ca="1">IF(A191=$D$8,SUM($H$25:H191),IF(A191="","",(G192+F192)))</f>
        <v>17585.292034363312</v>
      </c>
      <c r="I192" s="280" t="str">
        <f t="shared" si="52"/>
        <v/>
      </c>
      <c r="J192" s="280" t="str">
        <f t="shared" si="53"/>
        <v/>
      </c>
      <c r="K192" s="280"/>
      <c r="L192" s="280" t="str">
        <f t="shared" si="54"/>
        <v/>
      </c>
      <c r="M192" s="280" t="str">
        <f t="shared" si="55"/>
        <v/>
      </c>
      <c r="N192" s="283" t="str">
        <f t="shared" si="50"/>
        <v/>
      </c>
      <c r="P192" s="289" t="str">
        <f>IF(A191=$D$8,XIRR(R$24:R191,C$24:C191),"")</f>
        <v/>
      </c>
      <c r="Q192" s="280" t="str">
        <f t="shared" si="48"/>
        <v/>
      </c>
      <c r="R192" s="283">
        <f t="shared" ca="1" si="44"/>
        <v>17585.292034363312</v>
      </c>
      <c r="S192" s="284">
        <f t="shared" ca="1" si="45"/>
        <v>2035</v>
      </c>
      <c r="T192" s="284">
        <f t="shared" ca="1" si="46"/>
        <v>365</v>
      </c>
    </row>
    <row r="193" spans="1:20" x14ac:dyDescent="0.35">
      <c r="A193" s="285">
        <f t="shared" si="47"/>
        <v>169</v>
      </c>
      <c r="B193" s="286">
        <f t="shared" ca="1" si="58"/>
        <v>49631</v>
      </c>
      <c r="C193" s="286">
        <f t="shared" ca="1" si="49"/>
        <v>49631</v>
      </c>
      <c r="D193" s="285">
        <f t="shared" ca="1" si="51"/>
        <v>31</v>
      </c>
      <c r="E193" s="280">
        <f t="shared" ca="1" si="56"/>
        <v>1151107.7878893807</v>
      </c>
      <c r="F193" s="287">
        <f ca="1">'график анн Базова'!F193</f>
        <v>10544.735692458997</v>
      </c>
      <c r="G193" s="287">
        <f t="shared" ca="1" si="57"/>
        <v>6906.2629484180607</v>
      </c>
      <c r="H193" s="280">
        <f ca="1">IF(A192=$D$8,SUM($H$25:H192),IF(A192="","",(G193+F193)))</f>
        <v>17450.998640877056</v>
      </c>
      <c r="I193" s="280" t="str">
        <f t="shared" si="52"/>
        <v/>
      </c>
      <c r="J193" s="280" t="str">
        <f t="shared" si="53"/>
        <v/>
      </c>
      <c r="K193" s="280">
        <f>IF($F$8&gt;168,($O$8+$O$10),IF($A$192=$F$8,$K$24*$G$8,""))</f>
        <v>7500</v>
      </c>
      <c r="L193" s="280" t="str">
        <f t="shared" si="54"/>
        <v/>
      </c>
      <c r="M193" s="280" t="str">
        <f t="shared" si="55"/>
        <v/>
      </c>
      <c r="N193" s="280">
        <f>IF($F$8&gt;168,($N$14),IF(A192=$F$8,N181+N169+N157+N145+N133+N121+N109+N97+N85+N73+N61+N49+N37+N24,""))</f>
        <v>0</v>
      </c>
      <c r="P193" s="289" t="str">
        <f>IF(A192=$D$8,XIRR(R$24:R192,C$24:C192),"")</f>
        <v/>
      </c>
      <c r="Q193" s="280" t="str">
        <f t="shared" si="48"/>
        <v/>
      </c>
      <c r="R193" s="283">
        <f t="shared" ca="1" si="44"/>
        <v>24950.998640877056</v>
      </c>
      <c r="S193" s="284">
        <f t="shared" ca="1" si="45"/>
        <v>2035</v>
      </c>
      <c r="T193" s="284">
        <f t="shared" ca="1" si="46"/>
        <v>365</v>
      </c>
    </row>
    <row r="194" spans="1:20" x14ac:dyDescent="0.35">
      <c r="A194" s="285">
        <f t="shared" si="47"/>
        <v>170</v>
      </c>
      <c r="B194" s="286">
        <f t="shared" ca="1" si="58"/>
        <v>49661</v>
      </c>
      <c r="C194" s="286">
        <f t="shared" ca="1" si="49"/>
        <v>49661</v>
      </c>
      <c r="D194" s="285">
        <f t="shared" ca="1" si="51"/>
        <v>30</v>
      </c>
      <c r="E194" s="280">
        <f t="shared" ca="1" si="56"/>
        <v>1140042.3121836775</v>
      </c>
      <c r="F194" s="287">
        <f ca="1">'график анн Базова'!F194</f>
        <v>11065.475705703191</v>
      </c>
      <c r="G194" s="287">
        <f t="shared" ca="1" si="57"/>
        <v>6622.8119303224648</v>
      </c>
      <c r="H194" s="280">
        <f ca="1">IF(A193=$D$8,SUM($H$25:H193),IF(A193="","",(G194+F194)))</f>
        <v>17688.287636025656</v>
      </c>
      <c r="I194" s="280" t="str">
        <f t="shared" si="52"/>
        <v/>
      </c>
      <c r="J194" s="280" t="str">
        <f t="shared" si="53"/>
        <v/>
      </c>
      <c r="K194" s="280"/>
      <c r="L194" s="280" t="str">
        <f t="shared" si="54"/>
        <v/>
      </c>
      <c r="M194" s="280" t="str">
        <f t="shared" si="55"/>
        <v/>
      </c>
      <c r="N194" s="283" t="str">
        <f t="shared" si="50"/>
        <v/>
      </c>
      <c r="P194" s="289" t="str">
        <f>IF(A193=$D$8,XIRR(R$24:R193,C$24:C193),"")</f>
        <v/>
      </c>
      <c r="Q194" s="280" t="str">
        <f t="shared" si="48"/>
        <v/>
      </c>
      <c r="R194" s="283">
        <f t="shared" ca="1" si="44"/>
        <v>17688.287636025656</v>
      </c>
      <c r="S194" s="284">
        <f t="shared" ca="1" si="45"/>
        <v>2035</v>
      </c>
      <c r="T194" s="284">
        <f t="shared" ca="1" si="46"/>
        <v>365</v>
      </c>
    </row>
    <row r="195" spans="1:20" x14ac:dyDescent="0.35">
      <c r="A195" s="285">
        <f t="shared" si="47"/>
        <v>171</v>
      </c>
      <c r="B195" s="286">
        <f t="shared" ca="1" si="58"/>
        <v>49692</v>
      </c>
      <c r="C195" s="286">
        <f t="shared" ca="1" si="49"/>
        <v>49692</v>
      </c>
      <c r="D195" s="285">
        <f t="shared" ca="1" si="51"/>
        <v>31</v>
      </c>
      <c r="E195" s="280">
        <f t="shared" ca="1" si="56"/>
        <v>1129261.5456179036</v>
      </c>
      <c r="F195" s="287">
        <f ca="1">'график анн Базова'!F195</f>
        <v>10780.766565773829</v>
      </c>
      <c r="G195" s="287">
        <f t="shared" ca="1" si="57"/>
        <v>6777.7858012015895</v>
      </c>
      <c r="H195" s="280">
        <f ca="1">IF(A194=$D$8,SUM($H$25:H194),IF(A194="","",(G195+F195)))</f>
        <v>17558.552366975418</v>
      </c>
      <c r="I195" s="280" t="str">
        <f t="shared" si="52"/>
        <v/>
      </c>
      <c r="J195" s="280" t="str">
        <f t="shared" si="53"/>
        <v/>
      </c>
      <c r="K195" s="280"/>
      <c r="L195" s="280" t="str">
        <f t="shared" si="54"/>
        <v/>
      </c>
      <c r="M195" s="280" t="str">
        <f t="shared" si="55"/>
        <v/>
      </c>
      <c r="N195" s="283" t="str">
        <f t="shared" si="50"/>
        <v/>
      </c>
      <c r="P195" s="289" t="str">
        <f>IF(A194=$D$8,XIRR(R$24:R194,C$24:C194),"")</f>
        <v/>
      </c>
      <c r="Q195" s="280" t="str">
        <f t="shared" si="48"/>
        <v/>
      </c>
      <c r="R195" s="283">
        <f t="shared" ca="1" si="44"/>
        <v>17558.552366975418</v>
      </c>
      <c r="S195" s="284">
        <f t="shared" ca="1" si="45"/>
        <v>2036</v>
      </c>
      <c r="T195" s="284">
        <f t="shared" ca="1" si="46"/>
        <v>366</v>
      </c>
    </row>
    <row r="196" spans="1:20" x14ac:dyDescent="0.35">
      <c r="A196" s="285">
        <f t="shared" si="47"/>
        <v>172</v>
      </c>
      <c r="B196" s="286">
        <f t="shared" ca="1" si="58"/>
        <v>49723</v>
      </c>
      <c r="C196" s="286">
        <f t="shared" ca="1" si="49"/>
        <v>49723</v>
      </c>
      <c r="D196" s="285">
        <f t="shared" ca="1" si="51"/>
        <v>31</v>
      </c>
      <c r="E196" s="280">
        <f t="shared" ca="1" si="56"/>
        <v>1118329.3299680778</v>
      </c>
      <c r="F196" s="287">
        <f ca="1">'график анн Базова'!F196</f>
        <v>10932.215649825837</v>
      </c>
      <c r="G196" s="287">
        <f t="shared" ca="1" si="57"/>
        <v>6713.6919287420578</v>
      </c>
      <c r="H196" s="280">
        <f ca="1">IF(A195=$D$8,SUM($H$25:H195),IF(A195="","",(G196+F196)))</f>
        <v>17645.907578567894</v>
      </c>
      <c r="I196" s="280" t="str">
        <f t="shared" si="52"/>
        <v/>
      </c>
      <c r="J196" s="280" t="str">
        <f t="shared" si="53"/>
        <v/>
      </c>
      <c r="K196" s="280"/>
      <c r="L196" s="280" t="str">
        <f t="shared" si="54"/>
        <v/>
      </c>
      <c r="M196" s="280" t="str">
        <f t="shared" si="55"/>
        <v/>
      </c>
      <c r="N196" s="283" t="str">
        <f t="shared" si="50"/>
        <v/>
      </c>
      <c r="P196" s="289" t="str">
        <f>IF(A195=$D$8,XIRR(R$24:R195,C$24:C195),"")</f>
        <v/>
      </c>
      <c r="Q196" s="280" t="str">
        <f t="shared" si="48"/>
        <v/>
      </c>
      <c r="R196" s="283">
        <f t="shared" ca="1" si="44"/>
        <v>17645.907578567894</v>
      </c>
      <c r="S196" s="284">
        <f t="shared" ca="1" si="45"/>
        <v>2036</v>
      </c>
      <c r="T196" s="284">
        <f t="shared" ca="1" si="46"/>
        <v>366</v>
      </c>
    </row>
    <row r="197" spans="1:20" x14ac:dyDescent="0.35">
      <c r="A197" s="285">
        <f t="shared" si="47"/>
        <v>173</v>
      </c>
      <c r="B197" s="286">
        <f t="shared" ca="1" si="58"/>
        <v>49752</v>
      </c>
      <c r="C197" s="286">
        <f t="shared" ca="1" si="49"/>
        <v>49752</v>
      </c>
      <c r="D197" s="285">
        <f t="shared" ca="1" si="51"/>
        <v>29</v>
      </c>
      <c r="E197" s="280">
        <f t="shared" ca="1" si="56"/>
        <v>1106492.1507265104</v>
      </c>
      <c r="F197" s="287">
        <f ca="1">'график анн Базова'!F197</f>
        <v>11837.179241567326</v>
      </c>
      <c r="G197" s="287">
        <f t="shared" ca="1" si="57"/>
        <v>6219.7494242060229</v>
      </c>
      <c r="H197" s="280">
        <f ca="1">IF(A196=$D$8,SUM($H$25:H196),IF(A196="","",(G197+F197)))</f>
        <v>18056.92866577335</v>
      </c>
      <c r="I197" s="280" t="str">
        <f t="shared" si="52"/>
        <v/>
      </c>
      <c r="J197" s="280" t="str">
        <f t="shared" si="53"/>
        <v/>
      </c>
      <c r="K197" s="280"/>
      <c r="L197" s="280" t="str">
        <f t="shared" si="54"/>
        <v/>
      </c>
      <c r="M197" s="280" t="str">
        <f t="shared" si="55"/>
        <v/>
      </c>
      <c r="N197" s="283" t="str">
        <f t="shared" si="50"/>
        <v/>
      </c>
      <c r="P197" s="289" t="str">
        <f>IF(A196=$D$8,XIRR(R$24:R196,C$24:C196),"")</f>
        <v/>
      </c>
      <c r="Q197" s="280" t="str">
        <f t="shared" si="48"/>
        <v/>
      </c>
      <c r="R197" s="283">
        <f t="shared" ca="1" si="44"/>
        <v>18056.92866577335</v>
      </c>
      <c r="S197" s="284">
        <f t="shared" ca="1" si="45"/>
        <v>2036</v>
      </c>
      <c r="T197" s="284">
        <f t="shared" ca="1" si="46"/>
        <v>366</v>
      </c>
    </row>
    <row r="198" spans="1:20" x14ac:dyDescent="0.35">
      <c r="A198" s="285">
        <f t="shared" si="47"/>
        <v>174</v>
      </c>
      <c r="B198" s="286">
        <f t="shared" ca="1" si="58"/>
        <v>49783</v>
      </c>
      <c r="C198" s="286">
        <f t="shared" ca="1" si="49"/>
        <v>49783</v>
      </c>
      <c r="D198" s="285">
        <f t="shared" ca="1" si="51"/>
        <v>31</v>
      </c>
      <c r="E198" s="280">
        <f t="shared" ca="1" si="56"/>
        <v>1095311.9228644604</v>
      </c>
      <c r="F198" s="287">
        <f ca="1">'график анн Базова'!F198</f>
        <v>11180.227862049958</v>
      </c>
      <c r="G198" s="287">
        <f t="shared" ca="1" si="57"/>
        <v>6578.3231974699393</v>
      </c>
      <c r="H198" s="280">
        <f ca="1">IF(A197=$D$8,SUM($H$25:H197),IF(A197="","",(G198+F198)))</f>
        <v>17758.551059519898</v>
      </c>
      <c r="I198" s="280" t="str">
        <f t="shared" si="52"/>
        <v/>
      </c>
      <c r="J198" s="280" t="str">
        <f t="shared" si="53"/>
        <v/>
      </c>
      <c r="K198" s="280"/>
      <c r="L198" s="280" t="str">
        <f t="shared" si="54"/>
        <v/>
      </c>
      <c r="M198" s="280" t="str">
        <f t="shared" si="55"/>
        <v/>
      </c>
      <c r="N198" s="283" t="str">
        <f t="shared" si="50"/>
        <v/>
      </c>
      <c r="P198" s="289" t="str">
        <f>IF(A197=$D$8,XIRR(R$24:R197,C$24:C197),"")</f>
        <v/>
      </c>
      <c r="Q198" s="280" t="str">
        <f t="shared" si="48"/>
        <v/>
      </c>
      <c r="R198" s="283">
        <f t="shared" ca="1" si="44"/>
        <v>17758.551059519898</v>
      </c>
      <c r="S198" s="284">
        <f t="shared" ca="1" si="45"/>
        <v>2036</v>
      </c>
      <c r="T198" s="284">
        <f t="shared" ca="1" si="46"/>
        <v>366</v>
      </c>
    </row>
    <row r="199" spans="1:20" x14ac:dyDescent="0.35">
      <c r="A199" s="285">
        <f t="shared" si="47"/>
        <v>175</v>
      </c>
      <c r="B199" s="286">
        <f t="shared" ca="1" si="58"/>
        <v>49813</v>
      </c>
      <c r="C199" s="286">
        <f t="shared" ca="1" si="49"/>
        <v>49813</v>
      </c>
      <c r="D199" s="285">
        <f t="shared" ca="1" si="51"/>
        <v>30</v>
      </c>
      <c r="E199" s="280">
        <f t="shared" ca="1" si="56"/>
        <v>1083625.0605497458</v>
      </c>
      <c r="F199" s="287">
        <f ca="1">'график анн Базова'!F199</f>
        <v>11686.862314714488</v>
      </c>
      <c r="G199" s="287">
        <f t="shared" ca="1" si="57"/>
        <v>6301.7946246996353</v>
      </c>
      <c r="H199" s="280">
        <f ca="1">IF(A198=$D$8,SUM($H$25:H198),IF(A198="","",(G199+F199)))</f>
        <v>17988.656939414122</v>
      </c>
      <c r="I199" s="280" t="str">
        <f t="shared" si="52"/>
        <v/>
      </c>
      <c r="J199" s="280" t="str">
        <f t="shared" si="53"/>
        <v/>
      </c>
      <c r="K199" s="280"/>
      <c r="L199" s="280" t="str">
        <f t="shared" si="54"/>
        <v/>
      </c>
      <c r="M199" s="280" t="str">
        <f t="shared" si="55"/>
        <v/>
      </c>
      <c r="N199" s="283" t="str">
        <f t="shared" si="50"/>
        <v/>
      </c>
      <c r="P199" s="289" t="str">
        <f>IF(A198=$D$8,XIRR(R$24:R198,C$24:C198),"")</f>
        <v/>
      </c>
      <c r="Q199" s="280" t="str">
        <f t="shared" si="48"/>
        <v/>
      </c>
      <c r="R199" s="283">
        <f t="shared" ca="1" si="44"/>
        <v>17988.656939414122</v>
      </c>
      <c r="S199" s="284">
        <f t="shared" ca="1" si="45"/>
        <v>2036</v>
      </c>
      <c r="T199" s="284">
        <f t="shared" ca="1" si="46"/>
        <v>366</v>
      </c>
    </row>
    <row r="200" spans="1:20" x14ac:dyDescent="0.35">
      <c r="A200" s="285">
        <f t="shared" si="47"/>
        <v>176</v>
      </c>
      <c r="B200" s="286">
        <f t="shared" ca="1" si="58"/>
        <v>49844</v>
      </c>
      <c r="C200" s="286">
        <f t="shared" ca="1" si="49"/>
        <v>49844</v>
      </c>
      <c r="D200" s="285">
        <f t="shared" ca="1" si="51"/>
        <v>31</v>
      </c>
      <c r="E200" s="280">
        <f t="shared" ca="1" si="56"/>
        <v>1072195.7563442567</v>
      </c>
      <c r="F200" s="287">
        <f ca="1">'график анн Базова'!F200</f>
        <v>11429.304205488999</v>
      </c>
      <c r="G200" s="287">
        <f t="shared" ca="1" si="57"/>
        <v>6442.3736476519143</v>
      </c>
      <c r="H200" s="280">
        <f ca="1">IF(A199=$D$8,SUM($H$25:H199),IF(A199="","",(G200+F200)))</f>
        <v>17871.677853140915</v>
      </c>
      <c r="I200" s="280" t="str">
        <f t="shared" si="52"/>
        <v/>
      </c>
      <c r="J200" s="280" t="str">
        <f t="shared" si="53"/>
        <v/>
      </c>
      <c r="K200" s="280"/>
      <c r="L200" s="280" t="str">
        <f t="shared" si="54"/>
        <v/>
      </c>
      <c r="M200" s="280" t="str">
        <f t="shared" si="55"/>
        <v/>
      </c>
      <c r="N200" s="283" t="str">
        <f t="shared" si="50"/>
        <v/>
      </c>
      <c r="P200" s="289" t="str">
        <f>IF(A199=$D$8,XIRR(R$24:R199,C$24:C199),"")</f>
        <v/>
      </c>
      <c r="Q200" s="280" t="str">
        <f t="shared" si="48"/>
        <v/>
      </c>
      <c r="R200" s="283">
        <f t="shared" ca="1" si="44"/>
        <v>17871.677853140915</v>
      </c>
      <c r="S200" s="284">
        <f t="shared" ca="1" si="45"/>
        <v>2036</v>
      </c>
      <c r="T200" s="284">
        <f t="shared" ca="1" si="46"/>
        <v>366</v>
      </c>
    </row>
    <row r="201" spans="1:20" x14ac:dyDescent="0.35">
      <c r="A201" s="285">
        <f t="shared" si="47"/>
        <v>177</v>
      </c>
      <c r="B201" s="286">
        <f t="shared" ca="1" si="58"/>
        <v>49874</v>
      </c>
      <c r="C201" s="286">
        <f t="shared" ca="1" si="49"/>
        <v>49874</v>
      </c>
      <c r="D201" s="285">
        <f t="shared" ca="1" si="51"/>
        <v>30</v>
      </c>
      <c r="E201" s="280">
        <f t="shared" ca="1" si="56"/>
        <v>1060265.2268972064</v>
      </c>
      <c r="F201" s="287">
        <f ca="1">'график анн Базова'!F201</f>
        <v>11930.529447050407</v>
      </c>
      <c r="G201" s="287">
        <f t="shared" ca="1" si="57"/>
        <v>6168.7975022546279</v>
      </c>
      <c r="H201" s="280">
        <f ca="1">IF(A200=$D$8,SUM($H$25:H200),IF(A200="","",(G201+F201)))</f>
        <v>18099.326949305036</v>
      </c>
      <c r="I201" s="280" t="str">
        <f t="shared" si="52"/>
        <v/>
      </c>
      <c r="J201" s="280" t="str">
        <f t="shared" si="53"/>
        <v/>
      </c>
      <c r="K201" s="280"/>
      <c r="L201" s="280" t="str">
        <f t="shared" si="54"/>
        <v/>
      </c>
      <c r="M201" s="280" t="str">
        <f t="shared" si="55"/>
        <v/>
      </c>
      <c r="N201" s="283" t="str">
        <f t="shared" si="50"/>
        <v/>
      </c>
      <c r="P201" s="289" t="str">
        <f>IF(A200=$D$8,XIRR(R$24:R200,C$24:C200),"")</f>
        <v/>
      </c>
      <c r="Q201" s="280" t="str">
        <f t="shared" si="48"/>
        <v/>
      </c>
      <c r="R201" s="283">
        <f t="shared" ca="1" si="44"/>
        <v>18099.326949305036</v>
      </c>
      <c r="S201" s="284">
        <f t="shared" ca="1" si="45"/>
        <v>2036</v>
      </c>
      <c r="T201" s="284">
        <f t="shared" ca="1" si="46"/>
        <v>366</v>
      </c>
    </row>
    <row r="202" spans="1:20" x14ac:dyDescent="0.35">
      <c r="A202" s="285">
        <f t="shared" si="47"/>
        <v>178</v>
      </c>
      <c r="B202" s="286">
        <f t="shared" ca="1" si="58"/>
        <v>49905</v>
      </c>
      <c r="C202" s="286">
        <f t="shared" ca="1" si="49"/>
        <v>49905</v>
      </c>
      <c r="D202" s="285">
        <f t="shared" ca="1" si="51"/>
        <v>31</v>
      </c>
      <c r="E202" s="280">
        <f t="shared" ca="1" si="56"/>
        <v>1048581.4792140147</v>
      </c>
      <c r="F202" s="287">
        <f ca="1">'график анн Базова'!F202</f>
        <v>11683.74768319177</v>
      </c>
      <c r="G202" s="287">
        <f t="shared" ca="1" si="57"/>
        <v>6303.4946366217482</v>
      </c>
      <c r="H202" s="280">
        <f ca="1">IF(A201=$D$8,SUM($H$25:H201),IF(A201="","",(G202+F202)))</f>
        <v>17987.242319813518</v>
      </c>
      <c r="I202" s="280" t="str">
        <f t="shared" si="52"/>
        <v/>
      </c>
      <c r="J202" s="280" t="str">
        <f t="shared" si="53"/>
        <v/>
      </c>
      <c r="K202" s="280"/>
      <c r="L202" s="280" t="str">
        <f t="shared" si="54"/>
        <v/>
      </c>
      <c r="M202" s="280" t="str">
        <f t="shared" si="55"/>
        <v/>
      </c>
      <c r="N202" s="283" t="str">
        <f t="shared" si="50"/>
        <v/>
      </c>
      <c r="P202" s="289" t="str">
        <f>IF(A201=$D$8,XIRR(R$24:R201,C$24:C201),"")</f>
        <v/>
      </c>
      <c r="Q202" s="280" t="str">
        <f t="shared" si="48"/>
        <v/>
      </c>
      <c r="R202" s="283">
        <f t="shared" ca="1" si="44"/>
        <v>17987.242319813518</v>
      </c>
      <c r="S202" s="284">
        <f t="shared" ca="1" si="45"/>
        <v>2036</v>
      </c>
      <c r="T202" s="284">
        <f t="shared" ca="1" si="46"/>
        <v>366</v>
      </c>
    </row>
    <row r="203" spans="1:20" x14ac:dyDescent="0.35">
      <c r="A203" s="285">
        <f t="shared" si="47"/>
        <v>179</v>
      </c>
      <c r="B203" s="286">
        <f t="shared" ca="1" si="58"/>
        <v>49936</v>
      </c>
      <c r="C203" s="286">
        <f t="shared" ca="1" si="49"/>
        <v>49936</v>
      </c>
      <c r="D203" s="285">
        <f t="shared" ca="1" si="51"/>
        <v>31</v>
      </c>
      <c r="E203" s="280">
        <f t="shared" ca="1" si="56"/>
        <v>1036770.4680649382</v>
      </c>
      <c r="F203" s="287">
        <f ca="1">'график анн Базова'!F203</f>
        <v>11811.011149076503</v>
      </c>
      <c r="G203" s="287">
        <f t="shared" ca="1" si="57"/>
        <v>6234.0323558751006</v>
      </c>
      <c r="H203" s="280">
        <f ca="1">IF(A202=$D$8,SUM($H$25:H202),IF(A202="","",(G203+F203)))</f>
        <v>18045.043504951602</v>
      </c>
      <c r="I203" s="280" t="str">
        <f t="shared" si="52"/>
        <v/>
      </c>
      <c r="J203" s="280" t="str">
        <f t="shared" si="53"/>
        <v/>
      </c>
      <c r="K203" s="280"/>
      <c r="L203" s="280" t="str">
        <f t="shared" si="54"/>
        <v/>
      </c>
      <c r="M203" s="280" t="str">
        <f t="shared" si="55"/>
        <v/>
      </c>
      <c r="N203" s="283" t="str">
        <f t="shared" si="50"/>
        <v/>
      </c>
      <c r="P203" s="289" t="str">
        <f>IF(A202=$D$8,XIRR(R$24:R202,C$24:C202),"")</f>
        <v/>
      </c>
      <c r="Q203" s="280" t="str">
        <f t="shared" si="48"/>
        <v/>
      </c>
      <c r="R203" s="283">
        <f t="shared" ca="1" si="44"/>
        <v>18045.043504951602</v>
      </c>
      <c r="S203" s="284">
        <f t="shared" ca="1" si="45"/>
        <v>2036</v>
      </c>
      <c r="T203" s="284">
        <f t="shared" ca="1" si="46"/>
        <v>366</v>
      </c>
    </row>
    <row r="204" spans="1:20" x14ac:dyDescent="0.35">
      <c r="A204" s="285">
        <f t="shared" si="47"/>
        <v>180</v>
      </c>
      <c r="B204" s="286">
        <f t="shared" ca="1" si="58"/>
        <v>49966</v>
      </c>
      <c r="C204" s="286">
        <f t="shared" ca="1" si="49"/>
        <v>49966</v>
      </c>
      <c r="D204" s="285">
        <f t="shared" ca="1" si="51"/>
        <v>30</v>
      </c>
      <c r="E204" s="280">
        <f t="shared" ca="1" si="56"/>
        <v>1024466.521234878</v>
      </c>
      <c r="F204" s="287">
        <f ca="1">'график анн Базова'!F204</f>
        <v>12303.946830060271</v>
      </c>
      <c r="G204" s="287">
        <f t="shared" ca="1" si="57"/>
        <v>5964.9807751681392</v>
      </c>
      <c r="H204" s="280">
        <f ca="1">IF(A203=$D$8,SUM($H$25:H203),IF(A203="","",(G204+F204)))</f>
        <v>18268.927605228411</v>
      </c>
      <c r="I204" s="280" t="str">
        <f t="shared" si="52"/>
        <v/>
      </c>
      <c r="J204" s="280" t="str">
        <f t="shared" si="53"/>
        <v/>
      </c>
      <c r="K204" s="280"/>
      <c r="L204" s="280" t="str">
        <f t="shared" si="54"/>
        <v/>
      </c>
      <c r="M204" s="280" t="str">
        <f t="shared" si="55"/>
        <v/>
      </c>
      <c r="N204" s="283" t="str">
        <f t="shared" si="50"/>
        <v/>
      </c>
      <c r="P204" s="289" t="str">
        <f>IF(A203=$D$8,XIRR(R$24:R203,C$24:C203),"")</f>
        <v/>
      </c>
      <c r="Q204" s="280" t="str">
        <f t="shared" si="48"/>
        <v/>
      </c>
      <c r="R204" s="283">
        <f t="shared" ca="1" si="44"/>
        <v>18268.927605228411</v>
      </c>
      <c r="S204" s="284">
        <f t="shared" ca="1" si="45"/>
        <v>2036</v>
      </c>
      <c r="T204" s="284">
        <f t="shared" ca="1" si="46"/>
        <v>366</v>
      </c>
    </row>
    <row r="205" spans="1:20" x14ac:dyDescent="0.35">
      <c r="A205" s="285">
        <f t="shared" si="47"/>
        <v>181</v>
      </c>
      <c r="B205" s="286">
        <f t="shared" ca="1" si="58"/>
        <v>49997</v>
      </c>
      <c r="C205" s="286">
        <f t="shared" ca="1" si="49"/>
        <v>49997</v>
      </c>
      <c r="D205" s="285">
        <f t="shared" ca="1" si="51"/>
        <v>31</v>
      </c>
      <c r="E205" s="280">
        <f t="shared" ca="1" si="56"/>
        <v>1012392.8415298462</v>
      </c>
      <c r="F205" s="287">
        <f ca="1">'график анн Базова'!F205</f>
        <v>12073.679705031765</v>
      </c>
      <c r="G205" s="287">
        <f t="shared" ca="1" si="57"/>
        <v>6090.6639755607821</v>
      </c>
      <c r="H205" s="280">
        <f ca="1">IF(A204=$D$8,SUM($H$25:H204),IF(A204="","",(G205+F205)))</f>
        <v>18164.343680592548</v>
      </c>
      <c r="I205" s="280" t="str">
        <f t="shared" si="52"/>
        <v/>
      </c>
      <c r="J205" s="280" t="str">
        <f t="shared" si="53"/>
        <v/>
      </c>
      <c r="K205" s="280">
        <f>IF($F$8&gt;180,($O$8+$O$10),IF($A$204=$F$8,$K$24*$G$8,""))</f>
        <v>7500</v>
      </c>
      <c r="L205" s="280" t="str">
        <f t="shared" si="54"/>
        <v/>
      </c>
      <c r="M205" s="280" t="str">
        <f t="shared" si="55"/>
        <v/>
      </c>
      <c r="N205" s="280">
        <f>IF($F$8&gt;180,($N$14),IF(A204=$F$8,N193+N181+N169+N157+N145+N133+N121+N109+N97+N85+N73+N61+N49+N37+N24,""))</f>
        <v>0</v>
      </c>
      <c r="P205" s="289" t="str">
        <f>IF(A204=$D$8,XIRR(R$24:R204,C$24:C204),"")</f>
        <v/>
      </c>
      <c r="Q205" s="280" t="str">
        <f t="shared" si="48"/>
        <v/>
      </c>
      <c r="R205" s="283">
        <f t="shared" ca="1" si="44"/>
        <v>25664.343680592548</v>
      </c>
      <c r="S205" s="284">
        <f t="shared" ca="1" si="45"/>
        <v>2036</v>
      </c>
      <c r="T205" s="284">
        <f t="shared" ca="1" si="46"/>
        <v>366</v>
      </c>
    </row>
    <row r="206" spans="1:20" x14ac:dyDescent="0.35">
      <c r="A206" s="285">
        <f t="shared" si="47"/>
        <v>182</v>
      </c>
      <c r="B206" s="286">
        <f t="shared" ca="1" si="58"/>
        <v>50027</v>
      </c>
      <c r="C206" s="286">
        <f t="shared" ca="1" si="49"/>
        <v>50027</v>
      </c>
      <c r="D206" s="285">
        <f t="shared" ca="1" si="51"/>
        <v>30</v>
      </c>
      <c r="E206" s="280">
        <f t="shared" ca="1" si="56"/>
        <v>999831.93053811276</v>
      </c>
      <c r="F206" s="287">
        <f ca="1">'график анн Базова'!F206</f>
        <v>12560.910991733455</v>
      </c>
      <c r="G206" s="287">
        <f t="shared" ca="1" si="57"/>
        <v>5824.7259375689782</v>
      </c>
      <c r="H206" s="280">
        <f ca="1">IF(A205=$D$8,SUM($H$25:H205),IF(A205="","",(G206+F206)))</f>
        <v>18385.636929302433</v>
      </c>
      <c r="I206" s="280" t="str">
        <f t="shared" si="52"/>
        <v/>
      </c>
      <c r="J206" s="280" t="str">
        <f t="shared" si="53"/>
        <v/>
      </c>
      <c r="K206" s="280"/>
      <c r="L206" s="280" t="str">
        <f t="shared" si="54"/>
        <v/>
      </c>
      <c r="M206" s="280" t="str">
        <f t="shared" si="55"/>
        <v/>
      </c>
      <c r="N206" s="283" t="str">
        <f t="shared" si="50"/>
        <v/>
      </c>
      <c r="P206" s="289" t="str">
        <f>IF(A205=$D$8,XIRR(R$24:R205,C$24:C205),"")</f>
        <v/>
      </c>
      <c r="Q206" s="280" t="str">
        <f t="shared" si="48"/>
        <v/>
      </c>
      <c r="R206" s="283">
        <f t="shared" ca="1" si="44"/>
        <v>18385.636929302433</v>
      </c>
      <c r="S206" s="284">
        <f t="shared" ca="1" si="45"/>
        <v>2036</v>
      </c>
      <c r="T206" s="284">
        <f t="shared" ca="1" si="46"/>
        <v>366</v>
      </c>
    </row>
    <row r="207" spans="1:20" x14ac:dyDescent="0.35">
      <c r="A207" s="285">
        <f t="shared" si="47"/>
        <v>183</v>
      </c>
      <c r="B207" s="286">
        <f t="shared" ca="1" si="58"/>
        <v>50058</v>
      </c>
      <c r="C207" s="286">
        <f t="shared" ca="1" si="49"/>
        <v>50058</v>
      </c>
      <c r="D207" s="285">
        <f t="shared" ca="1" si="51"/>
        <v>31</v>
      </c>
      <c r="E207" s="280">
        <f t="shared" ca="1" si="56"/>
        <v>987489.92225583585</v>
      </c>
      <c r="F207" s="287">
        <f ca="1">'график анн Базова'!F207</f>
        <v>12342.008282276915</v>
      </c>
      <c r="G207" s="287">
        <f t="shared" ca="1" si="57"/>
        <v>5944.2062719663145</v>
      </c>
      <c r="H207" s="280">
        <f ca="1">IF(A206=$D$8,SUM($H$25:H206),IF(A206="","",(G207+F207)))</f>
        <v>18286.21455424323</v>
      </c>
      <c r="I207" s="280" t="str">
        <f t="shared" si="52"/>
        <v/>
      </c>
      <c r="J207" s="280" t="str">
        <f t="shared" si="53"/>
        <v/>
      </c>
      <c r="K207" s="280"/>
      <c r="L207" s="280" t="str">
        <f t="shared" si="54"/>
        <v/>
      </c>
      <c r="M207" s="280" t="str">
        <f t="shared" si="55"/>
        <v/>
      </c>
      <c r="N207" s="283" t="str">
        <f t="shared" si="50"/>
        <v/>
      </c>
      <c r="P207" s="289" t="str">
        <f>IF(A206=$D$8,XIRR(R$24:R206,C$24:C206),"")</f>
        <v/>
      </c>
      <c r="Q207" s="280" t="str">
        <f t="shared" si="48"/>
        <v/>
      </c>
      <c r="R207" s="283">
        <f t="shared" ca="1" si="44"/>
        <v>18286.21455424323</v>
      </c>
      <c r="S207" s="284">
        <f t="shared" ca="1" si="45"/>
        <v>2037</v>
      </c>
      <c r="T207" s="284">
        <f t="shared" ca="1" si="46"/>
        <v>365</v>
      </c>
    </row>
    <row r="208" spans="1:20" x14ac:dyDescent="0.35">
      <c r="A208" s="285">
        <f t="shared" si="47"/>
        <v>184</v>
      </c>
      <c r="B208" s="286">
        <f t="shared" ca="1" si="58"/>
        <v>50089</v>
      </c>
      <c r="C208" s="286">
        <f t="shared" ca="1" si="49"/>
        <v>50089</v>
      </c>
      <c r="D208" s="285">
        <f t="shared" ca="1" si="51"/>
        <v>31</v>
      </c>
      <c r="E208" s="280">
        <f t="shared" ca="1" si="56"/>
        <v>975042.94923064741</v>
      </c>
      <c r="F208" s="287">
        <f ca="1">'график анн Базова'!F208</f>
        <v>12446.973025188439</v>
      </c>
      <c r="G208" s="287">
        <f t="shared" ca="1" si="57"/>
        <v>5870.83049669908</v>
      </c>
      <c r="H208" s="280">
        <f ca="1">IF(A207=$D$8,SUM($H$25:H207),IF(A207="","",(G208+F208)))</f>
        <v>18317.803521887519</v>
      </c>
      <c r="I208" s="280" t="str">
        <f t="shared" si="52"/>
        <v/>
      </c>
      <c r="J208" s="280" t="str">
        <f t="shared" si="53"/>
        <v/>
      </c>
      <c r="K208" s="280"/>
      <c r="L208" s="280" t="str">
        <f t="shared" si="54"/>
        <v/>
      </c>
      <c r="M208" s="280" t="str">
        <f t="shared" si="55"/>
        <v/>
      </c>
      <c r="N208" s="283" t="str">
        <f t="shared" si="50"/>
        <v/>
      </c>
      <c r="P208" s="289" t="str">
        <f>IF(A207=$D$8,XIRR(R$24:R207,C$24:C207),"")</f>
        <v/>
      </c>
      <c r="Q208" s="280" t="str">
        <f t="shared" si="48"/>
        <v/>
      </c>
      <c r="R208" s="283">
        <f t="shared" ca="1" si="44"/>
        <v>18317.803521887519</v>
      </c>
      <c r="S208" s="284">
        <f t="shared" ca="1" si="45"/>
        <v>2037</v>
      </c>
      <c r="T208" s="284">
        <f t="shared" ca="1" si="46"/>
        <v>365</v>
      </c>
    </row>
    <row r="209" spans="1:20" x14ac:dyDescent="0.35">
      <c r="A209" s="285">
        <f t="shared" si="47"/>
        <v>185</v>
      </c>
      <c r="B209" s="286">
        <f t="shared" ca="1" si="58"/>
        <v>50117</v>
      </c>
      <c r="C209" s="286">
        <f t="shared" ca="1" si="49"/>
        <v>50117</v>
      </c>
      <c r="D209" s="285">
        <f t="shared" ca="1" si="51"/>
        <v>28</v>
      </c>
      <c r="E209" s="280">
        <f t="shared" ca="1" si="56"/>
        <v>961429.42093840311</v>
      </c>
      <c r="F209" s="287">
        <f ca="1">'график анн Базова'!F209</f>
        <v>13613.528292244329</v>
      </c>
      <c r="G209" s="287">
        <f t="shared" ca="1" si="57"/>
        <v>5235.8470698412848</v>
      </c>
      <c r="H209" s="280">
        <f ca="1">IF(A208=$D$8,SUM($H$25:H208),IF(A208="","",(G209+F209)))</f>
        <v>18849.375362085615</v>
      </c>
      <c r="I209" s="280" t="str">
        <f t="shared" si="52"/>
        <v/>
      </c>
      <c r="J209" s="280" t="str">
        <f t="shared" si="53"/>
        <v/>
      </c>
      <c r="K209" s="280"/>
      <c r="L209" s="280" t="str">
        <f t="shared" si="54"/>
        <v/>
      </c>
      <c r="M209" s="280" t="str">
        <f t="shared" si="55"/>
        <v/>
      </c>
      <c r="N209" s="283" t="str">
        <f t="shared" si="50"/>
        <v/>
      </c>
      <c r="P209" s="289" t="str">
        <f>IF(A208=$D$8,XIRR(R$24:R208,C$24:C208),"")</f>
        <v/>
      </c>
      <c r="Q209" s="280" t="str">
        <f t="shared" si="48"/>
        <v/>
      </c>
      <c r="R209" s="283">
        <f t="shared" ca="1" si="44"/>
        <v>18849.375362085615</v>
      </c>
      <c r="S209" s="284">
        <f t="shared" ca="1" si="45"/>
        <v>2037</v>
      </c>
      <c r="T209" s="284">
        <f t="shared" ca="1" si="46"/>
        <v>365</v>
      </c>
    </row>
    <row r="210" spans="1:20" x14ac:dyDescent="0.35">
      <c r="A210" s="285">
        <f t="shared" si="47"/>
        <v>186</v>
      </c>
      <c r="B210" s="286">
        <f t="shared" ca="1" si="58"/>
        <v>50148</v>
      </c>
      <c r="C210" s="286">
        <f t="shared" ca="1" si="49"/>
        <v>50148</v>
      </c>
      <c r="D210" s="285">
        <f t="shared" ca="1" si="51"/>
        <v>31</v>
      </c>
      <c r="E210" s="280">
        <f t="shared" ca="1" si="56"/>
        <v>948697.81011992134</v>
      </c>
      <c r="F210" s="287">
        <f ca="1">'график анн Базова'!F210</f>
        <v>12731.6108184818</v>
      </c>
      <c r="G210" s="287">
        <f t="shared" ca="1" si="57"/>
        <v>5715.8954614694112</v>
      </c>
      <c r="H210" s="280">
        <f ca="1">IF(A209=$D$8,SUM($H$25:H209),IF(A209="","",(G210+F210)))</f>
        <v>18447.506279951212</v>
      </c>
      <c r="I210" s="280" t="str">
        <f t="shared" si="52"/>
        <v/>
      </c>
      <c r="J210" s="280" t="str">
        <f t="shared" si="53"/>
        <v/>
      </c>
      <c r="K210" s="280"/>
      <c r="L210" s="280" t="str">
        <f t="shared" si="54"/>
        <v/>
      </c>
      <c r="M210" s="280" t="str">
        <f t="shared" si="55"/>
        <v/>
      </c>
      <c r="N210" s="283" t="str">
        <f t="shared" si="50"/>
        <v/>
      </c>
      <c r="P210" s="289" t="str">
        <f>IF(A209=$D$8,XIRR(R$24:R209,C$24:C209),"")</f>
        <v/>
      </c>
      <c r="Q210" s="280" t="str">
        <f t="shared" si="48"/>
        <v/>
      </c>
      <c r="R210" s="283">
        <f t="shared" ca="1" si="44"/>
        <v>18447.506279951212</v>
      </c>
      <c r="S210" s="284">
        <f t="shared" ca="1" si="45"/>
        <v>2037</v>
      </c>
      <c r="T210" s="284">
        <f t="shared" ca="1" si="46"/>
        <v>365</v>
      </c>
    </row>
    <row r="211" spans="1:20" x14ac:dyDescent="0.35">
      <c r="A211" s="285">
        <f t="shared" si="47"/>
        <v>187</v>
      </c>
      <c r="B211" s="286">
        <f t="shared" ca="1" si="58"/>
        <v>50178</v>
      </c>
      <c r="C211" s="286">
        <f t="shared" ca="1" si="49"/>
        <v>50178</v>
      </c>
      <c r="D211" s="285">
        <f t="shared" ca="1" si="51"/>
        <v>30</v>
      </c>
      <c r="E211" s="280">
        <f t="shared" ca="1" si="56"/>
        <v>935492.88867658912</v>
      </c>
      <c r="F211" s="287">
        <f ca="1">'график анн Базова'!F211</f>
        <v>13204.921443332161</v>
      </c>
      <c r="G211" s="287">
        <f t="shared" ca="1" si="57"/>
        <v>5458.2613732926984</v>
      </c>
      <c r="H211" s="280">
        <f ca="1">IF(A210=$D$8,SUM($H$25:H210),IF(A210="","",(G211+F211)))</f>
        <v>18663.18281662486</v>
      </c>
      <c r="I211" s="280" t="str">
        <f t="shared" si="52"/>
        <v/>
      </c>
      <c r="J211" s="280" t="str">
        <f t="shared" si="53"/>
        <v/>
      </c>
      <c r="K211" s="280"/>
      <c r="L211" s="280" t="str">
        <f t="shared" si="54"/>
        <v/>
      </c>
      <c r="M211" s="280" t="str">
        <f t="shared" si="55"/>
        <v/>
      </c>
      <c r="N211" s="283" t="str">
        <f t="shared" si="50"/>
        <v/>
      </c>
      <c r="P211" s="289" t="str">
        <f>IF(A210=$D$8,XIRR(R$24:R210,C$24:C210),"")</f>
        <v/>
      </c>
      <c r="Q211" s="280" t="str">
        <f t="shared" si="48"/>
        <v/>
      </c>
      <c r="R211" s="283">
        <f t="shared" ca="1" si="44"/>
        <v>18663.18281662486</v>
      </c>
      <c r="S211" s="284">
        <f t="shared" ca="1" si="45"/>
        <v>2037</v>
      </c>
      <c r="T211" s="284">
        <f t="shared" ca="1" si="46"/>
        <v>365</v>
      </c>
    </row>
    <row r="212" spans="1:20" x14ac:dyDescent="0.35">
      <c r="A212" s="285">
        <f t="shared" si="47"/>
        <v>188</v>
      </c>
      <c r="B212" s="286">
        <f t="shared" ca="1" si="58"/>
        <v>50209</v>
      </c>
      <c r="C212" s="286">
        <f t="shared" ca="1" si="49"/>
        <v>50209</v>
      </c>
      <c r="D212" s="285">
        <f t="shared" ca="1" si="51"/>
        <v>31</v>
      </c>
      <c r="E212" s="280">
        <f t="shared" ca="1" si="56"/>
        <v>922477.99407861428</v>
      </c>
      <c r="F212" s="287">
        <f ca="1">'график анн Базова'!F212</f>
        <v>13014.894597974808</v>
      </c>
      <c r="G212" s="287">
        <f t="shared" ca="1" si="57"/>
        <v>5561.69744774849</v>
      </c>
      <c r="H212" s="280">
        <f ca="1">IF(A211=$D$8,SUM($H$25:H211),IF(A211="","",(G212+F212)))</f>
        <v>18576.592045723297</v>
      </c>
      <c r="I212" s="280" t="str">
        <f t="shared" si="52"/>
        <v/>
      </c>
      <c r="J212" s="280" t="str">
        <f t="shared" si="53"/>
        <v/>
      </c>
      <c r="K212" s="280"/>
      <c r="L212" s="280" t="str">
        <f t="shared" si="54"/>
        <v/>
      </c>
      <c r="M212" s="280" t="str">
        <f t="shared" si="55"/>
        <v/>
      </c>
      <c r="N212" s="283" t="str">
        <f t="shared" si="50"/>
        <v/>
      </c>
      <c r="P212" s="289" t="str">
        <f>IF(A211=$D$8,XIRR(R$24:R211,C$24:C211),"")</f>
        <v/>
      </c>
      <c r="Q212" s="280" t="str">
        <f t="shared" si="48"/>
        <v/>
      </c>
      <c r="R212" s="283">
        <f t="shared" ca="1" si="44"/>
        <v>18576.592045723297</v>
      </c>
      <c r="S212" s="284">
        <f t="shared" ca="1" si="45"/>
        <v>2037</v>
      </c>
      <c r="T212" s="284">
        <f t="shared" ca="1" si="46"/>
        <v>365</v>
      </c>
    </row>
    <row r="213" spans="1:20" x14ac:dyDescent="0.35">
      <c r="A213" s="285">
        <f t="shared" si="47"/>
        <v>189</v>
      </c>
      <c r="B213" s="286">
        <f t="shared" ca="1" si="58"/>
        <v>50239</v>
      </c>
      <c r="C213" s="286">
        <f t="shared" ca="1" si="49"/>
        <v>50239</v>
      </c>
      <c r="D213" s="285">
        <f t="shared" ca="1" si="51"/>
        <v>30</v>
      </c>
      <c r="E213" s="280">
        <f t="shared" ca="1" si="56"/>
        <v>908995.93277148111</v>
      </c>
      <c r="F213" s="287">
        <f ca="1">'график анн Базова'!F213</f>
        <v>13482.061307133155</v>
      </c>
      <c r="G213" s="287">
        <f t="shared" ca="1" si="57"/>
        <v>5307.4076371646306</v>
      </c>
      <c r="H213" s="280">
        <f ca="1">IF(A212=$D$8,SUM($H$25:H212),IF(A212="","",(G213+F213)))</f>
        <v>18789.468944297787</v>
      </c>
      <c r="I213" s="280" t="str">
        <f t="shared" si="52"/>
        <v/>
      </c>
      <c r="J213" s="280" t="str">
        <f t="shared" si="53"/>
        <v/>
      </c>
      <c r="K213" s="280"/>
      <c r="L213" s="280" t="str">
        <f t="shared" si="54"/>
        <v/>
      </c>
      <c r="M213" s="280" t="str">
        <f t="shared" si="55"/>
        <v/>
      </c>
      <c r="N213" s="283" t="str">
        <f t="shared" si="50"/>
        <v/>
      </c>
      <c r="P213" s="289" t="str">
        <f>IF(A212=$D$8,XIRR(R$24:R212,C$24:C212),"")</f>
        <v/>
      </c>
      <c r="Q213" s="280" t="str">
        <f t="shared" si="48"/>
        <v/>
      </c>
      <c r="R213" s="283">
        <f t="shared" ca="1" si="44"/>
        <v>18789.468944297787</v>
      </c>
      <c r="S213" s="284">
        <f t="shared" ca="1" si="45"/>
        <v>2037</v>
      </c>
      <c r="T213" s="284">
        <f t="shared" ca="1" si="46"/>
        <v>365</v>
      </c>
    </row>
    <row r="214" spans="1:20" x14ac:dyDescent="0.35">
      <c r="A214" s="285">
        <f t="shared" si="47"/>
        <v>190</v>
      </c>
      <c r="B214" s="286">
        <f t="shared" ca="1" si="58"/>
        <v>50270</v>
      </c>
      <c r="C214" s="286">
        <f t="shared" ca="1" si="49"/>
        <v>50270</v>
      </c>
      <c r="D214" s="285">
        <f t="shared" ca="1" si="51"/>
        <v>31</v>
      </c>
      <c r="E214" s="280">
        <f t="shared" ca="1" si="56"/>
        <v>895691.63333950273</v>
      </c>
      <c r="F214" s="287">
        <f ca="1">'график анн Базова'!F214</f>
        <v>13304.299431978379</v>
      </c>
      <c r="G214" s="287">
        <f t="shared" ca="1" si="57"/>
        <v>5404.1676003126413</v>
      </c>
      <c r="H214" s="280">
        <f ca="1">IF(A213=$D$8,SUM($H$25:H213),IF(A213="","",(G214+F214)))</f>
        <v>18708.467032291021</v>
      </c>
      <c r="I214" s="280" t="str">
        <f t="shared" si="52"/>
        <v/>
      </c>
      <c r="J214" s="280" t="str">
        <f t="shared" si="53"/>
        <v/>
      </c>
      <c r="K214" s="280"/>
      <c r="L214" s="280" t="str">
        <f t="shared" si="54"/>
        <v/>
      </c>
      <c r="M214" s="280" t="str">
        <f t="shared" si="55"/>
        <v/>
      </c>
      <c r="N214" s="283" t="str">
        <f t="shared" si="50"/>
        <v/>
      </c>
      <c r="P214" s="289" t="str">
        <f>IF(A213=$D$8,XIRR(R$24:R213,C$24:C213),"")</f>
        <v/>
      </c>
      <c r="Q214" s="280" t="str">
        <f t="shared" si="48"/>
        <v/>
      </c>
      <c r="R214" s="283">
        <f t="shared" ca="1" si="44"/>
        <v>18708.467032291021</v>
      </c>
      <c r="S214" s="284">
        <f t="shared" ca="1" si="45"/>
        <v>2037</v>
      </c>
      <c r="T214" s="284">
        <f t="shared" ca="1" si="46"/>
        <v>365</v>
      </c>
    </row>
    <row r="215" spans="1:20" x14ac:dyDescent="0.35">
      <c r="A215" s="285">
        <f t="shared" si="47"/>
        <v>191</v>
      </c>
      <c r="B215" s="286">
        <f t="shared" ca="1" si="58"/>
        <v>50301</v>
      </c>
      <c r="C215" s="286">
        <f t="shared" ca="1" si="49"/>
        <v>50301</v>
      </c>
      <c r="D215" s="285">
        <f t="shared" ca="1" si="51"/>
        <v>31</v>
      </c>
      <c r="E215" s="280">
        <f t="shared" ca="1" si="56"/>
        <v>882242.02179761883</v>
      </c>
      <c r="F215" s="287">
        <f ca="1">'график анн Базова'!F215</f>
        <v>13449.611541883927</v>
      </c>
      <c r="G215" s="287">
        <f t="shared" ca="1" si="57"/>
        <v>5325.0708064293731</v>
      </c>
      <c r="H215" s="280">
        <f ca="1">IF(A214=$D$8,SUM($H$25:H214),IF(A214="","",(G215+F215)))</f>
        <v>18774.682348313301</v>
      </c>
      <c r="I215" s="280" t="str">
        <f t="shared" si="52"/>
        <v/>
      </c>
      <c r="J215" s="280" t="str">
        <f t="shared" si="53"/>
        <v/>
      </c>
      <c r="K215" s="280"/>
      <c r="L215" s="280" t="str">
        <f t="shared" si="54"/>
        <v/>
      </c>
      <c r="M215" s="280" t="str">
        <f t="shared" si="55"/>
        <v/>
      </c>
      <c r="N215" s="283" t="str">
        <f t="shared" si="50"/>
        <v/>
      </c>
      <c r="P215" s="289" t="str">
        <f>IF(A214=$D$8,XIRR(R$24:R214,C$24:C214),"")</f>
        <v/>
      </c>
      <c r="Q215" s="280" t="str">
        <f t="shared" si="48"/>
        <v/>
      </c>
      <c r="R215" s="283">
        <f t="shared" ca="1" si="44"/>
        <v>18774.682348313301</v>
      </c>
      <c r="S215" s="284">
        <f t="shared" ca="1" si="45"/>
        <v>2037</v>
      </c>
      <c r="T215" s="284">
        <f t="shared" ca="1" si="46"/>
        <v>365</v>
      </c>
    </row>
    <row r="216" spans="1:20" x14ac:dyDescent="0.35">
      <c r="A216" s="285">
        <f t="shared" si="47"/>
        <v>192</v>
      </c>
      <c r="B216" s="286">
        <f t="shared" ca="1" si="58"/>
        <v>50331</v>
      </c>
      <c r="C216" s="286">
        <f t="shared" ca="1" si="49"/>
        <v>50331</v>
      </c>
      <c r="D216" s="285">
        <f t="shared" ca="1" si="51"/>
        <v>30</v>
      </c>
      <c r="E216" s="280">
        <f t="shared" ca="1" si="56"/>
        <v>868334.67177525256</v>
      </c>
      <c r="F216" s="287">
        <f ca="1">'график анн Базова'!F216</f>
        <v>13907.350022366252</v>
      </c>
      <c r="G216" s="287">
        <f t="shared" ca="1" si="57"/>
        <v>5075.9130021232859</v>
      </c>
      <c r="H216" s="280">
        <f ca="1">IF(A215=$D$8,SUM($H$25:H215),IF(A215="","",(G216+F216)))</f>
        <v>18983.263024489537</v>
      </c>
      <c r="I216" s="280" t="str">
        <f t="shared" si="52"/>
        <v/>
      </c>
      <c r="J216" s="280" t="str">
        <f t="shared" si="53"/>
        <v/>
      </c>
      <c r="K216" s="280"/>
      <c r="L216" s="280" t="str">
        <f t="shared" si="54"/>
        <v/>
      </c>
      <c r="M216" s="280" t="str">
        <f t="shared" si="55"/>
        <v/>
      </c>
      <c r="N216" s="283" t="str">
        <f t="shared" si="50"/>
        <v/>
      </c>
      <c r="P216" s="289" t="str">
        <f>IF(A215=$D$8,XIRR(R$24:R215,C$24:C215),"")</f>
        <v/>
      </c>
      <c r="Q216" s="280" t="str">
        <f t="shared" si="48"/>
        <v/>
      </c>
      <c r="R216" s="283">
        <f t="shared" ca="1" si="44"/>
        <v>18983.263024489537</v>
      </c>
      <c r="S216" s="284">
        <f t="shared" ca="1" si="45"/>
        <v>2037</v>
      </c>
      <c r="T216" s="284">
        <f t="shared" ca="1" si="46"/>
        <v>365</v>
      </c>
    </row>
    <row r="217" spans="1:20" x14ac:dyDescent="0.35">
      <c r="A217" s="285">
        <f t="shared" si="47"/>
        <v>193</v>
      </c>
      <c r="B217" s="286">
        <f t="shared" ca="1" si="58"/>
        <v>50362</v>
      </c>
      <c r="C217" s="286">
        <f t="shared" ca="1" si="49"/>
        <v>50362</v>
      </c>
      <c r="D217" s="285">
        <f t="shared" ca="1" si="51"/>
        <v>31</v>
      </c>
      <c r="E217" s="280">
        <f t="shared" ca="1" si="56"/>
        <v>854586.26225262333</v>
      </c>
      <c r="F217" s="287">
        <f ca="1">'график анн Базова'!F217</f>
        <v>13748.409522629241</v>
      </c>
      <c r="G217" s="287">
        <f t="shared" ca="1" si="57"/>
        <v>5162.4280486364341</v>
      </c>
      <c r="H217" s="280">
        <f ca="1">IF(A216=$D$8,SUM($H$25:H216),IF(A216="","",(G217+F217)))</f>
        <v>18910.837571265674</v>
      </c>
      <c r="I217" s="280" t="str">
        <f t="shared" si="52"/>
        <v/>
      </c>
      <c r="J217" s="280" t="str">
        <f t="shared" si="53"/>
        <v/>
      </c>
      <c r="K217" s="280">
        <f>IF($F$8&gt;192,($O$8+$O$10),IF($A$216=$F$8,$K$24*$G$8,""))</f>
        <v>7500</v>
      </c>
      <c r="L217" s="280" t="str">
        <f t="shared" si="54"/>
        <v/>
      </c>
      <c r="M217" s="280" t="str">
        <f t="shared" si="55"/>
        <v/>
      </c>
      <c r="N217" s="280">
        <f>IF($F$8&gt;192,($N$14),IF(A216=$F$8,N205+N193+N181+N169+N157+N145+N133+N121+N109+N97+N85+N73+N61+N49+N37+N24,""))</f>
        <v>0</v>
      </c>
      <c r="P217" s="289" t="str">
        <f>IF(A216=$D$8,XIRR(R$24:R216,C$24:C216),"")</f>
        <v/>
      </c>
      <c r="Q217" s="280" t="str">
        <f t="shared" si="48"/>
        <v/>
      </c>
      <c r="R217" s="283">
        <f t="shared" ca="1" si="44"/>
        <v>26410.837571265674</v>
      </c>
      <c r="S217" s="284">
        <f t="shared" ca="1" si="45"/>
        <v>2037</v>
      </c>
      <c r="T217" s="284">
        <f t="shared" ca="1" si="46"/>
        <v>365</v>
      </c>
    </row>
    <row r="218" spans="1:20" x14ac:dyDescent="0.35">
      <c r="A218" s="285">
        <f t="shared" si="47"/>
        <v>194</v>
      </c>
      <c r="B218" s="286">
        <f t="shared" ca="1" si="58"/>
        <v>50392</v>
      </c>
      <c r="C218" s="286">
        <f t="shared" ca="1" si="49"/>
        <v>50392</v>
      </c>
      <c r="D218" s="285">
        <f t="shared" ca="1" si="51"/>
        <v>30</v>
      </c>
      <c r="E218" s="280">
        <f t="shared" ca="1" si="56"/>
        <v>840386.59464032669</v>
      </c>
      <c r="F218" s="287">
        <f ca="1">'график анн Базова'!F218</f>
        <v>14199.667612296642</v>
      </c>
      <c r="G218" s="287">
        <f t="shared" ca="1" si="57"/>
        <v>4916.7976732342713</v>
      </c>
      <c r="H218" s="280">
        <f ca="1">IF(A217=$D$8,SUM($H$25:H217),IF(A217="","",(G218+F218)))</f>
        <v>19116.465285530914</v>
      </c>
      <c r="I218" s="280" t="str">
        <f t="shared" si="52"/>
        <v/>
      </c>
      <c r="J218" s="280" t="str">
        <f t="shared" si="53"/>
        <v/>
      </c>
      <c r="K218" s="280"/>
      <c r="L218" s="280" t="str">
        <f t="shared" si="54"/>
        <v/>
      </c>
      <c r="M218" s="280" t="str">
        <f t="shared" si="55"/>
        <v/>
      </c>
      <c r="N218" s="283" t="str">
        <f t="shared" si="50"/>
        <v/>
      </c>
      <c r="P218" s="289" t="str">
        <f>IF(A217=$D$8,XIRR(R$24:R217,C$24:C217),"")</f>
        <v/>
      </c>
      <c r="Q218" s="280" t="str">
        <f t="shared" si="48"/>
        <v/>
      </c>
      <c r="R218" s="283">
        <f t="shared" ref="R218:R264" ca="1" si="59">SUM(H218:Q218)</f>
        <v>19116.465285530914</v>
      </c>
      <c r="S218" s="284">
        <f t="shared" ref="S218:S264" ca="1" si="60">IF(C218="","",YEAR(C218))</f>
        <v>2037</v>
      </c>
      <c r="T218" s="284">
        <f t="shared" ref="T218:T264" ca="1" si="61">IF(OR(S218=2024,S218=2028,S218=2016,S218=2020,S218=2024,S218=2028,S218=2032,S218=2036,S218=2040),366,365)</f>
        <v>365</v>
      </c>
    </row>
    <row r="219" spans="1:20" x14ac:dyDescent="0.35">
      <c r="A219" s="285">
        <f t="shared" ref="A219:A275" si="62">IF(A218&lt;$D$8,A218+1,"")</f>
        <v>195</v>
      </c>
      <c r="B219" s="286">
        <f t="shared" ca="1" si="58"/>
        <v>50423</v>
      </c>
      <c r="C219" s="286">
        <f t="shared" ca="1" si="49"/>
        <v>50423</v>
      </c>
      <c r="D219" s="285">
        <f t="shared" ca="1" si="51"/>
        <v>31</v>
      </c>
      <c r="E219" s="280">
        <f t="shared" ca="1" si="56"/>
        <v>826332.93085932452</v>
      </c>
      <c r="F219" s="287">
        <f ca="1">'график анн Базова'!F219</f>
        <v>14053.663781002106</v>
      </c>
      <c r="G219" s="287">
        <f t="shared" ca="1" si="57"/>
        <v>4996.2709873137237</v>
      </c>
      <c r="H219" s="280">
        <f ca="1">IF(A218=$D$8,SUM($H$25:H218),IF(A218="","",(G219+F219)))</f>
        <v>19049.93476831583</v>
      </c>
      <c r="I219" s="280" t="str">
        <f t="shared" si="52"/>
        <v/>
      </c>
      <c r="J219" s="280" t="str">
        <f t="shared" si="53"/>
        <v/>
      </c>
      <c r="K219" s="280"/>
      <c r="L219" s="280" t="str">
        <f t="shared" si="54"/>
        <v/>
      </c>
      <c r="M219" s="280" t="str">
        <f t="shared" si="55"/>
        <v/>
      </c>
      <c r="N219" s="283" t="str">
        <f t="shared" si="50"/>
        <v/>
      </c>
      <c r="P219" s="289" t="str">
        <f>IF(A218=$D$8,XIRR(R$24:R218,C$24:C218),"")</f>
        <v/>
      </c>
      <c r="Q219" s="280" t="str">
        <f t="shared" si="48"/>
        <v/>
      </c>
      <c r="R219" s="283">
        <f t="shared" ca="1" si="59"/>
        <v>19049.93476831583</v>
      </c>
      <c r="S219" s="284">
        <f t="shared" ca="1" si="60"/>
        <v>2038</v>
      </c>
      <c r="T219" s="284">
        <f t="shared" ca="1" si="61"/>
        <v>365</v>
      </c>
    </row>
    <row r="220" spans="1:20" x14ac:dyDescent="0.35">
      <c r="A220" s="285">
        <f t="shared" si="62"/>
        <v>196</v>
      </c>
      <c r="B220" s="286">
        <f t="shared" ca="1" si="58"/>
        <v>50454</v>
      </c>
      <c r="C220" s="286">
        <f t="shared" ca="1" si="49"/>
        <v>50454</v>
      </c>
      <c r="D220" s="285">
        <f t="shared" ca="1" si="51"/>
        <v>31</v>
      </c>
      <c r="E220" s="280">
        <f t="shared" ca="1" si="56"/>
        <v>812125.77026728308</v>
      </c>
      <c r="F220" s="287">
        <f ca="1">'график анн Базова'!F220</f>
        <v>14207.160592041402</v>
      </c>
      <c r="G220" s="287">
        <f t="shared" ca="1" si="57"/>
        <v>4912.7190683965327</v>
      </c>
      <c r="H220" s="280">
        <f ca="1">IF(A219=$D$8,SUM($H$25:H219),IF(A219="","",(G220+F220)))</f>
        <v>19119.879660437935</v>
      </c>
      <c r="I220" s="280" t="str">
        <f t="shared" si="52"/>
        <v/>
      </c>
      <c r="J220" s="280" t="str">
        <f t="shared" si="53"/>
        <v/>
      </c>
      <c r="K220" s="280"/>
      <c r="L220" s="280" t="str">
        <f t="shared" si="54"/>
        <v/>
      </c>
      <c r="M220" s="280" t="str">
        <f t="shared" si="55"/>
        <v/>
      </c>
      <c r="N220" s="283" t="str">
        <f t="shared" si="50"/>
        <v/>
      </c>
      <c r="P220" s="289" t="str">
        <f>IF(A219=$D$8,XIRR(R$24:R219,C$24:C219),"")</f>
        <v/>
      </c>
      <c r="Q220" s="280" t="str">
        <f t="shared" ref="Q220:Q265" si="63">IF(A219=$D$8,G220+M220+F220+I220+J220+K220+L220+N220+O220,"")</f>
        <v/>
      </c>
      <c r="R220" s="283">
        <f t="shared" ca="1" si="59"/>
        <v>19119.879660437935</v>
      </c>
      <c r="S220" s="284">
        <f t="shared" ca="1" si="60"/>
        <v>2038</v>
      </c>
      <c r="T220" s="284">
        <f t="shared" ca="1" si="61"/>
        <v>365</v>
      </c>
    </row>
    <row r="221" spans="1:20" x14ac:dyDescent="0.35">
      <c r="A221" s="285">
        <f t="shared" si="62"/>
        <v>197</v>
      </c>
      <c r="B221" s="286">
        <f t="shared" ca="1" si="58"/>
        <v>50482</v>
      </c>
      <c r="C221" s="286">
        <f t="shared" ref="C221:C264" ca="1" si="64">IF(B221&gt;$E$20,"",IF(B221=$E$20,B221-1,B221))</f>
        <v>50482</v>
      </c>
      <c r="D221" s="285">
        <f t="shared" ca="1" si="51"/>
        <v>28</v>
      </c>
      <c r="E221" s="280">
        <f t="shared" ca="1" si="56"/>
        <v>796905.03052843246</v>
      </c>
      <c r="F221" s="287">
        <f ca="1">'график анн Базова'!F221</f>
        <v>15220.739738850581</v>
      </c>
      <c r="G221" s="287">
        <f t="shared" ca="1" si="57"/>
        <v>4361.0041362297934</v>
      </c>
      <c r="H221" s="280">
        <f ca="1">IF(A220=$D$8,SUM($H$25:H220),IF(A220="","",(G221+F221)))</f>
        <v>19581.743875080374</v>
      </c>
      <c r="I221" s="280" t="str">
        <f t="shared" si="52"/>
        <v/>
      </c>
      <c r="J221" s="280" t="str">
        <f t="shared" si="53"/>
        <v/>
      </c>
      <c r="K221" s="280"/>
      <c r="L221" s="280" t="str">
        <f t="shared" si="54"/>
        <v/>
      </c>
      <c r="M221" s="280" t="str">
        <f t="shared" si="55"/>
        <v/>
      </c>
      <c r="N221" s="283" t="str">
        <f t="shared" si="50"/>
        <v/>
      </c>
      <c r="P221" s="289" t="str">
        <f>IF(A220=$D$8,XIRR(R$24:R220,C$24:C220),"")</f>
        <v/>
      </c>
      <c r="Q221" s="280" t="str">
        <f t="shared" si="63"/>
        <v/>
      </c>
      <c r="R221" s="283">
        <f t="shared" ca="1" si="59"/>
        <v>19581.743875080374</v>
      </c>
      <c r="S221" s="284">
        <f t="shared" ca="1" si="60"/>
        <v>2038</v>
      </c>
      <c r="T221" s="284">
        <f t="shared" ca="1" si="61"/>
        <v>365</v>
      </c>
    </row>
    <row r="222" spans="1:20" x14ac:dyDescent="0.35">
      <c r="A222" s="285">
        <f t="shared" si="62"/>
        <v>198</v>
      </c>
      <c r="B222" s="286">
        <f t="shared" ca="1" si="58"/>
        <v>50513</v>
      </c>
      <c r="C222" s="286">
        <f t="shared" ca="1" si="64"/>
        <v>50513</v>
      </c>
      <c r="D222" s="285">
        <f t="shared" ca="1" si="51"/>
        <v>31</v>
      </c>
      <c r="E222" s="280">
        <f t="shared" ca="1" si="56"/>
        <v>782376.45276527014</v>
      </c>
      <c r="F222" s="287">
        <f ca="1">'график анн Базова'!F222</f>
        <v>14528.577763162319</v>
      </c>
      <c r="G222" s="287">
        <f t="shared" ca="1" si="57"/>
        <v>4737.7641541005441</v>
      </c>
      <c r="H222" s="280">
        <f ca="1">IF(A221=$D$8,SUM($H$25:H221),IF(A221="","",(G222+F222)))</f>
        <v>19266.341917262864</v>
      </c>
      <c r="I222" s="280" t="str">
        <f t="shared" si="52"/>
        <v/>
      </c>
      <c r="J222" s="280" t="str">
        <f t="shared" si="53"/>
        <v/>
      </c>
      <c r="K222" s="280"/>
      <c r="L222" s="280" t="str">
        <f t="shared" si="54"/>
        <v/>
      </c>
      <c r="M222" s="280" t="str">
        <f t="shared" si="55"/>
        <v/>
      </c>
      <c r="N222" s="283" t="str">
        <f t="shared" ref="N222:N264" si="65">IF(A221=$D$8,$N$24,"")</f>
        <v/>
      </c>
      <c r="P222" s="289" t="str">
        <f>IF(A221=$D$8,XIRR(R$24:R221,C$24:C221),"")</f>
        <v/>
      </c>
      <c r="Q222" s="280" t="str">
        <f t="shared" si="63"/>
        <v/>
      </c>
      <c r="R222" s="283">
        <f t="shared" ca="1" si="59"/>
        <v>19266.341917262864</v>
      </c>
      <c r="S222" s="284">
        <f t="shared" ca="1" si="60"/>
        <v>2038</v>
      </c>
      <c r="T222" s="284">
        <f t="shared" ca="1" si="61"/>
        <v>365</v>
      </c>
    </row>
    <row r="223" spans="1:20" x14ac:dyDescent="0.35">
      <c r="A223" s="285">
        <f t="shared" si="62"/>
        <v>199</v>
      </c>
      <c r="B223" s="286">
        <f t="shared" ca="1" si="58"/>
        <v>50543</v>
      </c>
      <c r="C223" s="286">
        <f t="shared" ca="1" si="64"/>
        <v>50543</v>
      </c>
      <c r="D223" s="285">
        <f t="shared" ca="1" si="51"/>
        <v>30</v>
      </c>
      <c r="E223" s="280">
        <f t="shared" ca="1" si="56"/>
        <v>767413.53735844686</v>
      </c>
      <c r="F223" s="287">
        <f ca="1">'график анн Базова'!F223</f>
        <v>14962.915406823242</v>
      </c>
      <c r="G223" s="287">
        <f t="shared" ca="1" si="57"/>
        <v>4501.3439748138835</v>
      </c>
      <c r="H223" s="280">
        <f ca="1">IF(A222=$D$8,SUM($H$25:H222),IF(A222="","",(G223+F223)))</f>
        <v>19464.259381637126</v>
      </c>
      <c r="I223" s="280" t="str">
        <f t="shared" si="52"/>
        <v/>
      </c>
      <c r="J223" s="280" t="str">
        <f t="shared" si="53"/>
        <v/>
      </c>
      <c r="K223" s="280"/>
      <c r="L223" s="280" t="str">
        <f t="shared" si="54"/>
        <v/>
      </c>
      <c r="M223" s="280" t="str">
        <f t="shared" si="55"/>
        <v/>
      </c>
      <c r="N223" s="283" t="str">
        <f t="shared" si="65"/>
        <v/>
      </c>
      <c r="P223" s="289" t="str">
        <f>IF(A222=$D$8,XIRR(R$24:R222,C$24:C222),"")</f>
        <v/>
      </c>
      <c r="Q223" s="280" t="str">
        <f t="shared" si="63"/>
        <v/>
      </c>
      <c r="R223" s="283">
        <f t="shared" ca="1" si="59"/>
        <v>19464.259381637126</v>
      </c>
      <c r="S223" s="284">
        <f t="shared" ca="1" si="60"/>
        <v>2038</v>
      </c>
      <c r="T223" s="284">
        <f t="shared" ca="1" si="61"/>
        <v>365</v>
      </c>
    </row>
    <row r="224" spans="1:20" x14ac:dyDescent="0.35">
      <c r="A224" s="285">
        <f t="shared" si="62"/>
        <v>200</v>
      </c>
      <c r="B224" s="286">
        <f t="shared" ca="1" si="58"/>
        <v>50574</v>
      </c>
      <c r="C224" s="286">
        <f t="shared" ca="1" si="64"/>
        <v>50574</v>
      </c>
      <c r="D224" s="285">
        <f t="shared" ca="1" si="51"/>
        <v>31</v>
      </c>
      <c r="E224" s="280">
        <f t="shared" ca="1" si="56"/>
        <v>752562.84785097919</v>
      </c>
      <c r="F224" s="287">
        <f ca="1">'график анн Базова'!F224</f>
        <v>14850.689507467701</v>
      </c>
      <c r="G224" s="287">
        <f t="shared" ca="1" si="57"/>
        <v>4562.4311673091224</v>
      </c>
      <c r="H224" s="280">
        <f ca="1">IF(A223=$D$8,SUM($H$25:H223),IF(A223="","",(G224+F224)))</f>
        <v>19413.120674776823</v>
      </c>
      <c r="I224" s="280" t="str">
        <f t="shared" si="52"/>
        <v/>
      </c>
      <c r="J224" s="280" t="str">
        <f t="shared" si="53"/>
        <v/>
      </c>
      <c r="K224" s="280"/>
      <c r="L224" s="280" t="str">
        <f t="shared" si="54"/>
        <v/>
      </c>
      <c r="M224" s="280" t="str">
        <f t="shared" si="55"/>
        <v/>
      </c>
      <c r="N224" s="283" t="str">
        <f t="shared" si="65"/>
        <v/>
      </c>
      <c r="P224" s="289" t="str">
        <f>IF(A223=$D$8,XIRR(R$24:R223,C$24:C223),"")</f>
        <v/>
      </c>
      <c r="Q224" s="280" t="str">
        <f t="shared" si="63"/>
        <v/>
      </c>
      <c r="R224" s="283">
        <f t="shared" ca="1" si="59"/>
        <v>19413.120674776823</v>
      </c>
      <c r="S224" s="284">
        <f t="shared" ca="1" si="60"/>
        <v>2038</v>
      </c>
      <c r="T224" s="284">
        <f t="shared" ca="1" si="61"/>
        <v>365</v>
      </c>
    </row>
    <row r="225" spans="1:20" x14ac:dyDescent="0.35">
      <c r="A225" s="285">
        <f t="shared" si="62"/>
        <v>201</v>
      </c>
      <c r="B225" s="286">
        <f t="shared" ca="1" si="58"/>
        <v>50604</v>
      </c>
      <c r="C225" s="286">
        <f t="shared" ca="1" si="64"/>
        <v>50604</v>
      </c>
      <c r="D225" s="285">
        <f t="shared" ca="1" si="51"/>
        <v>30</v>
      </c>
      <c r="E225" s="280">
        <f t="shared" ca="1" si="56"/>
        <v>737284.80672426731</v>
      </c>
      <c r="F225" s="287">
        <f ca="1">'график анн Базова'!F225</f>
        <v>15278.041126711829</v>
      </c>
      <c r="G225" s="287">
        <f t="shared" ca="1" si="57"/>
        <v>4329.8136451700175</v>
      </c>
      <c r="H225" s="280">
        <f ca="1">IF(A224=$D$8,SUM($H$25:H224),IF(A224="","",(G225+F225)))</f>
        <v>19607.854771881844</v>
      </c>
      <c r="I225" s="280" t="str">
        <f t="shared" si="52"/>
        <v/>
      </c>
      <c r="J225" s="280" t="str">
        <f t="shared" si="53"/>
        <v/>
      </c>
      <c r="K225" s="280"/>
      <c r="L225" s="280" t="str">
        <f t="shared" si="54"/>
        <v/>
      </c>
      <c r="M225" s="280" t="str">
        <f t="shared" si="55"/>
        <v/>
      </c>
      <c r="N225" s="283" t="str">
        <f t="shared" si="65"/>
        <v/>
      </c>
      <c r="P225" s="289" t="str">
        <f>IF(A224=$D$8,XIRR(R$24:R224,C$24:C224),"")</f>
        <v/>
      </c>
      <c r="Q225" s="280" t="str">
        <f t="shared" si="63"/>
        <v/>
      </c>
      <c r="R225" s="283">
        <f t="shared" ca="1" si="59"/>
        <v>19607.854771881844</v>
      </c>
      <c r="S225" s="284">
        <f t="shared" ca="1" si="60"/>
        <v>2038</v>
      </c>
      <c r="T225" s="284">
        <f t="shared" ca="1" si="61"/>
        <v>365</v>
      </c>
    </row>
    <row r="226" spans="1:20" x14ac:dyDescent="0.35">
      <c r="A226" s="285">
        <f t="shared" si="62"/>
        <v>202</v>
      </c>
      <c r="B226" s="286">
        <f t="shared" ca="1" si="58"/>
        <v>50635</v>
      </c>
      <c r="C226" s="286">
        <f t="shared" ca="1" si="64"/>
        <v>50635</v>
      </c>
      <c r="D226" s="285">
        <f t="shared" ca="1" si="51"/>
        <v>31</v>
      </c>
      <c r="E226" s="280">
        <f t="shared" ca="1" si="56"/>
        <v>722105.04544270039</v>
      </c>
      <c r="F226" s="287">
        <f ca="1">'график анн Базова'!F226</f>
        <v>15179.761281566934</v>
      </c>
      <c r="G226" s="287">
        <f t="shared" ca="1" si="57"/>
        <v>4383.309672853864</v>
      </c>
      <c r="H226" s="280">
        <f ca="1">IF(A225=$D$8,SUM($H$25:H225),IF(A225="","",(G226+F226)))</f>
        <v>19563.0709544208</v>
      </c>
      <c r="I226" s="280" t="str">
        <f t="shared" si="52"/>
        <v/>
      </c>
      <c r="J226" s="280" t="str">
        <f t="shared" si="53"/>
        <v/>
      </c>
      <c r="K226" s="280"/>
      <c r="L226" s="280" t="str">
        <f t="shared" si="54"/>
        <v/>
      </c>
      <c r="M226" s="280" t="str">
        <f t="shared" si="55"/>
        <v/>
      </c>
      <c r="N226" s="283" t="str">
        <f t="shared" si="65"/>
        <v/>
      </c>
      <c r="P226" s="289" t="str">
        <f>IF(A225=$D$8,XIRR(R$24:R225,C$24:C225),"")</f>
        <v/>
      </c>
      <c r="Q226" s="280" t="str">
        <f t="shared" si="63"/>
        <v/>
      </c>
      <c r="R226" s="283">
        <f t="shared" ca="1" si="59"/>
        <v>19563.0709544208</v>
      </c>
      <c r="S226" s="284">
        <f t="shared" ca="1" si="60"/>
        <v>2038</v>
      </c>
      <c r="T226" s="284">
        <f t="shared" ca="1" si="61"/>
        <v>365</v>
      </c>
    </row>
    <row r="227" spans="1:20" x14ac:dyDescent="0.35">
      <c r="A227" s="285">
        <f t="shared" si="62"/>
        <v>203</v>
      </c>
      <c r="B227" s="286">
        <f t="shared" ca="1" si="58"/>
        <v>50666</v>
      </c>
      <c r="C227" s="286">
        <f t="shared" ca="1" si="64"/>
        <v>50666</v>
      </c>
      <c r="D227" s="285">
        <f t="shared" ca="1" si="51"/>
        <v>31</v>
      </c>
      <c r="E227" s="280">
        <f t="shared" ca="1" si="56"/>
        <v>706759.48789722903</v>
      </c>
      <c r="F227" s="287">
        <f ca="1">'график анн Базова'!F227</f>
        <v>15345.557545471303</v>
      </c>
      <c r="G227" s="287">
        <f t="shared" ca="1" si="57"/>
        <v>4293.0628729059172</v>
      </c>
      <c r="H227" s="280">
        <f ca="1">IF(A226=$D$8,SUM($H$25:H226),IF(A226="","",(G227+F227)))</f>
        <v>19638.620418377221</v>
      </c>
      <c r="I227" s="280" t="str">
        <f t="shared" si="52"/>
        <v/>
      </c>
      <c r="J227" s="280" t="str">
        <f t="shared" si="53"/>
        <v/>
      </c>
      <c r="K227" s="280"/>
      <c r="L227" s="280" t="str">
        <f t="shared" si="54"/>
        <v/>
      </c>
      <c r="M227" s="280" t="str">
        <f t="shared" si="55"/>
        <v/>
      </c>
      <c r="N227" s="283" t="str">
        <f t="shared" si="65"/>
        <v/>
      </c>
      <c r="P227" s="289" t="str">
        <f>IF(A226=$D$8,XIRR(R$24:R226,C$24:C226),"")</f>
        <v/>
      </c>
      <c r="Q227" s="280" t="str">
        <f t="shared" si="63"/>
        <v/>
      </c>
      <c r="R227" s="283">
        <f t="shared" ca="1" si="59"/>
        <v>19638.620418377221</v>
      </c>
      <c r="S227" s="284">
        <f t="shared" ca="1" si="60"/>
        <v>2038</v>
      </c>
      <c r="T227" s="284">
        <f t="shared" ca="1" si="61"/>
        <v>365</v>
      </c>
    </row>
    <row r="228" spans="1:20" x14ac:dyDescent="0.35">
      <c r="A228" s="285">
        <f t="shared" si="62"/>
        <v>204</v>
      </c>
      <c r="B228" s="286">
        <f t="shared" ca="1" si="58"/>
        <v>50696</v>
      </c>
      <c r="C228" s="286">
        <f t="shared" ca="1" si="64"/>
        <v>50696</v>
      </c>
      <c r="D228" s="285">
        <f t="shared" ca="1" si="51"/>
        <v>30</v>
      </c>
      <c r="E228" s="280">
        <f t="shared" ca="1" si="56"/>
        <v>690997.31153023895</v>
      </c>
      <c r="F228" s="287">
        <f ca="1">'график анн Базова'!F228</f>
        <v>15762.176366990097</v>
      </c>
      <c r="G228" s="287">
        <f t="shared" ca="1" si="57"/>
        <v>4066.2874646141954</v>
      </c>
      <c r="H228" s="280">
        <f ca="1">IF(A227=$D$8,SUM($H$25:H227),IF(A227="","",(G228+F228)))</f>
        <v>19828.463831604291</v>
      </c>
      <c r="I228" s="280" t="str">
        <f t="shared" si="52"/>
        <v/>
      </c>
      <c r="J228" s="280" t="str">
        <f t="shared" si="53"/>
        <v/>
      </c>
      <c r="K228" s="280"/>
      <c r="L228" s="280" t="str">
        <f t="shared" si="54"/>
        <v/>
      </c>
      <c r="M228" s="280" t="str">
        <f t="shared" si="55"/>
        <v/>
      </c>
      <c r="N228" s="283" t="str">
        <f t="shared" si="65"/>
        <v/>
      </c>
      <c r="P228" s="289" t="str">
        <f>IF(A227=$D$8,XIRR(R$24:R227,C$24:C227),"")</f>
        <v/>
      </c>
      <c r="Q228" s="280" t="str">
        <f t="shared" si="63"/>
        <v/>
      </c>
      <c r="R228" s="283">
        <f t="shared" ca="1" si="59"/>
        <v>19828.463831604291</v>
      </c>
      <c r="S228" s="284">
        <f t="shared" ca="1" si="60"/>
        <v>2038</v>
      </c>
      <c r="T228" s="284">
        <f t="shared" ca="1" si="61"/>
        <v>365</v>
      </c>
    </row>
    <row r="229" spans="1:20" x14ac:dyDescent="0.35">
      <c r="A229" s="285">
        <f t="shared" si="62"/>
        <v>205</v>
      </c>
      <c r="B229" s="286">
        <f t="shared" ca="1" si="58"/>
        <v>50727</v>
      </c>
      <c r="C229" s="286">
        <f t="shared" ca="1" si="64"/>
        <v>50727</v>
      </c>
      <c r="D229" s="285">
        <f t="shared" ca="1" si="51"/>
        <v>31</v>
      </c>
      <c r="E229" s="280">
        <f t="shared" ca="1" si="56"/>
        <v>675311.989349109</v>
      </c>
      <c r="F229" s="287">
        <f ca="1">'график анн Базова'!F229</f>
        <v>15685.322181129985</v>
      </c>
      <c r="G229" s="287">
        <f t="shared" ca="1" si="57"/>
        <v>4108.1210027962152</v>
      </c>
      <c r="H229" s="280">
        <f ca="1">IF(A228=$D$8,SUM($H$25:H228),IF(A228="","",(G229+F229)))</f>
        <v>19793.4431839262</v>
      </c>
      <c r="I229" s="280" t="str">
        <f t="shared" si="52"/>
        <v/>
      </c>
      <c r="J229" s="280" t="str">
        <f t="shared" si="53"/>
        <v/>
      </c>
      <c r="K229" s="280">
        <f>IF($F$8&gt;204,($O$8+$O$10),IF($A$228=$F$8,$K$24*$G$8,""))</f>
        <v>7500</v>
      </c>
      <c r="L229" s="280" t="str">
        <f t="shared" si="54"/>
        <v/>
      </c>
      <c r="M229" s="280" t="str">
        <f t="shared" si="55"/>
        <v/>
      </c>
      <c r="N229" s="280">
        <f>IF($F$8&gt;204,($N$14),IF(A228=$F$8,N217+N205+N193+N181+N169+N157+N145+N133+N121+N109+N97+N85+N73+N61+N49+N37+N24,""))</f>
        <v>0</v>
      </c>
      <c r="P229" s="289" t="str">
        <f>IF(A228=$D$8,XIRR(R$24:R228,C$24:C228),"")</f>
        <v/>
      </c>
      <c r="Q229" s="280" t="str">
        <f t="shared" si="63"/>
        <v/>
      </c>
      <c r="R229" s="283">
        <f t="shared" ca="1" si="59"/>
        <v>27293.4431839262</v>
      </c>
      <c r="S229" s="284">
        <f t="shared" ca="1" si="60"/>
        <v>2038</v>
      </c>
      <c r="T229" s="284">
        <f t="shared" ca="1" si="61"/>
        <v>365</v>
      </c>
    </row>
    <row r="230" spans="1:20" x14ac:dyDescent="0.35">
      <c r="A230" s="285">
        <f t="shared" si="62"/>
        <v>206</v>
      </c>
      <c r="B230" s="286">
        <f t="shared" ca="1" si="58"/>
        <v>50757</v>
      </c>
      <c r="C230" s="286">
        <f t="shared" ca="1" si="64"/>
        <v>50757</v>
      </c>
      <c r="D230" s="285">
        <f t="shared" ref="D230:D264" ca="1" si="66">IF(A230&gt;$D$8,"",C230-C229)</f>
        <v>30</v>
      </c>
      <c r="E230" s="280">
        <f t="shared" ca="1" si="56"/>
        <v>659217.41723034182</v>
      </c>
      <c r="F230" s="287">
        <f ca="1">'график анн Базова'!F230</f>
        <v>16094.572118767213</v>
      </c>
      <c r="G230" s="287">
        <f t="shared" ca="1" si="57"/>
        <v>3885.3566510496685</v>
      </c>
      <c r="H230" s="280">
        <f ca="1">IF(A229=$D$8,SUM($H$25:H229),IF(A229="","",(G230+F230)))</f>
        <v>19979.928769816881</v>
      </c>
      <c r="I230" s="280" t="str">
        <f t="shared" ref="I230:I265" si="67">IF(A229=$F$8,$I$24,"")</f>
        <v/>
      </c>
      <c r="J230" s="280" t="str">
        <f t="shared" ref="J230:J265" si="68">IF(A229=$F$8,$J$24,"")</f>
        <v/>
      </c>
      <c r="K230" s="280"/>
      <c r="L230" s="280" t="str">
        <f t="shared" ref="L230:L265" si="69">IF(A229=$F$8,$L$24,"")</f>
        <v/>
      </c>
      <c r="M230" s="280" t="str">
        <f t="shared" ref="M230:M265" si="70">IF(A229=$F$8,$M$24,"")</f>
        <v/>
      </c>
      <c r="N230" s="283" t="str">
        <f t="shared" si="65"/>
        <v/>
      </c>
      <c r="P230" s="289" t="str">
        <f>IF(A229=$D$8,XIRR(R$24:R229,C$24:C229),"")</f>
        <v/>
      </c>
      <c r="Q230" s="280" t="str">
        <f t="shared" si="63"/>
        <v/>
      </c>
      <c r="R230" s="283">
        <f t="shared" ca="1" si="59"/>
        <v>19979.928769816881</v>
      </c>
      <c r="S230" s="284">
        <f t="shared" ca="1" si="60"/>
        <v>2038</v>
      </c>
      <c r="T230" s="284">
        <f t="shared" ca="1" si="61"/>
        <v>365</v>
      </c>
    </row>
    <row r="231" spans="1:20" x14ac:dyDescent="0.35">
      <c r="A231" s="285">
        <f t="shared" si="62"/>
        <v>207</v>
      </c>
      <c r="B231" s="286">
        <f t="shared" ca="1" si="58"/>
        <v>50788</v>
      </c>
      <c r="C231" s="286">
        <f t="shared" ca="1" si="64"/>
        <v>50788</v>
      </c>
      <c r="D231" s="285">
        <f t="shared" ca="1" si="66"/>
        <v>31</v>
      </c>
      <c r="E231" s="280">
        <f t="shared" ca="1" si="56"/>
        <v>643184.98894889408</v>
      </c>
      <c r="F231" s="287">
        <f ca="1">'график анн Базова'!F231</f>
        <v>16032.428281447712</v>
      </c>
      <c r="G231" s="287">
        <f t="shared" ca="1" si="57"/>
        <v>3919.1830010680601</v>
      </c>
      <c r="H231" s="280">
        <f ca="1">IF(A230=$D$8,SUM($H$25:H230),IF(A230="","",(G231+F231)))</f>
        <v>19951.611282515772</v>
      </c>
      <c r="I231" s="280" t="str">
        <f t="shared" si="67"/>
        <v/>
      </c>
      <c r="J231" s="280" t="str">
        <f t="shared" si="68"/>
        <v/>
      </c>
      <c r="K231" s="280"/>
      <c r="L231" s="280" t="str">
        <f t="shared" si="69"/>
        <v/>
      </c>
      <c r="M231" s="280" t="str">
        <f t="shared" si="70"/>
        <v/>
      </c>
      <c r="N231" s="283" t="str">
        <f t="shared" si="65"/>
        <v/>
      </c>
      <c r="P231" s="289" t="str">
        <f>IF(A230=$D$8,XIRR(R$24:R230,C$24:C230),"")</f>
        <v/>
      </c>
      <c r="Q231" s="280" t="str">
        <f t="shared" si="63"/>
        <v/>
      </c>
      <c r="R231" s="283">
        <f t="shared" ca="1" si="59"/>
        <v>19951.611282515772</v>
      </c>
      <c r="S231" s="284">
        <f t="shared" ca="1" si="60"/>
        <v>2039</v>
      </c>
      <c r="T231" s="284">
        <f t="shared" ca="1" si="61"/>
        <v>365</v>
      </c>
    </row>
    <row r="232" spans="1:20" x14ac:dyDescent="0.35">
      <c r="A232" s="285">
        <f t="shared" si="62"/>
        <v>208</v>
      </c>
      <c r="B232" s="286">
        <f t="shared" ca="1" si="58"/>
        <v>50819</v>
      </c>
      <c r="C232" s="286">
        <f t="shared" ca="1" si="64"/>
        <v>50819</v>
      </c>
      <c r="D232" s="285">
        <f t="shared" ca="1" si="66"/>
        <v>31</v>
      </c>
      <c r="E232" s="280">
        <f t="shared" ca="1" si="56"/>
        <v>626977.45141104411</v>
      </c>
      <c r="F232" s="287">
        <f ca="1">'график анн Базова'!F232</f>
        <v>16207.537537849956</v>
      </c>
      <c r="G232" s="287">
        <f t="shared" ca="1" si="57"/>
        <v>3823.8669206002751</v>
      </c>
      <c r="H232" s="280">
        <f ca="1">IF(A231=$D$8,SUM($H$25:H231),IF(A231="","",(G232+F232)))</f>
        <v>20031.40445845023</v>
      </c>
      <c r="I232" s="280" t="str">
        <f t="shared" si="67"/>
        <v/>
      </c>
      <c r="J232" s="280" t="str">
        <f t="shared" si="68"/>
        <v/>
      </c>
      <c r="K232" s="280"/>
      <c r="L232" s="280" t="str">
        <f t="shared" si="69"/>
        <v/>
      </c>
      <c r="M232" s="280" t="str">
        <f t="shared" si="70"/>
        <v/>
      </c>
      <c r="N232" s="283" t="str">
        <f t="shared" si="65"/>
        <v/>
      </c>
      <c r="P232" s="289" t="str">
        <f>IF(A231=$D$8,XIRR(R$24:R231,C$24:C231),"")</f>
        <v/>
      </c>
      <c r="Q232" s="280" t="str">
        <f t="shared" si="63"/>
        <v/>
      </c>
      <c r="R232" s="283">
        <f t="shared" ca="1" si="59"/>
        <v>20031.40445845023</v>
      </c>
      <c r="S232" s="284">
        <f t="shared" ca="1" si="60"/>
        <v>2039</v>
      </c>
      <c r="T232" s="284">
        <f t="shared" ca="1" si="61"/>
        <v>365</v>
      </c>
    </row>
    <row r="233" spans="1:20" x14ac:dyDescent="0.35">
      <c r="A233" s="285">
        <f t="shared" si="62"/>
        <v>209</v>
      </c>
      <c r="B233" s="286">
        <f t="shared" ca="1" si="58"/>
        <v>50847</v>
      </c>
      <c r="C233" s="286">
        <f t="shared" ca="1" si="64"/>
        <v>50847</v>
      </c>
      <c r="D233" s="285">
        <f t="shared" ca="1" si="66"/>
        <v>28</v>
      </c>
      <c r="E233" s="280">
        <f t="shared" ca="1" si="56"/>
        <v>609930.1854625016</v>
      </c>
      <c r="F233" s="287">
        <f ca="1">'график анн Базова'!F233</f>
        <v>17047.265948542488</v>
      </c>
      <c r="G233" s="287">
        <f t="shared" ca="1" si="57"/>
        <v>3366.7830267551963</v>
      </c>
      <c r="H233" s="280">
        <f ca="1">IF(A232=$D$8,SUM($H$25:H232),IF(A232="","",(G233+F233)))</f>
        <v>20414.048975297686</v>
      </c>
      <c r="I233" s="280" t="str">
        <f t="shared" si="67"/>
        <v/>
      </c>
      <c r="J233" s="280" t="str">
        <f t="shared" si="68"/>
        <v/>
      </c>
      <c r="K233" s="280"/>
      <c r="L233" s="280" t="str">
        <f t="shared" si="69"/>
        <v/>
      </c>
      <c r="M233" s="280" t="str">
        <f t="shared" si="70"/>
        <v/>
      </c>
      <c r="N233" s="283" t="str">
        <f t="shared" si="65"/>
        <v/>
      </c>
      <c r="P233" s="289" t="str">
        <f>IF(A232=$D$8,XIRR(R$24:R232,C$24:C232),"")</f>
        <v/>
      </c>
      <c r="Q233" s="280" t="str">
        <f t="shared" si="63"/>
        <v/>
      </c>
      <c r="R233" s="283">
        <f t="shared" ca="1" si="59"/>
        <v>20414.048975297686</v>
      </c>
      <c r="S233" s="284">
        <f t="shared" ca="1" si="60"/>
        <v>2039</v>
      </c>
      <c r="T233" s="284">
        <f t="shared" ca="1" si="61"/>
        <v>365</v>
      </c>
    </row>
    <row r="234" spans="1:20" x14ac:dyDescent="0.35">
      <c r="A234" s="285">
        <f t="shared" si="62"/>
        <v>210</v>
      </c>
      <c r="B234" s="286">
        <f t="shared" ca="1" si="58"/>
        <v>50878</v>
      </c>
      <c r="C234" s="286">
        <f t="shared" ca="1" si="64"/>
        <v>50878</v>
      </c>
      <c r="D234" s="285">
        <f t="shared" ca="1" si="66"/>
        <v>31</v>
      </c>
      <c r="E234" s="280">
        <f t="shared" ca="1" si="56"/>
        <v>593359.43258333975</v>
      </c>
      <c r="F234" s="287">
        <f ca="1">'график анн Базова'!F234</f>
        <v>16570.752879161879</v>
      </c>
      <c r="G234" s="287">
        <f t="shared" ca="1" si="57"/>
        <v>3626.1602806948731</v>
      </c>
      <c r="H234" s="280">
        <f ca="1">IF(A233=$D$8,SUM($H$25:H233),IF(A233="","",(G234+F234)))</f>
        <v>20196.913159856751</v>
      </c>
      <c r="I234" s="280" t="str">
        <f t="shared" si="67"/>
        <v/>
      </c>
      <c r="J234" s="280" t="str">
        <f t="shared" si="68"/>
        <v/>
      </c>
      <c r="K234" s="280"/>
      <c r="L234" s="280" t="str">
        <f t="shared" si="69"/>
        <v/>
      </c>
      <c r="M234" s="280" t="str">
        <f t="shared" si="70"/>
        <v/>
      </c>
      <c r="N234" s="283" t="str">
        <f t="shared" si="65"/>
        <v/>
      </c>
      <c r="P234" s="289" t="str">
        <f>IF(A233=$D$8,XIRR(R$24:R233,C$24:C233),"")</f>
        <v/>
      </c>
      <c r="Q234" s="280" t="str">
        <f t="shared" si="63"/>
        <v/>
      </c>
      <c r="R234" s="283">
        <f t="shared" ca="1" si="59"/>
        <v>20196.913159856751</v>
      </c>
      <c r="S234" s="284">
        <f t="shared" ca="1" si="60"/>
        <v>2039</v>
      </c>
      <c r="T234" s="284">
        <f t="shared" ca="1" si="61"/>
        <v>365</v>
      </c>
    </row>
    <row r="235" spans="1:20" x14ac:dyDescent="0.35">
      <c r="A235" s="285">
        <f t="shared" si="62"/>
        <v>211</v>
      </c>
      <c r="B235" s="286">
        <f t="shared" ca="1" si="58"/>
        <v>50908</v>
      </c>
      <c r="C235" s="286">
        <f t="shared" ca="1" si="64"/>
        <v>50908</v>
      </c>
      <c r="D235" s="285">
        <f t="shared" ca="1" si="66"/>
        <v>30</v>
      </c>
      <c r="E235" s="280">
        <f t="shared" ref="E235:E264" ca="1" si="71">IF(A235&gt;$D$8,"",E234-F235)</f>
        <v>576398.63316593599</v>
      </c>
      <c r="F235" s="287">
        <f ca="1">'график анн Базова'!F235</f>
        <v>16960.799417403756</v>
      </c>
      <c r="G235" s="287">
        <f t="shared" ref="G235:G264" ca="1" si="72">E234*D235*$D$9/IF(OR(YEAR(C235)=2020,YEAR(C235)=2024),366,365)</f>
        <v>3413.8487902055167</v>
      </c>
      <c r="H235" s="280">
        <f ca="1">IF(A234=$D$8,SUM($H$25:H234),IF(A234="","",(G235+F235)))</f>
        <v>20374.648207609273</v>
      </c>
      <c r="I235" s="280" t="str">
        <f t="shared" si="67"/>
        <v/>
      </c>
      <c r="J235" s="280" t="str">
        <f t="shared" si="68"/>
        <v/>
      </c>
      <c r="K235" s="280"/>
      <c r="L235" s="280" t="str">
        <f t="shared" si="69"/>
        <v/>
      </c>
      <c r="M235" s="280" t="str">
        <f t="shared" si="70"/>
        <v/>
      </c>
      <c r="N235" s="283" t="str">
        <f t="shared" si="65"/>
        <v/>
      </c>
      <c r="P235" s="289" t="str">
        <f>IF(A234=$D$8,XIRR(R$24:R234,C$24:C234),"")</f>
        <v/>
      </c>
      <c r="Q235" s="280" t="str">
        <f t="shared" si="63"/>
        <v/>
      </c>
      <c r="R235" s="283">
        <f t="shared" ca="1" si="59"/>
        <v>20374.648207609273</v>
      </c>
      <c r="S235" s="284">
        <f t="shared" ca="1" si="60"/>
        <v>2039</v>
      </c>
      <c r="T235" s="284">
        <f t="shared" ca="1" si="61"/>
        <v>365</v>
      </c>
    </row>
    <row r="236" spans="1:20" x14ac:dyDescent="0.35">
      <c r="A236" s="285">
        <f t="shared" si="62"/>
        <v>212</v>
      </c>
      <c r="B236" s="286">
        <f t="shared" ca="1" si="58"/>
        <v>50939</v>
      </c>
      <c r="C236" s="286">
        <f t="shared" ca="1" si="64"/>
        <v>50939</v>
      </c>
      <c r="D236" s="285">
        <f t="shared" ca="1" si="66"/>
        <v>31</v>
      </c>
      <c r="E236" s="280">
        <f t="shared" ca="1" si="71"/>
        <v>559461.64224188239</v>
      </c>
      <c r="F236" s="287">
        <f ca="1">'график анн Базова'!F236</f>
        <v>16936.990924053629</v>
      </c>
      <c r="G236" s="287">
        <f t="shared" ca="1" si="72"/>
        <v>3426.8083122467979</v>
      </c>
      <c r="H236" s="280">
        <f ca="1">IF(A235=$D$8,SUM($H$25:H235),IF(A235="","",(G236+F236)))</f>
        <v>20363.799236300427</v>
      </c>
      <c r="I236" s="280" t="str">
        <f t="shared" si="67"/>
        <v/>
      </c>
      <c r="J236" s="280" t="str">
        <f t="shared" si="68"/>
        <v/>
      </c>
      <c r="K236" s="280"/>
      <c r="L236" s="280" t="str">
        <f t="shared" si="69"/>
        <v/>
      </c>
      <c r="M236" s="280" t="str">
        <f t="shared" si="70"/>
        <v/>
      </c>
      <c r="N236" s="283" t="str">
        <f t="shared" si="65"/>
        <v/>
      </c>
      <c r="P236" s="289" t="str">
        <f>IF(A235=$D$8,XIRR(R$24:R235,C$24:C235),"")</f>
        <v/>
      </c>
      <c r="Q236" s="280" t="str">
        <f t="shared" si="63"/>
        <v/>
      </c>
      <c r="R236" s="283">
        <f t="shared" ca="1" si="59"/>
        <v>20363.799236300427</v>
      </c>
      <c r="S236" s="284">
        <f t="shared" ca="1" si="60"/>
        <v>2039</v>
      </c>
      <c r="T236" s="284">
        <f t="shared" ca="1" si="61"/>
        <v>365</v>
      </c>
    </row>
    <row r="237" spans="1:20" x14ac:dyDescent="0.35">
      <c r="A237" s="285">
        <f t="shared" si="62"/>
        <v>213</v>
      </c>
      <c r="B237" s="286">
        <f t="shared" ca="1" si="58"/>
        <v>50969</v>
      </c>
      <c r="C237" s="286">
        <f t="shared" ca="1" si="64"/>
        <v>50969</v>
      </c>
      <c r="D237" s="285">
        <f t="shared" ca="1" si="66"/>
        <v>30</v>
      </c>
      <c r="E237" s="280">
        <f t="shared" ca="1" si="71"/>
        <v>542142.54782410234</v>
      </c>
      <c r="F237" s="287">
        <f ca="1">'график анн Базова'!F237</f>
        <v>17319.094417780034</v>
      </c>
      <c r="G237" s="287">
        <f t="shared" ca="1" si="72"/>
        <v>3218.8204074190494</v>
      </c>
      <c r="H237" s="280">
        <f ca="1">IF(A236=$D$8,SUM($H$25:H236),IF(A236="","",(G237+F237)))</f>
        <v>20537.914825199085</v>
      </c>
      <c r="I237" s="280" t="str">
        <f t="shared" si="67"/>
        <v/>
      </c>
      <c r="J237" s="280" t="str">
        <f t="shared" si="68"/>
        <v/>
      </c>
      <c r="K237" s="280"/>
      <c r="L237" s="280" t="str">
        <f t="shared" si="69"/>
        <v/>
      </c>
      <c r="M237" s="280" t="str">
        <f t="shared" si="70"/>
        <v/>
      </c>
      <c r="N237" s="283" t="str">
        <f t="shared" si="65"/>
        <v/>
      </c>
      <c r="P237" s="289" t="str">
        <f>IF(A236=$D$8,XIRR(R$24:R236,C$24:C236),"")</f>
        <v/>
      </c>
      <c r="Q237" s="280" t="str">
        <f t="shared" si="63"/>
        <v/>
      </c>
      <c r="R237" s="283">
        <f t="shared" ca="1" si="59"/>
        <v>20537.914825199085</v>
      </c>
      <c r="S237" s="284">
        <f t="shared" ca="1" si="60"/>
        <v>2039</v>
      </c>
      <c r="T237" s="284">
        <f t="shared" ca="1" si="61"/>
        <v>365</v>
      </c>
    </row>
    <row r="238" spans="1:20" x14ac:dyDescent="0.35">
      <c r="A238" s="285">
        <f t="shared" si="62"/>
        <v>214</v>
      </c>
      <c r="B238" s="286">
        <f t="shared" ref="B238:B264" ca="1" si="73">EDATE($B$24,A238)</f>
        <v>51000</v>
      </c>
      <c r="C238" s="286">
        <f t="shared" ca="1" si="64"/>
        <v>51000</v>
      </c>
      <c r="D238" s="285">
        <f t="shared" ca="1" si="66"/>
        <v>31</v>
      </c>
      <c r="E238" s="280">
        <f t="shared" ca="1" si="71"/>
        <v>524831.40536628501</v>
      </c>
      <c r="F238" s="287">
        <f ca="1">'график анн Базова'!F238</f>
        <v>17311.142457817339</v>
      </c>
      <c r="G238" s="287">
        <f t="shared" ca="1" si="72"/>
        <v>3223.1488459679508</v>
      </c>
      <c r="H238" s="280">
        <f ca="1">IF(A237=$D$8,SUM($H$25:H237),IF(A237="","",(G238+F238)))</f>
        <v>20534.291303785289</v>
      </c>
      <c r="I238" s="280" t="str">
        <f t="shared" si="67"/>
        <v/>
      </c>
      <c r="J238" s="280" t="str">
        <f t="shared" si="68"/>
        <v/>
      </c>
      <c r="K238" s="280"/>
      <c r="L238" s="280" t="str">
        <f t="shared" si="69"/>
        <v/>
      </c>
      <c r="M238" s="280" t="str">
        <f t="shared" si="70"/>
        <v/>
      </c>
      <c r="N238" s="283" t="str">
        <f t="shared" si="65"/>
        <v/>
      </c>
      <c r="P238" s="289" t="str">
        <f>IF(A237=$D$8,XIRR(R$24:R237,C$24:C237),"")</f>
        <v/>
      </c>
      <c r="Q238" s="280" t="str">
        <f t="shared" si="63"/>
        <v/>
      </c>
      <c r="R238" s="283">
        <f t="shared" ca="1" si="59"/>
        <v>20534.291303785289</v>
      </c>
      <c r="S238" s="284">
        <f t="shared" ca="1" si="60"/>
        <v>2039</v>
      </c>
      <c r="T238" s="284">
        <f t="shared" ca="1" si="61"/>
        <v>365</v>
      </c>
    </row>
    <row r="239" spans="1:20" x14ac:dyDescent="0.35">
      <c r="A239" s="285">
        <f t="shared" si="62"/>
        <v>215</v>
      </c>
      <c r="B239" s="286">
        <f t="shared" ca="1" si="73"/>
        <v>51031</v>
      </c>
      <c r="C239" s="286">
        <f t="shared" ca="1" si="64"/>
        <v>51031</v>
      </c>
      <c r="D239" s="285">
        <f t="shared" ca="1" si="66"/>
        <v>31</v>
      </c>
      <c r="E239" s="280">
        <f t="shared" ca="1" si="71"/>
        <v>507331.18729059823</v>
      </c>
      <c r="F239" s="287">
        <f ca="1">'график анн Базова'!F239</f>
        <v>17500.218075686749</v>
      </c>
      <c r="G239" s="287">
        <f t="shared" ca="1" si="72"/>
        <v>3120.2305469721605</v>
      </c>
      <c r="H239" s="280">
        <f ca="1">IF(A238=$D$8,SUM($H$25:H238),IF(A238="","",(G239+F239)))</f>
        <v>20620.448622658911</v>
      </c>
      <c r="I239" s="280" t="str">
        <f t="shared" si="67"/>
        <v/>
      </c>
      <c r="J239" s="280" t="str">
        <f t="shared" si="68"/>
        <v/>
      </c>
      <c r="K239" s="280"/>
      <c r="L239" s="280" t="str">
        <f t="shared" si="69"/>
        <v/>
      </c>
      <c r="M239" s="280" t="str">
        <f t="shared" si="70"/>
        <v/>
      </c>
      <c r="N239" s="283" t="str">
        <f t="shared" si="65"/>
        <v/>
      </c>
      <c r="P239" s="289" t="str">
        <f>IF(A238=$D$8,XIRR(R$24:R238,C$24:C238),"")</f>
        <v/>
      </c>
      <c r="Q239" s="280" t="str">
        <f t="shared" si="63"/>
        <v/>
      </c>
      <c r="R239" s="283">
        <f t="shared" ca="1" si="59"/>
        <v>20620.448622658911</v>
      </c>
      <c r="S239" s="284">
        <f t="shared" ca="1" si="60"/>
        <v>2039</v>
      </c>
      <c r="T239" s="284">
        <f t="shared" ca="1" si="61"/>
        <v>365</v>
      </c>
    </row>
    <row r="240" spans="1:20" x14ac:dyDescent="0.35">
      <c r="A240" s="285">
        <f t="shared" si="62"/>
        <v>216</v>
      </c>
      <c r="B240" s="286">
        <f t="shared" ca="1" si="73"/>
        <v>51061</v>
      </c>
      <c r="C240" s="286">
        <f t="shared" ca="1" si="64"/>
        <v>51061</v>
      </c>
      <c r="D240" s="285">
        <f t="shared" ca="1" si="66"/>
        <v>30</v>
      </c>
      <c r="E240" s="280">
        <f t="shared" ca="1" si="71"/>
        <v>489461.08110514132</v>
      </c>
      <c r="F240" s="287">
        <f ca="1">'график анн Базова'!F240</f>
        <v>17870.106185456898</v>
      </c>
      <c r="G240" s="287">
        <f t="shared" ca="1" si="72"/>
        <v>2918.8917624938531</v>
      </c>
      <c r="H240" s="280">
        <f ca="1">IF(A239=$D$8,SUM($H$25:H239),IF(A239="","",(G240+F240)))</f>
        <v>20788.997947950753</v>
      </c>
      <c r="I240" s="280" t="str">
        <f t="shared" si="67"/>
        <v/>
      </c>
      <c r="J240" s="280" t="str">
        <f t="shared" si="68"/>
        <v/>
      </c>
      <c r="K240" s="280"/>
      <c r="L240" s="280" t="str">
        <f t="shared" si="69"/>
        <v/>
      </c>
      <c r="M240" s="280" t="str">
        <f t="shared" si="70"/>
        <v/>
      </c>
      <c r="N240" s="283" t="str">
        <f t="shared" si="65"/>
        <v/>
      </c>
      <c r="P240" s="289" t="str">
        <f>IF(A239=$D$8,XIRR(R$24:R239,C$24:C239),"")</f>
        <v/>
      </c>
      <c r="Q240" s="280" t="str">
        <f t="shared" si="63"/>
        <v/>
      </c>
      <c r="R240" s="283">
        <f t="shared" ca="1" si="59"/>
        <v>20788.997947950753</v>
      </c>
      <c r="S240" s="284">
        <f t="shared" ca="1" si="60"/>
        <v>2039</v>
      </c>
      <c r="T240" s="284">
        <f t="shared" ca="1" si="61"/>
        <v>365</v>
      </c>
    </row>
    <row r="241" spans="1:20" x14ac:dyDescent="0.35">
      <c r="A241" s="285">
        <f t="shared" si="62"/>
        <v>217</v>
      </c>
      <c r="B241" s="286">
        <f t="shared" ca="1" si="73"/>
        <v>51092</v>
      </c>
      <c r="C241" s="286">
        <f t="shared" ca="1" si="64"/>
        <v>51092</v>
      </c>
      <c r="D241" s="285">
        <f t="shared" ca="1" si="66"/>
        <v>31</v>
      </c>
      <c r="E241" s="280">
        <f t="shared" ca="1" si="71"/>
        <v>471574.54156452452</v>
      </c>
      <c r="F241" s="287">
        <f ca="1">'график анн Базова'!F241</f>
        <v>17886.539540616817</v>
      </c>
      <c r="G241" s="287">
        <f t="shared" ca="1" si="72"/>
        <v>2909.9467013648132</v>
      </c>
      <c r="H241" s="280">
        <f ca="1">IF(A240=$D$8,SUM($H$25:H240),IF(A240="","",(G241+F241)))</f>
        <v>20796.486241981631</v>
      </c>
      <c r="I241" s="280" t="str">
        <f t="shared" si="67"/>
        <v/>
      </c>
      <c r="J241" s="280" t="str">
        <f t="shared" si="68"/>
        <v/>
      </c>
      <c r="K241" s="280">
        <f>IF($F$8&gt;216,($O$8+$O$10),IF($A$240=$F$8,$K$24*$G$8,""))</f>
        <v>7500</v>
      </c>
      <c r="L241" s="280" t="str">
        <f t="shared" si="69"/>
        <v/>
      </c>
      <c r="M241" s="280" t="str">
        <f t="shared" si="70"/>
        <v/>
      </c>
      <c r="N241" s="280">
        <f>IF($F$8&gt;216,($N$14),IF(A240=$F$8,N229+N217+N205+N193+N181+N169+N157+N145+N133+N121+N109+N97+N85+N73+N61+N49+N37+N24,""))</f>
        <v>0</v>
      </c>
      <c r="P241" s="289" t="str">
        <f>IF(A240=$D$8,XIRR(R$24:R240,C$24:C240),"")</f>
        <v/>
      </c>
      <c r="Q241" s="280" t="str">
        <f t="shared" si="63"/>
        <v/>
      </c>
      <c r="R241" s="283">
        <f t="shared" ca="1" si="59"/>
        <v>28296.486241981631</v>
      </c>
      <c r="S241" s="284">
        <f t="shared" ca="1" si="60"/>
        <v>2039</v>
      </c>
      <c r="T241" s="284">
        <f t="shared" ca="1" si="61"/>
        <v>365</v>
      </c>
    </row>
    <row r="242" spans="1:20" x14ac:dyDescent="0.35">
      <c r="A242" s="285">
        <f t="shared" si="62"/>
        <v>218</v>
      </c>
      <c r="B242" s="286">
        <f t="shared" ca="1" si="73"/>
        <v>51122</v>
      </c>
      <c r="C242" s="286">
        <f t="shared" ca="1" si="64"/>
        <v>51122</v>
      </c>
      <c r="D242" s="285">
        <f t="shared" ca="1" si="66"/>
        <v>30</v>
      </c>
      <c r="E242" s="280">
        <f t="shared" ca="1" si="71"/>
        <v>453326.49253191368</v>
      </c>
      <c r="F242" s="287">
        <f ca="1">'график анн Базова'!F242</f>
        <v>18248.049032610848</v>
      </c>
      <c r="G242" s="287">
        <f t="shared" ca="1" si="72"/>
        <v>2713.1685953027441</v>
      </c>
      <c r="H242" s="280">
        <f ca="1">IF(A241=$D$8,SUM($H$25:H241),IF(A241="","",(G242+F242)))</f>
        <v>20961.217627913593</v>
      </c>
      <c r="I242" s="280" t="str">
        <f t="shared" si="67"/>
        <v/>
      </c>
      <c r="J242" s="280" t="str">
        <f t="shared" si="68"/>
        <v/>
      </c>
      <c r="K242" s="280"/>
      <c r="L242" s="280" t="str">
        <f t="shared" si="69"/>
        <v/>
      </c>
      <c r="M242" s="280" t="str">
        <f t="shared" si="70"/>
        <v/>
      </c>
      <c r="N242" s="283" t="str">
        <f t="shared" si="65"/>
        <v/>
      </c>
      <c r="P242" s="289" t="str">
        <f>IF(A241=$D$8,XIRR(R$24:R241,C$24:C241),"")</f>
        <v/>
      </c>
      <c r="Q242" s="280" t="str">
        <f t="shared" si="63"/>
        <v/>
      </c>
      <c r="R242" s="283">
        <f t="shared" ca="1" si="59"/>
        <v>20961.217627913593</v>
      </c>
      <c r="S242" s="284">
        <f t="shared" ca="1" si="60"/>
        <v>2039</v>
      </c>
      <c r="T242" s="284">
        <f t="shared" ca="1" si="61"/>
        <v>365</v>
      </c>
    </row>
    <row r="243" spans="1:20" x14ac:dyDescent="0.35">
      <c r="A243" s="285">
        <f t="shared" si="62"/>
        <v>219</v>
      </c>
      <c r="B243" s="286">
        <f t="shared" ca="1" si="73"/>
        <v>51153</v>
      </c>
      <c r="C243" s="286">
        <f t="shared" ca="1" si="64"/>
        <v>51153</v>
      </c>
      <c r="D243" s="285">
        <f t="shared" ca="1" si="66"/>
        <v>31</v>
      </c>
      <c r="E243" s="280">
        <f t="shared" ca="1" si="71"/>
        <v>435045.28408497898</v>
      </c>
      <c r="F243" s="287">
        <f ca="1">'график анн Базова'!F243</f>
        <v>18281.208446934706</v>
      </c>
      <c r="G243" s="287">
        <f t="shared" ca="1" si="72"/>
        <v>2695.1191473815143</v>
      </c>
      <c r="H243" s="280">
        <f ca="1">IF(A242=$D$8,SUM($H$25:H242),IF(A242="","",(G243+F243)))</f>
        <v>20976.327594316223</v>
      </c>
      <c r="I243" s="280" t="str">
        <f t="shared" si="67"/>
        <v/>
      </c>
      <c r="J243" s="280" t="str">
        <f t="shared" si="68"/>
        <v/>
      </c>
      <c r="K243" s="280"/>
      <c r="L243" s="280" t="str">
        <f t="shared" si="69"/>
        <v/>
      </c>
      <c r="M243" s="280" t="str">
        <f t="shared" si="70"/>
        <v/>
      </c>
      <c r="N243" s="283" t="str">
        <f t="shared" si="65"/>
        <v/>
      </c>
      <c r="P243" s="289" t="str">
        <f>IF(A242=$D$8,XIRR(R$24:R242,C$24:C242),"")</f>
        <v/>
      </c>
      <c r="Q243" s="280" t="str">
        <f t="shared" si="63"/>
        <v/>
      </c>
      <c r="R243" s="283">
        <f t="shared" ca="1" si="59"/>
        <v>20976.327594316223</v>
      </c>
      <c r="S243" s="284">
        <f t="shared" ca="1" si="60"/>
        <v>2040</v>
      </c>
      <c r="T243" s="284">
        <f t="shared" ca="1" si="61"/>
        <v>366</v>
      </c>
    </row>
    <row r="244" spans="1:20" x14ac:dyDescent="0.35">
      <c r="A244" s="285">
        <f t="shared" si="62"/>
        <v>220</v>
      </c>
      <c r="B244" s="286">
        <f t="shared" ca="1" si="73"/>
        <v>51184</v>
      </c>
      <c r="C244" s="286">
        <f t="shared" ca="1" si="64"/>
        <v>51184</v>
      </c>
      <c r="D244" s="285">
        <f t="shared" ca="1" si="66"/>
        <v>31</v>
      </c>
      <c r="E244" s="280">
        <f t="shared" ca="1" si="71"/>
        <v>416551.42212852155</v>
      </c>
      <c r="F244" s="287">
        <f ca="1">'график анн Базова'!F244</f>
        <v>18493.861956457415</v>
      </c>
      <c r="G244" s="287">
        <f t="shared" ca="1" si="72"/>
        <v>2586.4336067517929</v>
      </c>
      <c r="H244" s="280">
        <f ca="1">IF(A243=$D$8,SUM($H$25:H243),IF(A243="","",(G244+F244)))</f>
        <v>21080.295563209209</v>
      </c>
      <c r="I244" s="280" t="str">
        <f t="shared" si="67"/>
        <v/>
      </c>
      <c r="J244" s="280" t="str">
        <f t="shared" si="68"/>
        <v/>
      </c>
      <c r="K244" s="280"/>
      <c r="L244" s="280" t="str">
        <f t="shared" si="69"/>
        <v/>
      </c>
      <c r="M244" s="280" t="str">
        <f t="shared" si="70"/>
        <v/>
      </c>
      <c r="N244" s="283" t="str">
        <f t="shared" si="65"/>
        <v/>
      </c>
      <c r="P244" s="289" t="str">
        <f>IF(A243=$D$8,XIRR(R$24:R243,C$24:C243),"")</f>
        <v/>
      </c>
      <c r="Q244" s="280" t="str">
        <f t="shared" si="63"/>
        <v/>
      </c>
      <c r="R244" s="283">
        <f t="shared" ca="1" si="59"/>
        <v>21080.295563209209</v>
      </c>
      <c r="S244" s="284">
        <f t="shared" ca="1" si="60"/>
        <v>2040</v>
      </c>
      <c r="T244" s="284">
        <f t="shared" ca="1" si="61"/>
        <v>366</v>
      </c>
    </row>
    <row r="245" spans="1:20" x14ac:dyDescent="0.35">
      <c r="A245" s="285">
        <f t="shared" si="62"/>
        <v>221</v>
      </c>
      <c r="B245" s="286">
        <f t="shared" ca="1" si="73"/>
        <v>51213</v>
      </c>
      <c r="C245" s="286">
        <f t="shared" ca="1" si="64"/>
        <v>51213</v>
      </c>
      <c r="D245" s="285">
        <f t="shared" ca="1" si="66"/>
        <v>29</v>
      </c>
      <c r="E245" s="280">
        <f t="shared" ca="1" si="71"/>
        <v>397563.39444570604</v>
      </c>
      <c r="F245" s="287">
        <f ca="1">'график анн Базова'!F245</f>
        <v>18988.027682815526</v>
      </c>
      <c r="G245" s="287">
        <f t="shared" ca="1" si="72"/>
        <v>2316.7106490983529</v>
      </c>
      <c r="H245" s="280">
        <f ca="1">IF(A244=$D$8,SUM($H$25:H244),IF(A244="","",(G245+F245)))</f>
        <v>21304.738331913879</v>
      </c>
      <c r="I245" s="280" t="str">
        <f t="shared" si="67"/>
        <v/>
      </c>
      <c r="J245" s="280" t="str">
        <f t="shared" si="68"/>
        <v/>
      </c>
      <c r="K245" s="280"/>
      <c r="L245" s="280" t="str">
        <f t="shared" si="69"/>
        <v/>
      </c>
      <c r="M245" s="280" t="str">
        <f t="shared" si="70"/>
        <v/>
      </c>
      <c r="N245" s="283" t="str">
        <f t="shared" si="65"/>
        <v/>
      </c>
      <c r="P245" s="289" t="str">
        <f>IF(A244=$D$8,XIRR(R$24:R244,C$24:C244),"")</f>
        <v/>
      </c>
      <c r="Q245" s="280" t="str">
        <f t="shared" si="63"/>
        <v/>
      </c>
      <c r="R245" s="283">
        <f t="shared" ca="1" si="59"/>
        <v>21304.738331913879</v>
      </c>
      <c r="S245" s="284">
        <f t="shared" ca="1" si="60"/>
        <v>2040</v>
      </c>
      <c r="T245" s="284">
        <f t="shared" ca="1" si="61"/>
        <v>366</v>
      </c>
    </row>
    <row r="246" spans="1:20" x14ac:dyDescent="0.35">
      <c r="A246" s="285">
        <f t="shared" si="62"/>
        <v>222</v>
      </c>
      <c r="B246" s="286">
        <f t="shared" ca="1" si="73"/>
        <v>51244</v>
      </c>
      <c r="C246" s="286">
        <f t="shared" ca="1" si="64"/>
        <v>51244</v>
      </c>
      <c r="D246" s="285">
        <f t="shared" ca="1" si="66"/>
        <v>31</v>
      </c>
      <c r="E246" s="280">
        <f t="shared" ca="1" si="71"/>
        <v>378661.26663887722</v>
      </c>
      <c r="F246" s="287">
        <f ca="1">'график анн Базова'!F246</f>
        <v>18902.127806828794</v>
      </c>
      <c r="G246" s="287">
        <f t="shared" ca="1" si="72"/>
        <v>2363.5960710881704</v>
      </c>
      <c r="H246" s="280">
        <f ca="1">IF(A245=$D$8,SUM($H$25:H245),IF(A245="","",(G246+F246)))</f>
        <v>21265.723877916964</v>
      </c>
      <c r="I246" s="280" t="str">
        <f t="shared" si="67"/>
        <v/>
      </c>
      <c r="J246" s="280" t="str">
        <f t="shared" si="68"/>
        <v/>
      </c>
      <c r="K246" s="280"/>
      <c r="L246" s="280" t="str">
        <f t="shared" si="69"/>
        <v/>
      </c>
      <c r="M246" s="280" t="str">
        <f t="shared" si="70"/>
        <v/>
      </c>
      <c r="N246" s="283" t="str">
        <f t="shared" si="65"/>
        <v/>
      </c>
      <c r="P246" s="289" t="str">
        <f>IF(A245=$D$8,XIRR(R$24:R245,C$24:C245),"")</f>
        <v/>
      </c>
      <c r="Q246" s="280" t="str">
        <f t="shared" si="63"/>
        <v/>
      </c>
      <c r="R246" s="283">
        <f t="shared" ca="1" si="59"/>
        <v>21265.723877916964</v>
      </c>
      <c r="S246" s="284">
        <f t="shared" ca="1" si="60"/>
        <v>2040</v>
      </c>
      <c r="T246" s="284">
        <f t="shared" ca="1" si="61"/>
        <v>366</v>
      </c>
    </row>
    <row r="247" spans="1:20" x14ac:dyDescent="0.35">
      <c r="A247" s="285">
        <f t="shared" si="62"/>
        <v>223</v>
      </c>
      <c r="B247" s="286">
        <f t="shared" ca="1" si="73"/>
        <v>51274</v>
      </c>
      <c r="C247" s="286">
        <f t="shared" ca="1" si="64"/>
        <v>51274</v>
      </c>
      <c r="D247" s="285">
        <f t="shared" ca="1" si="66"/>
        <v>30</v>
      </c>
      <c r="E247" s="280">
        <f t="shared" ca="1" si="71"/>
        <v>359420.20150526025</v>
      </c>
      <c r="F247" s="287">
        <f ca="1">'график анн Базова'!F247</f>
        <v>19241.065133616947</v>
      </c>
      <c r="G247" s="287">
        <f t="shared" ca="1" si="72"/>
        <v>2178.5990683332666</v>
      </c>
      <c r="H247" s="280">
        <f ca="1">IF(A246=$D$8,SUM($H$25:H246),IF(A246="","",(G247+F247)))</f>
        <v>21419.664201950214</v>
      </c>
      <c r="I247" s="280" t="str">
        <f t="shared" si="67"/>
        <v/>
      </c>
      <c r="J247" s="280" t="str">
        <f t="shared" si="68"/>
        <v/>
      </c>
      <c r="K247" s="280"/>
      <c r="L247" s="280" t="str">
        <f t="shared" si="69"/>
        <v/>
      </c>
      <c r="M247" s="280" t="str">
        <f t="shared" si="70"/>
        <v/>
      </c>
      <c r="N247" s="283" t="str">
        <f t="shared" si="65"/>
        <v/>
      </c>
      <c r="P247" s="289" t="str">
        <f>IF(A246=$D$8,XIRR(R$24:R246,C$24:C246),"")</f>
        <v/>
      </c>
      <c r="Q247" s="280" t="str">
        <f t="shared" si="63"/>
        <v/>
      </c>
      <c r="R247" s="283">
        <f t="shared" ca="1" si="59"/>
        <v>21419.664201950214</v>
      </c>
      <c r="S247" s="284">
        <f t="shared" ca="1" si="60"/>
        <v>2040</v>
      </c>
      <c r="T247" s="284">
        <f t="shared" ca="1" si="61"/>
        <v>366</v>
      </c>
    </row>
    <row r="248" spans="1:20" x14ac:dyDescent="0.35">
      <c r="A248" s="285">
        <f t="shared" si="62"/>
        <v>224</v>
      </c>
      <c r="B248" s="286">
        <f t="shared" ca="1" si="73"/>
        <v>51305</v>
      </c>
      <c r="C248" s="286">
        <f t="shared" ca="1" si="64"/>
        <v>51305</v>
      </c>
      <c r="D248" s="285">
        <f t="shared" ca="1" si="66"/>
        <v>31</v>
      </c>
      <c r="E248" s="280">
        <f t="shared" ca="1" si="71"/>
        <v>340102.60470122821</v>
      </c>
      <c r="F248" s="287">
        <f ca="1">'график анн Базова'!F248</f>
        <v>19317.596804032022</v>
      </c>
      <c r="G248" s="287">
        <f t="shared" ca="1" si="72"/>
        <v>2136.8269514148351</v>
      </c>
      <c r="H248" s="280">
        <f ca="1">IF(A247=$D$8,SUM($H$25:H247),IF(A247="","",(G248+F248)))</f>
        <v>21454.423755446856</v>
      </c>
      <c r="I248" s="280" t="str">
        <f t="shared" si="67"/>
        <v/>
      </c>
      <c r="J248" s="280" t="str">
        <f t="shared" si="68"/>
        <v/>
      </c>
      <c r="K248" s="280"/>
      <c r="L248" s="280" t="str">
        <f t="shared" si="69"/>
        <v/>
      </c>
      <c r="M248" s="280" t="str">
        <f t="shared" si="70"/>
        <v/>
      </c>
      <c r="N248" s="283" t="str">
        <f t="shared" si="65"/>
        <v/>
      </c>
      <c r="P248" s="289" t="str">
        <f>IF(A247=$D$8,XIRR(R$24:R247,C$24:C247),"")</f>
        <v/>
      </c>
      <c r="Q248" s="280" t="str">
        <f t="shared" si="63"/>
        <v/>
      </c>
      <c r="R248" s="283">
        <f t="shared" ca="1" si="59"/>
        <v>21454.423755446856</v>
      </c>
      <c r="S248" s="284">
        <f t="shared" ca="1" si="60"/>
        <v>2040</v>
      </c>
      <c r="T248" s="284">
        <f t="shared" ca="1" si="61"/>
        <v>366</v>
      </c>
    </row>
    <row r="249" spans="1:20" x14ac:dyDescent="0.35">
      <c r="A249" s="285">
        <f t="shared" si="62"/>
        <v>225</v>
      </c>
      <c r="B249" s="286">
        <f t="shared" ca="1" si="73"/>
        <v>51335</v>
      </c>
      <c r="C249" s="286">
        <f t="shared" ca="1" si="64"/>
        <v>51335</v>
      </c>
      <c r="D249" s="285">
        <f t="shared" ca="1" si="66"/>
        <v>30</v>
      </c>
      <c r="E249" s="280">
        <f t="shared" ca="1" si="71"/>
        <v>320455.09334423573</v>
      </c>
      <c r="F249" s="287">
        <f ca="1">'график анн Базова'!F249</f>
        <v>19647.511356992494</v>
      </c>
      <c r="G249" s="287">
        <f t="shared" ca="1" si="72"/>
        <v>1956.7547119796693</v>
      </c>
      <c r="H249" s="280">
        <f ca="1">IF(A248=$D$8,SUM($H$25:H248),IF(A248="","",(G249+F249)))</f>
        <v>21604.266068972163</v>
      </c>
      <c r="I249" s="280" t="str">
        <f t="shared" si="67"/>
        <v/>
      </c>
      <c r="J249" s="280" t="str">
        <f t="shared" si="68"/>
        <v/>
      </c>
      <c r="K249" s="280"/>
      <c r="L249" s="280" t="str">
        <f t="shared" si="69"/>
        <v/>
      </c>
      <c r="M249" s="280" t="str">
        <f t="shared" si="70"/>
        <v/>
      </c>
      <c r="N249" s="283" t="str">
        <f t="shared" si="65"/>
        <v/>
      </c>
      <c r="P249" s="289" t="str">
        <f>IF(A248=$D$8,XIRR(R$24:R248,C$24:C248),"")</f>
        <v/>
      </c>
      <c r="Q249" s="280" t="str">
        <f t="shared" si="63"/>
        <v/>
      </c>
      <c r="R249" s="283">
        <f t="shared" ca="1" si="59"/>
        <v>21604.266068972163</v>
      </c>
      <c r="S249" s="284">
        <f t="shared" ca="1" si="60"/>
        <v>2040</v>
      </c>
      <c r="T249" s="284">
        <f t="shared" ca="1" si="61"/>
        <v>366</v>
      </c>
    </row>
    <row r="250" spans="1:20" x14ac:dyDescent="0.35">
      <c r="A250" s="285">
        <f t="shared" si="62"/>
        <v>226</v>
      </c>
      <c r="B250" s="286">
        <f t="shared" ca="1" si="73"/>
        <v>51366</v>
      </c>
      <c r="C250" s="286">
        <f t="shared" ca="1" si="64"/>
        <v>51366</v>
      </c>
      <c r="D250" s="285">
        <f t="shared" ca="1" si="66"/>
        <v>31</v>
      </c>
      <c r="E250" s="280">
        <f t="shared" ca="1" si="71"/>
        <v>300713.07495497219</v>
      </c>
      <c r="F250" s="287">
        <f ca="1">'график анн Базова'!F250</f>
        <v>19742.018389263554</v>
      </c>
      <c r="G250" s="287">
        <f t="shared" ca="1" si="72"/>
        <v>1905.1713768684701</v>
      </c>
      <c r="H250" s="280">
        <f ca="1">IF(A249=$D$8,SUM($H$25:H249),IF(A249="","",(G250+F250)))</f>
        <v>21647.189766132025</v>
      </c>
      <c r="I250" s="280" t="str">
        <f t="shared" si="67"/>
        <v/>
      </c>
      <c r="J250" s="280" t="str">
        <f t="shared" si="68"/>
        <v/>
      </c>
      <c r="K250" s="280"/>
      <c r="L250" s="280" t="str">
        <f t="shared" si="69"/>
        <v/>
      </c>
      <c r="M250" s="280" t="str">
        <f t="shared" si="70"/>
        <v/>
      </c>
      <c r="N250" s="283" t="str">
        <f t="shared" si="65"/>
        <v/>
      </c>
      <c r="P250" s="289" t="str">
        <f>IF(A249=$D$8,XIRR(R$24:R249,C$24:C249),"")</f>
        <v/>
      </c>
      <c r="Q250" s="280" t="str">
        <f t="shared" si="63"/>
        <v/>
      </c>
      <c r="R250" s="283">
        <f t="shared" ca="1" si="59"/>
        <v>21647.189766132025</v>
      </c>
      <c r="S250" s="284">
        <f t="shared" ca="1" si="60"/>
        <v>2040</v>
      </c>
      <c r="T250" s="284">
        <f t="shared" ca="1" si="61"/>
        <v>366</v>
      </c>
    </row>
    <row r="251" spans="1:20" x14ac:dyDescent="0.35">
      <c r="A251" s="285">
        <f t="shared" si="62"/>
        <v>227</v>
      </c>
      <c r="B251" s="286">
        <f t="shared" ca="1" si="73"/>
        <v>51397</v>
      </c>
      <c r="C251" s="286">
        <f t="shared" ca="1" si="64"/>
        <v>51397</v>
      </c>
      <c r="D251" s="285">
        <f t="shared" ca="1" si="66"/>
        <v>31</v>
      </c>
      <c r="E251" s="280">
        <f t="shared" ca="1" si="71"/>
        <v>280756.01959710033</v>
      </c>
      <c r="F251" s="287">
        <f ca="1">'график анн Базова'!F251</f>
        <v>19957.055357871854</v>
      </c>
      <c r="G251" s="287">
        <f t="shared" ca="1" si="72"/>
        <v>1787.8010209651775</v>
      </c>
      <c r="H251" s="280">
        <f ca="1">IF(A250=$D$8,SUM($H$25:H250),IF(A250="","",(G251+F251)))</f>
        <v>21744.85637883703</v>
      </c>
      <c r="I251" s="280" t="str">
        <f t="shared" si="67"/>
        <v/>
      </c>
      <c r="J251" s="280" t="str">
        <f t="shared" si="68"/>
        <v/>
      </c>
      <c r="K251" s="280"/>
      <c r="L251" s="280" t="str">
        <f t="shared" si="69"/>
        <v/>
      </c>
      <c r="M251" s="280" t="str">
        <f t="shared" si="70"/>
        <v/>
      </c>
      <c r="N251" s="283" t="str">
        <f t="shared" si="65"/>
        <v/>
      </c>
      <c r="P251" s="289" t="str">
        <f>IF(A250=$D$8,XIRR(R$24:R250,C$24:C250),"")</f>
        <v/>
      </c>
      <c r="Q251" s="280" t="str">
        <f t="shared" si="63"/>
        <v/>
      </c>
      <c r="R251" s="283">
        <f t="shared" ca="1" si="59"/>
        <v>21744.85637883703</v>
      </c>
      <c r="S251" s="284">
        <f t="shared" ca="1" si="60"/>
        <v>2040</v>
      </c>
      <c r="T251" s="284">
        <f t="shared" ca="1" si="61"/>
        <v>366</v>
      </c>
    </row>
    <row r="252" spans="1:20" x14ac:dyDescent="0.35">
      <c r="A252" s="285">
        <f t="shared" si="62"/>
        <v>228</v>
      </c>
      <c r="B252" s="286">
        <f t="shared" ca="1" si="73"/>
        <v>51427</v>
      </c>
      <c r="C252" s="286">
        <f t="shared" ca="1" si="64"/>
        <v>51427</v>
      </c>
      <c r="D252" s="285">
        <f t="shared" ca="1" si="66"/>
        <v>30</v>
      </c>
      <c r="E252" s="280">
        <f t="shared" ca="1" si="71"/>
        <v>260482.93685942006</v>
      </c>
      <c r="F252" s="287">
        <f ca="1">'график анн Базова'!F252</f>
        <v>20273.082737680266</v>
      </c>
      <c r="G252" s="287">
        <f t="shared" ca="1" si="72"/>
        <v>1615.3086059011255</v>
      </c>
      <c r="H252" s="280">
        <f ca="1">IF(A251=$D$8,SUM($H$25:H251),IF(A251="","",(G252+F252)))</f>
        <v>21888.391343581392</v>
      </c>
      <c r="I252" s="280" t="str">
        <f t="shared" si="67"/>
        <v/>
      </c>
      <c r="J252" s="280" t="str">
        <f t="shared" si="68"/>
        <v/>
      </c>
      <c r="K252" s="280"/>
      <c r="L252" s="280" t="str">
        <f t="shared" si="69"/>
        <v/>
      </c>
      <c r="M252" s="280" t="str">
        <f t="shared" si="70"/>
        <v/>
      </c>
      <c r="N252" s="283" t="str">
        <f t="shared" si="65"/>
        <v/>
      </c>
      <c r="P252" s="289" t="str">
        <f>IF(A251=$D$8,XIRR(R$24:R251,C$24:C251),"")</f>
        <v/>
      </c>
      <c r="Q252" s="280" t="str">
        <f t="shared" si="63"/>
        <v/>
      </c>
      <c r="R252" s="283">
        <f t="shared" ca="1" si="59"/>
        <v>21888.391343581392</v>
      </c>
      <c r="S252" s="284">
        <f t="shared" ca="1" si="60"/>
        <v>2040</v>
      </c>
      <c r="T252" s="284">
        <f t="shared" ca="1" si="61"/>
        <v>366</v>
      </c>
    </row>
    <row r="253" spans="1:20" x14ac:dyDescent="0.35">
      <c r="A253" s="285">
        <f t="shared" si="62"/>
        <v>229</v>
      </c>
      <c r="B253" s="286">
        <f t="shared" ca="1" si="73"/>
        <v>51458</v>
      </c>
      <c r="C253" s="286">
        <f t="shared" ca="1" si="64"/>
        <v>51458</v>
      </c>
      <c r="D253" s="285">
        <f t="shared" ca="1" si="66"/>
        <v>31</v>
      </c>
      <c r="E253" s="280">
        <f t="shared" ca="1" si="71"/>
        <v>240087.68076785497</v>
      </c>
      <c r="F253" s="287">
        <f ca="1">'график анн Базова'!F253</f>
        <v>20395.256091565101</v>
      </c>
      <c r="G253" s="287">
        <f t="shared" ca="1" si="72"/>
        <v>1548.6245835203879</v>
      </c>
      <c r="H253" s="280">
        <f ca="1">IF(A252=$D$8,SUM($H$25:H252),IF(A252="","",(G253+F253)))</f>
        <v>21943.880675085489</v>
      </c>
      <c r="I253" s="280" t="str">
        <f t="shared" si="67"/>
        <v/>
      </c>
      <c r="J253" s="280" t="str">
        <f t="shared" si="68"/>
        <v/>
      </c>
      <c r="K253" s="280">
        <f>IF($F$8&gt;228,($O$8+$O$10),IF($A$252=$F$8,$K$24*$G$8,""))</f>
        <v>7500</v>
      </c>
      <c r="L253" s="280" t="str">
        <f t="shared" si="69"/>
        <v/>
      </c>
      <c r="M253" s="280" t="str">
        <f t="shared" si="70"/>
        <v/>
      </c>
      <c r="N253" s="280">
        <f>IF($F$8&gt;228,($N$14),IF(A252=$F$8,N241+N229+N217+N205+N193+N181+N169+N157+N145+N133+N121+N109+N97+N85+N73+N61+N49+N37+N24,""))</f>
        <v>0</v>
      </c>
      <c r="P253" s="289" t="str">
        <f>IF(A252=$D$8,XIRR(R$24:R252,C$24:C252),"")</f>
        <v/>
      </c>
      <c r="Q253" s="280" t="str">
        <f t="shared" si="63"/>
        <v/>
      </c>
      <c r="R253" s="283">
        <f t="shared" ca="1" si="59"/>
        <v>29443.880675085489</v>
      </c>
      <c r="S253" s="284">
        <f t="shared" ca="1" si="60"/>
        <v>2040</v>
      </c>
      <c r="T253" s="284">
        <f t="shared" ca="1" si="61"/>
        <v>366</v>
      </c>
    </row>
    <row r="254" spans="1:20" x14ac:dyDescent="0.35">
      <c r="A254" s="285">
        <f t="shared" si="62"/>
        <v>230</v>
      </c>
      <c r="B254" s="286">
        <f t="shared" ca="1" si="73"/>
        <v>51488</v>
      </c>
      <c r="C254" s="286">
        <f t="shared" ca="1" si="64"/>
        <v>51488</v>
      </c>
      <c r="D254" s="285">
        <f t="shared" ca="1" si="66"/>
        <v>30</v>
      </c>
      <c r="E254" s="280">
        <f t="shared" ca="1" si="71"/>
        <v>219385.9137372697</v>
      </c>
      <c r="F254" s="287">
        <f ca="1">'график анн Базова'!F254</f>
        <v>20701.767030585263</v>
      </c>
      <c r="G254" s="287">
        <f t="shared" ca="1" si="72"/>
        <v>1381.3263824999876</v>
      </c>
      <c r="H254" s="280">
        <f ca="1">IF(A253=$D$8,SUM($H$25:H253),IF(A253="","",(G254+F254)))</f>
        <v>22083.093413085251</v>
      </c>
      <c r="I254" s="280" t="str">
        <f t="shared" si="67"/>
        <v/>
      </c>
      <c r="J254" s="280" t="str">
        <f t="shared" si="68"/>
        <v/>
      </c>
      <c r="K254" s="280" t="str">
        <f t="shared" ref="K254:K264" si="74">IF(A253=$F$8,$K$24,"")</f>
        <v/>
      </c>
      <c r="L254" s="280" t="str">
        <f t="shared" si="69"/>
        <v/>
      </c>
      <c r="M254" s="280" t="str">
        <f t="shared" si="70"/>
        <v/>
      </c>
      <c r="N254" s="283" t="str">
        <f t="shared" si="65"/>
        <v/>
      </c>
      <c r="P254" s="289" t="str">
        <f>IF(A253=$D$8,XIRR(R$24:R253,C$24:C253),"")</f>
        <v/>
      </c>
      <c r="Q254" s="280" t="str">
        <f t="shared" si="63"/>
        <v/>
      </c>
      <c r="R254" s="283">
        <f t="shared" ca="1" si="59"/>
        <v>22083.093413085251</v>
      </c>
      <c r="S254" s="284">
        <f t="shared" ca="1" si="60"/>
        <v>2040</v>
      </c>
      <c r="T254" s="284">
        <f t="shared" ca="1" si="61"/>
        <v>366</v>
      </c>
    </row>
    <row r="255" spans="1:20" x14ac:dyDescent="0.35">
      <c r="A255" s="285">
        <f t="shared" si="62"/>
        <v>231</v>
      </c>
      <c r="B255" s="286">
        <f t="shared" ca="1" si="73"/>
        <v>51519</v>
      </c>
      <c r="C255" s="286">
        <f t="shared" ca="1" si="64"/>
        <v>51519</v>
      </c>
      <c r="D255" s="285">
        <f t="shared" ca="1" si="66"/>
        <v>31</v>
      </c>
      <c r="E255" s="280">
        <f t="shared" ca="1" si="71"/>
        <v>198543.01449712875</v>
      </c>
      <c r="F255" s="287">
        <f ca="1">'график анн Базова'!F255</f>
        <v>20842.89924014096</v>
      </c>
      <c r="G255" s="287">
        <f t="shared" ca="1" si="72"/>
        <v>1304.2943364654118</v>
      </c>
      <c r="H255" s="280">
        <f ca="1">IF(A254=$D$8,SUM($H$25:H254),IF(A254="","",(G255+F255)))</f>
        <v>22147.193576606373</v>
      </c>
      <c r="I255" s="280" t="str">
        <f t="shared" si="67"/>
        <v/>
      </c>
      <c r="J255" s="280" t="str">
        <f t="shared" si="68"/>
        <v/>
      </c>
      <c r="K255" s="280" t="str">
        <f t="shared" si="74"/>
        <v/>
      </c>
      <c r="L255" s="280" t="str">
        <f t="shared" si="69"/>
        <v/>
      </c>
      <c r="M255" s="280" t="str">
        <f t="shared" si="70"/>
        <v/>
      </c>
      <c r="N255" s="283" t="str">
        <f t="shared" si="65"/>
        <v/>
      </c>
      <c r="P255" s="289" t="str">
        <f>IF(A254=$D$8,XIRR(R$24:R254,C$24:C254),"")</f>
        <v/>
      </c>
      <c r="Q255" s="280" t="str">
        <f t="shared" si="63"/>
        <v/>
      </c>
      <c r="R255" s="283">
        <f t="shared" ca="1" si="59"/>
        <v>22147.193576606373</v>
      </c>
      <c r="S255" s="284">
        <f t="shared" ca="1" si="60"/>
        <v>2041</v>
      </c>
      <c r="T255" s="284">
        <f t="shared" ca="1" si="61"/>
        <v>365</v>
      </c>
    </row>
    <row r="256" spans="1:20" x14ac:dyDescent="0.35">
      <c r="A256" s="285">
        <f t="shared" si="62"/>
        <v>232</v>
      </c>
      <c r="B256" s="286">
        <f t="shared" ca="1" si="73"/>
        <v>51550</v>
      </c>
      <c r="C256" s="286">
        <f t="shared" ca="1" si="64"/>
        <v>51550</v>
      </c>
      <c r="D256" s="285">
        <f t="shared" ca="1" si="66"/>
        <v>31</v>
      </c>
      <c r="E256" s="280">
        <f t="shared" ca="1" si="71"/>
        <v>177479.01204051331</v>
      </c>
      <c r="F256" s="287">
        <f ca="1">'график анн Базова'!F256</f>
        <v>21064.002456615457</v>
      </c>
      <c r="G256" s="287">
        <f t="shared" ca="1" si="72"/>
        <v>1180.3790176952589</v>
      </c>
      <c r="H256" s="280">
        <f ca="1">IF(A255=$D$8,SUM($H$25:H255),IF(A255="","",(G256+F256)))</f>
        <v>22244.381474310714</v>
      </c>
      <c r="I256" s="280" t="str">
        <f t="shared" si="67"/>
        <v/>
      </c>
      <c r="J256" s="280" t="str">
        <f t="shared" si="68"/>
        <v/>
      </c>
      <c r="K256" s="280" t="str">
        <f t="shared" si="74"/>
        <v/>
      </c>
      <c r="L256" s="280" t="str">
        <f t="shared" si="69"/>
        <v/>
      </c>
      <c r="M256" s="280" t="str">
        <f t="shared" si="70"/>
        <v/>
      </c>
      <c r="N256" s="283" t="str">
        <f t="shared" si="65"/>
        <v/>
      </c>
      <c r="P256" s="289" t="str">
        <f>IF(A255=$D$8,XIRR(R$24:R255,C$24:C255),"")</f>
        <v/>
      </c>
      <c r="Q256" s="280" t="str">
        <f t="shared" si="63"/>
        <v/>
      </c>
      <c r="R256" s="283">
        <f t="shared" ca="1" si="59"/>
        <v>22244.381474310714</v>
      </c>
      <c r="S256" s="284">
        <f t="shared" ca="1" si="60"/>
        <v>2041</v>
      </c>
      <c r="T256" s="284">
        <f t="shared" ca="1" si="61"/>
        <v>365</v>
      </c>
    </row>
    <row r="257" spans="1:20" x14ac:dyDescent="0.35">
      <c r="A257" s="285">
        <f t="shared" si="62"/>
        <v>233</v>
      </c>
      <c r="B257" s="286">
        <f t="shared" ca="1" si="73"/>
        <v>51578</v>
      </c>
      <c r="C257" s="286">
        <f t="shared" ca="1" si="64"/>
        <v>51578</v>
      </c>
      <c r="D257" s="285">
        <f t="shared" ca="1" si="66"/>
        <v>28</v>
      </c>
      <c r="E257" s="280">
        <f t="shared" ca="1" si="71"/>
        <v>155997.35162488752</v>
      </c>
      <c r="F257" s="287">
        <f ca="1">'график анн Базова'!F257</f>
        <v>21481.660415625793</v>
      </c>
      <c r="G257" s="287">
        <f t="shared" ca="1" si="72"/>
        <v>953.03798246412623</v>
      </c>
      <c r="H257" s="280">
        <f ca="1">IF(A256=$D$8,SUM($H$25:H256),IF(A256="","",(G257+F257)))</f>
        <v>22434.69839808992</v>
      </c>
      <c r="I257" s="280" t="str">
        <f t="shared" si="67"/>
        <v/>
      </c>
      <c r="J257" s="280" t="str">
        <f t="shared" si="68"/>
        <v/>
      </c>
      <c r="K257" s="280" t="str">
        <f t="shared" si="74"/>
        <v/>
      </c>
      <c r="L257" s="280" t="str">
        <f t="shared" si="69"/>
        <v/>
      </c>
      <c r="M257" s="280" t="str">
        <f t="shared" si="70"/>
        <v/>
      </c>
      <c r="N257" s="283" t="str">
        <f t="shared" si="65"/>
        <v/>
      </c>
      <c r="P257" s="289" t="str">
        <f>IF(A256=$D$8,XIRR(R$24:R256,C$24:C256),"")</f>
        <v/>
      </c>
      <c r="Q257" s="280" t="str">
        <f t="shared" si="63"/>
        <v/>
      </c>
      <c r="R257" s="283">
        <f t="shared" ca="1" si="59"/>
        <v>22434.69839808992</v>
      </c>
      <c r="S257" s="284">
        <f t="shared" ca="1" si="60"/>
        <v>2041</v>
      </c>
      <c r="T257" s="284">
        <f t="shared" ca="1" si="61"/>
        <v>365</v>
      </c>
    </row>
    <row r="258" spans="1:20" x14ac:dyDescent="0.35">
      <c r="A258" s="285">
        <f t="shared" si="62"/>
        <v>234</v>
      </c>
      <c r="B258" s="286">
        <f t="shared" ca="1" si="73"/>
        <v>51609</v>
      </c>
      <c r="C258" s="286">
        <f t="shared" ca="1" si="64"/>
        <v>51609</v>
      </c>
      <c r="D258" s="285">
        <f t="shared" ca="1" si="66"/>
        <v>31</v>
      </c>
      <c r="E258" s="280">
        <f t="shared" ca="1" si="71"/>
        <v>134468.65727893927</v>
      </c>
      <c r="F258" s="287">
        <f ca="1">'график анн Базова'!F258</f>
        <v>21528.694345948272</v>
      </c>
      <c r="G258" s="287">
        <f t="shared" ca="1" si="72"/>
        <v>927.43630966029036</v>
      </c>
      <c r="H258" s="280">
        <f ca="1">IF(A257=$D$8,SUM($H$25:H257),IF(A257="","",(G258+F258)))</f>
        <v>22456.130655608562</v>
      </c>
      <c r="I258" s="280" t="str">
        <f t="shared" si="67"/>
        <v/>
      </c>
      <c r="J258" s="280" t="str">
        <f t="shared" si="68"/>
        <v/>
      </c>
      <c r="K258" s="280" t="str">
        <f t="shared" si="74"/>
        <v/>
      </c>
      <c r="L258" s="280" t="str">
        <f t="shared" si="69"/>
        <v/>
      </c>
      <c r="M258" s="280" t="str">
        <f t="shared" si="70"/>
        <v/>
      </c>
      <c r="N258" s="283" t="str">
        <f t="shared" si="65"/>
        <v/>
      </c>
      <c r="P258" s="289" t="str">
        <f>IF(A257=$D$8,XIRR(R$24:R257,C$24:C257),"")</f>
        <v/>
      </c>
      <c r="Q258" s="280" t="str">
        <f t="shared" si="63"/>
        <v/>
      </c>
      <c r="R258" s="283">
        <f t="shared" ca="1" si="59"/>
        <v>22456.130655608562</v>
      </c>
      <c r="S258" s="284">
        <f t="shared" ca="1" si="60"/>
        <v>2041</v>
      </c>
      <c r="T258" s="284">
        <f t="shared" ca="1" si="61"/>
        <v>365</v>
      </c>
    </row>
    <row r="259" spans="1:20" x14ac:dyDescent="0.35">
      <c r="A259" s="285">
        <f t="shared" si="62"/>
        <v>235</v>
      </c>
      <c r="B259" s="286">
        <f t="shared" ca="1" si="73"/>
        <v>51639</v>
      </c>
      <c r="C259" s="286">
        <f t="shared" ca="1" si="64"/>
        <v>51639</v>
      </c>
      <c r="D259" s="285">
        <f t="shared" ca="1" si="66"/>
        <v>30</v>
      </c>
      <c r="E259" s="280">
        <f t="shared" ca="1" si="71"/>
        <v>112657.44522831804</v>
      </c>
      <c r="F259" s="287">
        <f ca="1">'график анн Базова'!F259</f>
        <v>21811.212050621227</v>
      </c>
      <c r="G259" s="287">
        <f t="shared" ca="1" si="72"/>
        <v>773.65528845417123</v>
      </c>
      <c r="H259" s="280">
        <f ca="1">IF(A258=$D$8,SUM($H$25:H258),IF(A258="","",(G259+F259)))</f>
        <v>22584.867339075397</v>
      </c>
      <c r="I259" s="280" t="str">
        <f t="shared" si="67"/>
        <v/>
      </c>
      <c r="J259" s="280" t="str">
        <f t="shared" si="68"/>
        <v/>
      </c>
      <c r="K259" s="280" t="str">
        <f t="shared" si="74"/>
        <v/>
      </c>
      <c r="L259" s="280" t="str">
        <f t="shared" si="69"/>
        <v/>
      </c>
      <c r="M259" s="280" t="str">
        <f t="shared" si="70"/>
        <v/>
      </c>
      <c r="N259" s="283" t="str">
        <f t="shared" si="65"/>
        <v/>
      </c>
      <c r="P259" s="289" t="str">
        <f>IF(A258=$D$8,XIRR(R$24:R258,C$24:C258),"")</f>
        <v/>
      </c>
      <c r="Q259" s="280" t="str">
        <f t="shared" si="63"/>
        <v/>
      </c>
      <c r="R259" s="283">
        <f t="shared" ca="1" si="59"/>
        <v>22584.867339075397</v>
      </c>
      <c r="S259" s="284">
        <f t="shared" ca="1" si="60"/>
        <v>2041</v>
      </c>
      <c r="T259" s="284">
        <f t="shared" ca="1" si="61"/>
        <v>365</v>
      </c>
    </row>
    <row r="260" spans="1:20" x14ac:dyDescent="0.35">
      <c r="A260" s="285">
        <f t="shared" si="62"/>
        <v>236</v>
      </c>
      <c r="B260" s="286">
        <f t="shared" ca="1" si="73"/>
        <v>51670</v>
      </c>
      <c r="C260" s="286">
        <f t="shared" ca="1" si="64"/>
        <v>51670</v>
      </c>
      <c r="D260" s="285">
        <f t="shared" ca="1" si="66"/>
        <v>31</v>
      </c>
      <c r="E260" s="280">
        <f t="shared" ca="1" si="71"/>
        <v>90655.384112943575</v>
      </c>
      <c r="F260" s="287">
        <f ca="1">'график анн Базова'!F260</f>
        <v>22002.061115374472</v>
      </c>
      <c r="G260" s="287">
        <f t="shared" ca="1" si="72"/>
        <v>669.77166067246617</v>
      </c>
      <c r="H260" s="280">
        <f ca="1">IF(A259=$D$8,SUM($H$25:H259),IF(A259="","",(G260+F260)))</f>
        <v>22671.83277604694</v>
      </c>
      <c r="I260" s="280" t="str">
        <f t="shared" si="67"/>
        <v/>
      </c>
      <c r="J260" s="280" t="str">
        <f t="shared" si="68"/>
        <v/>
      </c>
      <c r="K260" s="280" t="str">
        <f t="shared" si="74"/>
        <v/>
      </c>
      <c r="L260" s="280" t="str">
        <f t="shared" si="69"/>
        <v/>
      </c>
      <c r="M260" s="280" t="str">
        <f t="shared" si="70"/>
        <v/>
      </c>
      <c r="N260" s="283" t="str">
        <f t="shared" si="65"/>
        <v/>
      </c>
      <c r="P260" s="289" t="str">
        <f>IF(A259=$D$8,XIRR(R$24:R259,C$24:C259),"")</f>
        <v/>
      </c>
      <c r="Q260" s="280" t="str">
        <f t="shared" si="63"/>
        <v/>
      </c>
      <c r="R260" s="283">
        <f t="shared" ca="1" si="59"/>
        <v>22671.83277604694</v>
      </c>
      <c r="S260" s="284">
        <f t="shared" ca="1" si="60"/>
        <v>2041</v>
      </c>
      <c r="T260" s="284">
        <f t="shared" ca="1" si="61"/>
        <v>365</v>
      </c>
    </row>
    <row r="261" spans="1:20" x14ac:dyDescent="0.35">
      <c r="A261" s="285">
        <f t="shared" si="62"/>
        <v>237</v>
      </c>
      <c r="B261" s="286">
        <f t="shared" ca="1" si="73"/>
        <v>51700</v>
      </c>
      <c r="C261" s="286">
        <f t="shared" ca="1" si="64"/>
        <v>51700</v>
      </c>
      <c r="D261" s="285">
        <f t="shared" ca="1" si="66"/>
        <v>30</v>
      </c>
      <c r="E261" s="280">
        <f t="shared" ca="1" si="71"/>
        <v>68381.071766776018</v>
      </c>
      <c r="F261" s="287">
        <f ca="1">'график анн Базова'!F261</f>
        <v>22274.312346167557</v>
      </c>
      <c r="G261" s="287">
        <f t="shared" ca="1" si="72"/>
        <v>521.57892229364802</v>
      </c>
      <c r="H261" s="280">
        <f ca="1">IF(A260=$D$8,SUM($H$25:H260),IF(A260="","",(G261+F261)))</f>
        <v>22795.891268461204</v>
      </c>
      <c r="I261" s="280" t="str">
        <f t="shared" si="67"/>
        <v/>
      </c>
      <c r="J261" s="280" t="str">
        <f t="shared" si="68"/>
        <v/>
      </c>
      <c r="K261" s="280" t="str">
        <f t="shared" si="74"/>
        <v/>
      </c>
      <c r="L261" s="280" t="str">
        <f t="shared" si="69"/>
        <v/>
      </c>
      <c r="M261" s="280" t="str">
        <f t="shared" si="70"/>
        <v/>
      </c>
      <c r="N261" s="283" t="str">
        <f t="shared" si="65"/>
        <v/>
      </c>
      <c r="P261" s="289" t="str">
        <f>IF(A260=$D$8,XIRR(R$24:R260,C$24:C260),"")</f>
        <v/>
      </c>
      <c r="Q261" s="280" t="str">
        <f t="shared" si="63"/>
        <v/>
      </c>
      <c r="R261" s="283">
        <f t="shared" ca="1" si="59"/>
        <v>22795.891268461204</v>
      </c>
      <c r="S261" s="284">
        <f t="shared" ca="1" si="60"/>
        <v>2041</v>
      </c>
      <c r="T261" s="284">
        <f t="shared" ca="1" si="61"/>
        <v>365</v>
      </c>
    </row>
    <row r="262" spans="1:20" x14ac:dyDescent="0.35">
      <c r="A262" s="285">
        <f t="shared" si="62"/>
        <v>238</v>
      </c>
      <c r="B262" s="286">
        <f t="shared" ca="1" si="73"/>
        <v>51731</v>
      </c>
      <c r="C262" s="286">
        <f t="shared" ca="1" si="64"/>
        <v>51731</v>
      </c>
      <c r="D262" s="285">
        <f t="shared" ca="1" si="66"/>
        <v>31</v>
      </c>
      <c r="E262" s="280">
        <f t="shared" ca="1" si="71"/>
        <v>45895.415609095289</v>
      </c>
      <c r="F262" s="287">
        <f ca="1">'график анн Базова'!F262</f>
        <v>22485.656157680729</v>
      </c>
      <c r="G262" s="287">
        <f t="shared" ca="1" si="72"/>
        <v>406.53952255864101</v>
      </c>
      <c r="H262" s="280">
        <f ca="1">IF(A261=$D$8,SUM($H$25:H261),IF(A261="","",(G262+F262)))</f>
        <v>22892.195680239369</v>
      </c>
      <c r="I262" s="280" t="str">
        <f t="shared" si="67"/>
        <v/>
      </c>
      <c r="J262" s="280" t="str">
        <f t="shared" si="68"/>
        <v/>
      </c>
      <c r="K262" s="280" t="str">
        <f t="shared" si="74"/>
        <v/>
      </c>
      <c r="L262" s="280" t="str">
        <f t="shared" si="69"/>
        <v/>
      </c>
      <c r="M262" s="280" t="str">
        <f t="shared" si="70"/>
        <v/>
      </c>
      <c r="N262" s="283" t="str">
        <f t="shared" si="65"/>
        <v/>
      </c>
      <c r="P262" s="289" t="str">
        <f>IF(A261=$D$8,XIRR(R$24:R261,C$24:C261),"")</f>
        <v/>
      </c>
      <c r="Q262" s="280" t="str">
        <f t="shared" si="63"/>
        <v/>
      </c>
      <c r="R262" s="283">
        <f t="shared" ca="1" si="59"/>
        <v>22892.195680239369</v>
      </c>
      <c r="S262" s="284">
        <f t="shared" ca="1" si="60"/>
        <v>2041</v>
      </c>
      <c r="T262" s="284">
        <f t="shared" ca="1" si="61"/>
        <v>365</v>
      </c>
    </row>
    <row r="263" spans="1:20" x14ac:dyDescent="0.35">
      <c r="A263" s="285">
        <f t="shared" si="62"/>
        <v>239</v>
      </c>
      <c r="B263" s="286">
        <f t="shared" ca="1" si="73"/>
        <v>51762</v>
      </c>
      <c r="C263" s="286">
        <f t="shared" ca="1" si="64"/>
        <v>51762</v>
      </c>
      <c r="D263" s="285">
        <f t="shared" ca="1" si="66"/>
        <v>31</v>
      </c>
      <c r="E263" s="280">
        <f t="shared" ca="1" si="71"/>
        <v>23164.166802542753</v>
      </c>
      <c r="F263" s="287">
        <f ca="1">'график анн Базова'!F263</f>
        <v>22731.248806552536</v>
      </c>
      <c r="G263" s="287">
        <f t="shared" ca="1" si="72"/>
        <v>272.85767636092271</v>
      </c>
      <c r="H263" s="280">
        <f ca="1">IF(A262=$D$8,SUM($H$25:H262),IF(A262="","",(G263+F263)))</f>
        <v>23004.106482913459</v>
      </c>
      <c r="I263" s="280" t="str">
        <f t="shared" si="67"/>
        <v/>
      </c>
      <c r="J263" s="280" t="str">
        <f t="shared" si="68"/>
        <v/>
      </c>
      <c r="K263" s="280" t="str">
        <f t="shared" si="74"/>
        <v/>
      </c>
      <c r="L263" s="280" t="str">
        <f t="shared" si="69"/>
        <v/>
      </c>
      <c r="M263" s="280" t="str">
        <f t="shared" si="70"/>
        <v/>
      </c>
      <c r="N263" s="283" t="str">
        <f t="shared" si="65"/>
        <v/>
      </c>
      <c r="P263" s="289" t="str">
        <f>IF(A262=$D$8,XIRR(R$24:R262,C$24:C262),"")</f>
        <v/>
      </c>
      <c r="Q263" s="280" t="str">
        <f t="shared" si="63"/>
        <v/>
      </c>
      <c r="R263" s="283">
        <f t="shared" ca="1" si="59"/>
        <v>23004.106482913459</v>
      </c>
      <c r="S263" s="284">
        <f t="shared" ca="1" si="60"/>
        <v>2041</v>
      </c>
      <c r="T263" s="284">
        <f t="shared" ca="1" si="61"/>
        <v>365</v>
      </c>
    </row>
    <row r="264" spans="1:20" x14ac:dyDescent="0.35">
      <c r="A264" s="285">
        <f t="shared" si="62"/>
        <v>240</v>
      </c>
      <c r="B264" s="286">
        <f t="shared" ca="1" si="73"/>
        <v>51792</v>
      </c>
      <c r="C264" s="286">
        <f t="shared" ca="1" si="64"/>
        <v>51791</v>
      </c>
      <c r="D264" s="285">
        <f t="shared" ca="1" si="66"/>
        <v>29</v>
      </c>
      <c r="E264" s="280">
        <f t="shared" ca="1" si="71"/>
        <v>2.5647750589996576E-9</v>
      </c>
      <c r="F264" s="287">
        <f ca="1">'график анн Базова'!F264</f>
        <v>23164.166802540189</v>
      </c>
      <c r="G264" s="287">
        <f t="shared" ca="1" si="72"/>
        <v>128.83084550455285</v>
      </c>
      <c r="H264" s="280">
        <f ca="1">IF(A263=$D$8,SUM($H$25:H263),IF(A263="","",(G264+F264)))</f>
        <v>23292.99764804474</v>
      </c>
      <c r="I264" s="280" t="str">
        <f t="shared" si="67"/>
        <v/>
      </c>
      <c r="J264" s="280" t="str">
        <f t="shared" si="68"/>
        <v/>
      </c>
      <c r="K264" s="280" t="str">
        <f t="shared" si="74"/>
        <v/>
      </c>
      <c r="L264" s="280" t="str">
        <f t="shared" si="69"/>
        <v/>
      </c>
      <c r="M264" s="280" t="str">
        <f t="shared" si="70"/>
        <v/>
      </c>
      <c r="N264" s="283" t="str">
        <f t="shared" si="65"/>
        <v/>
      </c>
      <c r="P264" s="289" t="str">
        <f>IF(A263=$D$8,XIRR(R$24:R263,C$24:C263),"")</f>
        <v/>
      </c>
      <c r="Q264" s="280" t="str">
        <f t="shared" si="63"/>
        <v/>
      </c>
      <c r="R264" s="283">
        <f t="shared" ca="1" si="59"/>
        <v>23292.99764804474</v>
      </c>
      <c r="S264" s="284">
        <f t="shared" ca="1" si="60"/>
        <v>2041</v>
      </c>
      <c r="T264" s="284">
        <f t="shared" ca="1" si="61"/>
        <v>365</v>
      </c>
    </row>
    <row r="265" spans="1:20" x14ac:dyDescent="0.35">
      <c r="A265" s="285" t="str">
        <f t="shared" si="62"/>
        <v/>
      </c>
      <c r="E265" s="280" t="str">
        <f t="shared" ref="E265" si="75">IF(A265&gt;$D$8,"",E264-F265)</f>
        <v/>
      </c>
      <c r="F265" s="287">
        <f ca="1">'график анн Базова'!F265</f>
        <v>2000000</v>
      </c>
      <c r="G265" s="280">
        <f ca="1">IF(A264=$D$8,SUM($G$25:G264),IF(A264&gt;$D$8,"",E264*D265*$F$18/T264))</f>
        <v>1947382.843276517</v>
      </c>
      <c r="H265" s="280">
        <f ca="1">IF(A264=$D$8,SUM($H$25:H264),IF(A264="","",(G265+F265)))</f>
        <v>3947382.843276517</v>
      </c>
      <c r="I265" s="280">
        <f t="shared" si="67"/>
        <v>10000</v>
      </c>
      <c r="J265" s="280">
        <f t="shared" si="68"/>
        <v>2000</v>
      </c>
      <c r="K265" s="280">
        <f>IF($F$8&gt;240,($O$8+$O$10),IF($A$264=$F$8,$K$24*$G$8,""))</f>
        <v>150000</v>
      </c>
      <c r="L265" s="280">
        <f t="shared" si="69"/>
        <v>25000</v>
      </c>
      <c r="M265" s="280">
        <f t="shared" si="70"/>
        <v>10000</v>
      </c>
      <c r="N265" s="280">
        <f>IF($F$8&gt;240,($N$14),IF(A264=$F$8,N253+N241+N229+N217+N205+N193+N181+N169+N157+N145+N133+N121+N109+N97+N85+N73+N61+N49+N37+N24,""))</f>
        <v>0</v>
      </c>
      <c r="P265" s="294">
        <f ca="1">IF(A264=$D$8,XIRR(R$24:R264,C$24:C264),"")</f>
        <v>8.0560901761055029E-2</v>
      </c>
      <c r="Q265" s="280">
        <f t="shared" ca="1" si="63"/>
        <v>4144382.843276517</v>
      </c>
      <c r="R265" s="280"/>
    </row>
    <row r="266" spans="1:20" x14ac:dyDescent="0.35">
      <c r="A266" s="285" t="str">
        <f t="shared" si="62"/>
        <v/>
      </c>
    </row>
    <row r="267" spans="1:20" x14ac:dyDescent="0.35">
      <c r="A267" s="285" t="str">
        <f t="shared" si="62"/>
        <v/>
      </c>
    </row>
    <row r="268" spans="1:20" x14ac:dyDescent="0.35">
      <c r="A268" s="285" t="str">
        <f t="shared" si="62"/>
        <v/>
      </c>
    </row>
    <row r="269" spans="1:20" x14ac:dyDescent="0.35">
      <c r="A269" s="285" t="str">
        <f t="shared" si="62"/>
        <v/>
      </c>
    </row>
    <row r="270" spans="1:20" x14ac:dyDescent="0.35">
      <c r="A270" s="285" t="str">
        <f t="shared" si="62"/>
        <v/>
      </c>
    </row>
    <row r="271" spans="1:20" x14ac:dyDescent="0.35">
      <c r="A271" s="285" t="str">
        <f t="shared" si="62"/>
        <v/>
      </c>
    </row>
    <row r="272" spans="1:20" x14ac:dyDescent="0.35">
      <c r="A272" s="285" t="str">
        <f t="shared" si="62"/>
        <v/>
      </c>
    </row>
    <row r="273" spans="1:1" x14ac:dyDescent="0.35">
      <c r="A273" s="285" t="str">
        <f t="shared" si="62"/>
        <v/>
      </c>
    </row>
    <row r="274" spans="1:1" x14ac:dyDescent="0.35">
      <c r="A274" s="285" t="str">
        <f t="shared" si="62"/>
        <v/>
      </c>
    </row>
    <row r="275" spans="1:1" x14ac:dyDescent="0.35">
      <c r="A275" s="285" t="str">
        <f t="shared" si="62"/>
        <v/>
      </c>
    </row>
  </sheetData>
  <sheetProtection algorithmName="SHA-512" hashValue="Sqmw/kFaBQSMcZ217yPgY8jwjx9G0Vgvv8Kx4q4zeJZaA2Z05wNYZVNnneZZuYTUaFUwkVQtOMoQg2b7L+6Q7w==" saltValue="GE4MFRjeUvfcVQllFv/9Mg==" spinCount="100000" sheet="1" objects="1" scenarios="1"/>
  <protectedRanges>
    <protectedRange password="C797" sqref="B25:B264" name="Диапазон1_1"/>
    <protectedRange password="C797" sqref="P22:Q23" name="Диапазон1"/>
    <protectedRange password="C797" sqref="R24" name="Диапазон1_2"/>
    <protectedRange password="C797" sqref="R25:R264" name="Диапазон1_2_1"/>
    <protectedRange password="C797" sqref="N24:N36 N38:N48 N50:N60 N62:N72 N74:N84 N86:N96 N98:N108 N110:N120 N122:N132 N134:N144 N146:N156 N158:N168 N170:N180 N182:N192 N194:N204 N206:N216 N218:N228 N230:N240 N242:N252 N254:N264" name="Диапазон1_2_2"/>
  </protectedRanges>
  <mergeCells count="24">
    <mergeCell ref="I11:M11"/>
    <mergeCell ref="N11:O11"/>
    <mergeCell ref="A1:Q1"/>
    <mergeCell ref="H3:M3"/>
    <mergeCell ref="N3:O3"/>
    <mergeCell ref="H4:M4"/>
    <mergeCell ref="N4:O4"/>
    <mergeCell ref="N5:O5"/>
    <mergeCell ref="I6:O6"/>
    <mergeCell ref="N7:O7"/>
    <mergeCell ref="I9:M9"/>
    <mergeCell ref="N9:O9"/>
    <mergeCell ref="I10:M10"/>
    <mergeCell ref="H14:H15"/>
    <mergeCell ref="N14:O14"/>
    <mergeCell ref="N15:O15"/>
    <mergeCell ref="I14:M14"/>
    <mergeCell ref="I15:M15"/>
    <mergeCell ref="I22:L22"/>
    <mergeCell ref="N22:N23"/>
    <mergeCell ref="R22:R23"/>
    <mergeCell ref="N12:O12"/>
    <mergeCell ref="N13:O13"/>
    <mergeCell ref="I13:L13"/>
  </mergeCells>
  <dataValidations count="1">
    <dataValidation type="list" allowBlank="1" showInputMessage="1" showErrorMessage="1" sqref="Q8:R8">
      <formula1>$S$8:$S$9</formula1>
    </dataValidation>
  </dataValidations>
  <pageMargins left="0.7" right="0.7" top="0.75" bottom="0.75" header="0.3" footer="0.3"/>
  <pageSetup paperSize="9" scale="35"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A20" zoomScale="90" zoomScaleNormal="90" workbookViewId="0">
      <selection activeCell="K8" sqref="K8"/>
    </sheetView>
  </sheetViews>
  <sheetFormatPr defaultRowHeight="14.5" x14ac:dyDescent="0.35"/>
  <cols>
    <col min="2" max="2" width="10.453125" bestFit="1" customWidth="1"/>
    <col min="3" max="3" width="12.81640625" customWidth="1"/>
    <col min="4" max="4" width="16" customWidth="1"/>
    <col min="5" max="5" width="15.453125" customWidth="1"/>
    <col min="6" max="6" width="14.1796875" customWidth="1"/>
    <col min="7" max="7" width="17.1796875" customWidth="1"/>
    <col min="8" max="8" width="13.1796875" customWidth="1"/>
    <col min="9" max="14" width="13.453125" customWidth="1"/>
    <col min="15" max="15" width="13.1796875" customWidth="1"/>
    <col min="16" max="16" width="14.54296875" style="158" customWidth="1"/>
  </cols>
  <sheetData>
    <row r="1" spans="1:16" x14ac:dyDescent="0.35">
      <c r="A1" s="20" t="s">
        <v>83</v>
      </c>
    </row>
    <row r="2" spans="1:16" ht="40.5" customHeight="1" x14ac:dyDescent="0.35">
      <c r="A2" s="433" t="s">
        <v>121</v>
      </c>
      <c r="B2" s="433"/>
      <c r="C2" s="433"/>
      <c r="D2" s="433"/>
      <c r="E2" s="433"/>
      <c r="F2" s="433"/>
      <c r="G2" s="433"/>
      <c r="H2" s="433"/>
      <c r="I2" s="433"/>
      <c r="J2" s="433"/>
      <c r="K2" s="433"/>
      <c r="L2" s="433"/>
      <c r="M2" s="433"/>
      <c r="N2" s="433"/>
      <c r="O2" s="433"/>
      <c r="P2" s="433"/>
    </row>
    <row r="4" spans="1:16" x14ac:dyDescent="0.35">
      <c r="A4" s="179" t="str">
        <f>'график анн Базова'!C4</f>
        <v>Вартість нерухомості, грн</v>
      </c>
      <c r="B4" s="179"/>
      <c r="C4" s="179"/>
      <c r="D4" s="179"/>
      <c r="E4" s="434">
        <f>'график анн Базова'!F4</f>
        <v>2500000</v>
      </c>
      <c r="F4" s="434"/>
      <c r="G4" s="23"/>
      <c r="H4" s="23"/>
      <c r="I4" s="26"/>
      <c r="J4" s="26"/>
      <c r="K4" s="26"/>
      <c r="L4" s="26"/>
      <c r="M4" s="26"/>
      <c r="N4" s="22" t="s">
        <v>174</v>
      </c>
      <c r="O4" s="22"/>
      <c r="P4" s="22"/>
    </row>
    <row r="5" spans="1:16" ht="15" customHeight="1" x14ac:dyDescent="0.35">
      <c r="A5" s="179" t="str">
        <f>'график анн Базова'!C5</f>
        <v>Перший внесок, грн</v>
      </c>
      <c r="B5" s="179"/>
      <c r="C5" s="179"/>
      <c r="D5" s="179"/>
      <c r="E5" s="435">
        <f>'график анн Базова'!F5</f>
        <v>500000</v>
      </c>
      <c r="F5" s="435"/>
      <c r="G5" s="29"/>
      <c r="H5" s="29"/>
      <c r="I5" s="30"/>
      <c r="J5" s="30"/>
      <c r="K5" s="30"/>
      <c r="L5" s="30"/>
      <c r="M5" s="30"/>
      <c r="N5" s="439" t="s">
        <v>175</v>
      </c>
      <c r="O5" s="440"/>
      <c r="P5" s="437">
        <f>I29</f>
        <v>10000</v>
      </c>
    </row>
    <row r="6" spans="1:16" ht="22.5" customHeight="1" x14ac:dyDescent="0.35">
      <c r="A6" s="21" t="s">
        <v>84</v>
      </c>
      <c r="B6" s="21"/>
      <c r="C6" s="21"/>
      <c r="D6" s="21"/>
      <c r="E6" s="436">
        <f>'график анн Базова'!F7</f>
        <v>2000000</v>
      </c>
      <c r="F6" s="436"/>
      <c r="G6" s="29"/>
      <c r="H6" s="29"/>
      <c r="I6" s="30"/>
      <c r="J6" s="30"/>
      <c r="K6" s="30"/>
      <c r="L6" s="30"/>
      <c r="M6" s="30"/>
      <c r="N6" s="441"/>
      <c r="O6" s="442"/>
      <c r="P6" s="438"/>
    </row>
    <row r="7" spans="1:16" x14ac:dyDescent="0.35">
      <c r="A7" s="21" t="s">
        <v>85</v>
      </c>
      <c r="B7" s="21"/>
      <c r="C7" s="21"/>
      <c r="D7" s="21"/>
      <c r="E7" s="452">
        <f ca="1">'график анн Базова'!F3</f>
        <v>44487</v>
      </c>
      <c r="F7" s="453"/>
      <c r="G7" s="31"/>
      <c r="H7" s="31"/>
      <c r="I7" s="30"/>
      <c r="J7" s="30"/>
      <c r="K7" s="30"/>
      <c r="L7" s="30"/>
      <c r="M7" s="30"/>
      <c r="N7" s="443" t="s">
        <v>141</v>
      </c>
      <c r="O7" s="444"/>
      <c r="P7" s="437">
        <f>K29+L29+N29+'график анн Базова'!P9+'график анн Базова'!P11</f>
        <v>187000</v>
      </c>
    </row>
    <row r="8" spans="1:16" x14ac:dyDescent="0.35">
      <c r="A8" s="21" t="s">
        <v>86</v>
      </c>
      <c r="B8" s="21"/>
      <c r="C8" s="21"/>
      <c r="D8" s="21"/>
      <c r="E8" s="452">
        <f ca="1">EDATE(E7,'график анн Базова'!F8)-1</f>
        <v>51791</v>
      </c>
      <c r="F8" s="453"/>
      <c r="G8" s="29"/>
      <c r="H8" s="29"/>
      <c r="I8" s="30"/>
      <c r="J8" s="30"/>
      <c r="K8" s="30"/>
      <c r="L8" s="30"/>
      <c r="M8" s="30"/>
      <c r="N8" s="445"/>
      <c r="O8" s="446"/>
      <c r="P8" s="438"/>
    </row>
    <row r="9" spans="1:16" x14ac:dyDescent="0.35">
      <c r="A9" s="21"/>
      <c r="B9" s="21"/>
      <c r="C9" s="21"/>
      <c r="D9" s="21"/>
      <c r="E9" s="27"/>
      <c r="F9" s="28"/>
      <c r="G9" s="29"/>
      <c r="H9" s="29"/>
      <c r="I9" s="30"/>
      <c r="J9" s="30"/>
      <c r="K9" s="30"/>
      <c r="L9" s="30"/>
      <c r="M9" s="30"/>
      <c r="N9" s="30"/>
      <c r="O9" s="25"/>
      <c r="P9" s="159"/>
    </row>
    <row r="10" spans="1:16" x14ac:dyDescent="0.35">
      <c r="A10" s="21" t="s">
        <v>87</v>
      </c>
      <c r="B10" s="21"/>
      <c r="C10" s="21"/>
      <c r="D10" s="21"/>
      <c r="E10" s="459">
        <f>'график анн Базова'!F8</f>
        <v>240</v>
      </c>
      <c r="F10" s="459"/>
      <c r="G10" s="29"/>
      <c r="H10" s="29"/>
      <c r="I10" s="30"/>
      <c r="J10" s="30"/>
      <c r="K10" s="30"/>
      <c r="L10" s="30"/>
      <c r="M10" s="30"/>
      <c r="N10" s="30"/>
      <c r="O10" s="25"/>
      <c r="P10" s="159"/>
    </row>
    <row r="11" spans="1:16" x14ac:dyDescent="0.35">
      <c r="A11" s="21"/>
      <c r="B11" s="21"/>
      <c r="C11" s="21"/>
      <c r="D11" s="21"/>
      <c r="E11" s="27"/>
      <c r="F11" s="28"/>
      <c r="G11" s="31"/>
      <c r="H11" s="31"/>
      <c r="I11" s="30"/>
      <c r="J11" s="30"/>
      <c r="K11" s="30"/>
      <c r="L11" s="30"/>
      <c r="M11" s="30"/>
      <c r="N11" s="30"/>
      <c r="O11" s="32"/>
      <c r="P11" s="160"/>
    </row>
    <row r="12" spans="1:16" x14ac:dyDescent="0.35">
      <c r="A12" s="21" t="s">
        <v>88</v>
      </c>
      <c r="B12" s="21"/>
      <c r="C12" s="21"/>
      <c r="D12" s="21"/>
      <c r="E12" s="460" t="s">
        <v>89</v>
      </c>
      <c r="F12" s="460"/>
      <c r="G12" s="29"/>
      <c r="H12" s="29"/>
      <c r="I12" s="30"/>
      <c r="J12" s="30"/>
      <c r="K12" s="30"/>
      <c r="L12" s="30"/>
      <c r="M12" s="30"/>
      <c r="N12" s="30"/>
      <c r="O12" s="33"/>
      <c r="P12" s="161"/>
    </row>
    <row r="13" spans="1:16" x14ac:dyDescent="0.35">
      <c r="A13" s="21" t="s">
        <v>90</v>
      </c>
      <c r="B13" s="21"/>
      <c r="C13" s="21"/>
      <c r="D13" s="21"/>
      <c r="E13" s="460" t="s">
        <v>91</v>
      </c>
      <c r="F13" s="460"/>
      <c r="G13" s="29"/>
      <c r="H13" s="29"/>
      <c r="I13" s="24"/>
      <c r="J13" s="24"/>
      <c r="K13" s="24"/>
      <c r="L13" s="24"/>
      <c r="M13" s="24"/>
      <c r="N13" s="24"/>
      <c r="O13" s="25"/>
      <c r="P13" s="159"/>
    </row>
    <row r="14" spans="1:16" hidden="1" x14ac:dyDescent="0.35">
      <c r="A14" s="21"/>
      <c r="B14" s="21"/>
      <c r="C14" s="21"/>
      <c r="D14" s="21"/>
      <c r="E14" s="48"/>
      <c r="F14" s="48"/>
      <c r="G14" s="29"/>
      <c r="H14" s="29"/>
      <c r="I14" s="24"/>
      <c r="J14" s="24"/>
      <c r="K14" s="24"/>
      <c r="L14" s="24"/>
      <c r="M14" s="24"/>
      <c r="N14" s="24"/>
      <c r="O14" s="25"/>
      <c r="P14" s="159"/>
    </row>
    <row r="15" spans="1:16" hidden="1" x14ac:dyDescent="0.35">
      <c r="A15" s="454" t="s">
        <v>92</v>
      </c>
      <c r="B15" s="454"/>
      <c r="C15" s="454"/>
      <c r="D15" s="454"/>
      <c r="E15" s="454"/>
      <c r="F15" s="454"/>
      <c r="G15" s="34"/>
      <c r="H15" s="34"/>
      <c r="I15" s="24"/>
      <c r="J15" s="24"/>
      <c r="K15" s="24"/>
      <c r="L15" s="24"/>
      <c r="M15" s="24"/>
      <c r="N15" s="24"/>
      <c r="O15" s="25"/>
      <c r="P15" s="159"/>
    </row>
    <row r="16" spans="1:16" hidden="1" x14ac:dyDescent="0.35">
      <c r="A16" s="447" t="s">
        <v>93</v>
      </c>
      <c r="B16" s="448"/>
      <c r="C16" s="35"/>
      <c r="D16" s="35"/>
      <c r="E16" s="35" t="s">
        <v>94</v>
      </c>
      <c r="F16" s="36" t="s">
        <v>95</v>
      </c>
      <c r="G16" s="36" t="s">
        <v>96</v>
      </c>
      <c r="H16" s="71"/>
      <c r="I16" s="37"/>
      <c r="J16" s="37"/>
      <c r="K16" s="37"/>
      <c r="L16" s="37"/>
      <c r="M16" s="37"/>
      <c r="N16" s="37"/>
      <c r="O16" s="25"/>
      <c r="P16" s="159"/>
    </row>
    <row r="17" spans="1:16" hidden="1" x14ac:dyDescent="0.35">
      <c r="A17" s="38"/>
      <c r="B17" s="39"/>
      <c r="C17" s="35"/>
      <c r="D17" s="35"/>
      <c r="E17" s="35"/>
      <c r="F17" s="36"/>
      <c r="G17" s="36"/>
      <c r="H17" s="71"/>
      <c r="I17" s="37"/>
      <c r="J17" s="37"/>
      <c r="K17" s="37"/>
      <c r="L17" s="37"/>
      <c r="M17" s="37"/>
      <c r="N17" s="37"/>
      <c r="O17" s="41"/>
      <c r="P17" s="162"/>
    </row>
    <row r="18" spans="1:16" hidden="1" x14ac:dyDescent="0.35">
      <c r="A18" s="42" t="s">
        <v>101</v>
      </c>
      <c r="B18" s="40"/>
      <c r="C18" s="40"/>
      <c r="D18" s="40"/>
      <c r="E18" s="40"/>
      <c r="F18" s="40"/>
      <c r="G18" s="40"/>
      <c r="H18" s="40"/>
      <c r="I18" s="43"/>
      <c r="J18" s="43"/>
      <c r="K18" s="43"/>
      <c r="L18" s="43"/>
      <c r="M18" s="43"/>
      <c r="N18" s="43"/>
      <c r="O18" s="40"/>
      <c r="P18" s="163"/>
    </row>
    <row r="19" spans="1:16" hidden="1" x14ac:dyDescent="0.35">
      <c r="A19" s="44"/>
      <c r="B19" s="45"/>
      <c r="C19" s="45"/>
      <c r="D19" s="45"/>
      <c r="E19" s="45"/>
      <c r="F19" s="45"/>
      <c r="G19" s="45"/>
      <c r="H19" s="45"/>
      <c r="I19" s="45"/>
      <c r="J19" s="45"/>
      <c r="K19" s="45"/>
      <c r="L19" s="45"/>
      <c r="M19" s="45"/>
      <c r="N19" s="45"/>
      <c r="O19" s="46"/>
      <c r="P19" s="164"/>
    </row>
    <row r="20" spans="1:16" x14ac:dyDescent="0.35">
      <c r="A20" s="69"/>
      <c r="B20" s="69"/>
      <c r="C20" s="69"/>
      <c r="D20" s="69"/>
      <c r="E20" s="69"/>
      <c r="F20" s="69"/>
      <c r="G20" s="69"/>
      <c r="H20" s="69"/>
      <c r="I20" s="69"/>
      <c r="J20" s="69"/>
      <c r="K20" s="69"/>
      <c r="L20" s="69"/>
      <c r="M20" s="69"/>
      <c r="N20" s="69"/>
      <c r="O20" s="70"/>
      <c r="P20" s="165"/>
    </row>
    <row r="21" spans="1:16" ht="24" customHeight="1" x14ac:dyDescent="0.35">
      <c r="A21" s="449" t="s">
        <v>71</v>
      </c>
      <c r="B21" s="426" t="s">
        <v>72</v>
      </c>
      <c r="C21" s="455" t="s">
        <v>73</v>
      </c>
      <c r="D21" s="455" t="s">
        <v>74</v>
      </c>
      <c r="E21" s="456" t="s">
        <v>97</v>
      </c>
      <c r="F21" s="72" t="s">
        <v>98</v>
      </c>
      <c r="G21" s="73"/>
      <c r="H21" s="73"/>
      <c r="I21" s="73"/>
      <c r="J21" s="73"/>
      <c r="K21" s="429" t="s">
        <v>173</v>
      </c>
      <c r="L21" s="430"/>
      <c r="M21" s="199"/>
      <c r="N21" s="200"/>
      <c r="O21" s="426" t="s">
        <v>79</v>
      </c>
      <c r="P21" s="461" t="s">
        <v>99</v>
      </c>
    </row>
    <row r="22" spans="1:16" ht="72" customHeight="1" x14ac:dyDescent="0.35">
      <c r="A22" s="450"/>
      <c r="B22" s="421"/>
      <c r="C22" s="424"/>
      <c r="D22" s="424"/>
      <c r="E22" s="457"/>
      <c r="F22" s="423" t="s">
        <v>75</v>
      </c>
      <c r="G22" s="420" t="s">
        <v>76</v>
      </c>
      <c r="H22" s="423" t="s">
        <v>119</v>
      </c>
      <c r="I22" s="423" t="s">
        <v>100</v>
      </c>
      <c r="J22" s="427" t="s">
        <v>151</v>
      </c>
      <c r="K22" s="427" t="s">
        <v>142</v>
      </c>
      <c r="L22" s="431" t="s">
        <v>143</v>
      </c>
      <c r="M22" s="427" t="s">
        <v>144</v>
      </c>
      <c r="N22" s="427" t="s">
        <v>145</v>
      </c>
      <c r="O22" s="421"/>
      <c r="P22" s="461"/>
    </row>
    <row r="23" spans="1:16" ht="45" customHeight="1" x14ac:dyDescent="0.35">
      <c r="A23" s="450"/>
      <c r="B23" s="421"/>
      <c r="C23" s="424"/>
      <c r="D23" s="424"/>
      <c r="E23" s="457"/>
      <c r="F23" s="424"/>
      <c r="G23" s="421"/>
      <c r="H23" s="424"/>
      <c r="I23" s="424"/>
      <c r="J23" s="428"/>
      <c r="K23" s="428"/>
      <c r="L23" s="432"/>
      <c r="M23" s="428"/>
      <c r="N23" s="428"/>
      <c r="O23" s="421"/>
      <c r="P23" s="461"/>
    </row>
    <row r="24" spans="1:16" hidden="1" x14ac:dyDescent="0.35">
      <c r="A24" s="450"/>
      <c r="B24" s="421"/>
      <c r="C24" s="424"/>
      <c r="D24" s="424"/>
      <c r="E24" s="457"/>
      <c r="F24" s="424"/>
      <c r="G24" s="421"/>
      <c r="H24" s="424"/>
      <c r="I24" s="424"/>
      <c r="J24" s="180"/>
      <c r="K24" s="180"/>
      <c r="L24" s="180"/>
      <c r="M24" s="180"/>
      <c r="N24" s="180"/>
      <c r="O24" s="421"/>
      <c r="P24" s="461"/>
    </row>
    <row r="25" spans="1:16" hidden="1" x14ac:dyDescent="0.35">
      <c r="A25" s="450"/>
      <c r="B25" s="421"/>
      <c r="C25" s="424"/>
      <c r="D25" s="424"/>
      <c r="E25" s="457"/>
      <c r="F25" s="424"/>
      <c r="G25" s="421"/>
      <c r="H25" s="424"/>
      <c r="I25" s="424"/>
      <c r="J25" s="180"/>
      <c r="K25" s="180"/>
      <c r="L25" s="180"/>
      <c r="M25" s="180"/>
      <c r="N25" s="180"/>
      <c r="O25" s="421"/>
      <c r="P25" s="461"/>
    </row>
    <row r="26" spans="1:16" hidden="1" x14ac:dyDescent="0.35">
      <c r="A26" s="450"/>
      <c r="B26" s="421"/>
      <c r="C26" s="424"/>
      <c r="D26" s="424"/>
      <c r="E26" s="457"/>
      <c r="F26" s="424"/>
      <c r="G26" s="421"/>
      <c r="H26" s="424"/>
      <c r="I26" s="424"/>
      <c r="J26" s="180"/>
      <c r="K26" s="180"/>
      <c r="L26" s="180"/>
      <c r="M26" s="180"/>
      <c r="N26" s="180"/>
      <c r="O26" s="421"/>
      <c r="P26" s="461"/>
    </row>
    <row r="27" spans="1:16" hidden="1" x14ac:dyDescent="0.35">
      <c r="A27" s="450"/>
      <c r="B27" s="421"/>
      <c r="C27" s="424"/>
      <c r="D27" s="424"/>
      <c r="E27" s="457"/>
      <c r="F27" s="424"/>
      <c r="G27" s="421"/>
      <c r="H27" s="424"/>
      <c r="I27" s="424"/>
      <c r="J27" s="180"/>
      <c r="K27" s="180"/>
      <c r="L27" s="180"/>
      <c r="M27" s="180"/>
      <c r="N27" s="180"/>
      <c r="O27" s="421"/>
      <c r="P27" s="461"/>
    </row>
    <row r="28" spans="1:16" hidden="1" x14ac:dyDescent="0.35">
      <c r="A28" s="451"/>
      <c r="B28" s="422"/>
      <c r="C28" s="425"/>
      <c r="D28" s="425"/>
      <c r="E28" s="458"/>
      <c r="F28" s="425"/>
      <c r="G28" s="422"/>
      <c r="H28" s="425"/>
      <c r="I28" s="74"/>
      <c r="J28" s="181"/>
      <c r="K28" s="181"/>
      <c r="L28" s="181"/>
      <c r="M28" s="181"/>
      <c r="N28" s="181"/>
      <c r="O28" s="422"/>
      <c r="P28" s="461"/>
    </row>
    <row r="29" spans="1:16" x14ac:dyDescent="0.35">
      <c r="A29" s="148"/>
      <c r="B29" s="149">
        <f ca="1">'график анн Базова'!C24</f>
        <v>44487</v>
      </c>
      <c r="C29" s="150"/>
      <c r="D29" s="151">
        <f>'график анн Базова'!E24</f>
        <v>2000000</v>
      </c>
      <c r="E29" s="152"/>
      <c r="F29" s="151"/>
      <c r="G29" s="152"/>
      <c r="H29" s="152">
        <f>'график анн Базова'!O24</f>
        <v>0</v>
      </c>
      <c r="I29" s="152">
        <f>'график анн Базова'!M24</f>
        <v>10000</v>
      </c>
      <c r="J29" s="152">
        <f>'график анн Базова'!N24</f>
        <v>0</v>
      </c>
      <c r="K29" s="152">
        <f>'график анн Базова'!I24</f>
        <v>10000</v>
      </c>
      <c r="L29" s="152">
        <f>'график анн Базова'!J24</f>
        <v>2000</v>
      </c>
      <c r="M29" s="202">
        <f>'график анн Базова'!K24</f>
        <v>7500</v>
      </c>
      <c r="N29" s="152">
        <f>'график анн Базова'!L24</f>
        <v>25000</v>
      </c>
      <c r="O29" s="153"/>
      <c r="P29" s="166"/>
    </row>
    <row r="30" spans="1:16" x14ac:dyDescent="0.35">
      <c r="A30" s="154">
        <f>'график анн Базова'!A25</f>
        <v>1</v>
      </c>
      <c r="B30" s="155">
        <f ca="1">'график анн Базова'!C25</f>
        <v>44518</v>
      </c>
      <c r="C30" s="156">
        <f ca="1">'график анн Базова'!D25</f>
        <v>31</v>
      </c>
      <c r="D30" s="47">
        <f ca="1">'график анн Базова'!E25</f>
        <v>1998611.8562239483</v>
      </c>
      <c r="E30" s="47">
        <f>'график анн Базова'!H25</f>
        <v>23232.527337695603</v>
      </c>
      <c r="F30" s="47">
        <f ca="1">'график анн Базова'!F25</f>
        <v>1388.1437760517692</v>
      </c>
      <c r="G30" s="47">
        <f ca="1">'график анн Базова'!G25</f>
        <v>21844.383561643834</v>
      </c>
      <c r="H30" s="157">
        <f>'график анн Базова'!O25</f>
        <v>0</v>
      </c>
      <c r="I30" s="157">
        <f>'график анн Базова'!M25</f>
        <v>0</v>
      </c>
      <c r="J30" s="157">
        <f>'график анн Базова'!N25</f>
        <v>0</v>
      </c>
      <c r="K30" s="157">
        <f>'график анн Базова'!I25</f>
        <v>0</v>
      </c>
      <c r="L30" s="157">
        <f>'график анн Базова'!J25</f>
        <v>0</v>
      </c>
      <c r="M30" s="157">
        <f>'график анн Базова'!K25</f>
        <v>0</v>
      </c>
      <c r="N30" s="157">
        <f>'график анн Базова'!L25</f>
        <v>0</v>
      </c>
      <c r="O30" s="51" t="str">
        <f>'график анн Базова'!P25</f>
        <v/>
      </c>
      <c r="P30" s="49">
        <f>'график анн Базова'!Q25</f>
        <v>0</v>
      </c>
    </row>
    <row r="31" spans="1:16" x14ac:dyDescent="0.35">
      <c r="A31" s="154">
        <f>'график анн Базова'!A26</f>
        <v>2</v>
      </c>
      <c r="B31" s="155">
        <f ca="1">'график анн Базова'!C26</f>
        <v>44548</v>
      </c>
      <c r="C31" s="156">
        <f ca="1">'график анн Базова'!D26</f>
        <v>30</v>
      </c>
      <c r="D31" s="47">
        <f ca="1">'график анн Базова'!E26</f>
        <v>1996504.3824240938</v>
      </c>
      <c r="E31" s="47">
        <f ca="1">'график анн Базова'!H26</f>
        <v>23232.527337695603</v>
      </c>
      <c r="F31" s="47">
        <f ca="1">'график анн Базова'!F26</f>
        <v>2107.4737998545279</v>
      </c>
      <c r="G31" s="47">
        <f ca="1">'график анн Базова'!G26</f>
        <v>21125.053537841075</v>
      </c>
      <c r="H31" s="157">
        <f>'график анн Базова'!O26</f>
        <v>0</v>
      </c>
      <c r="I31" s="157">
        <f>'график анн Базова'!M26</f>
        <v>0</v>
      </c>
      <c r="J31" s="157">
        <f>'график анн Базова'!N26</f>
        <v>0</v>
      </c>
      <c r="K31" s="157">
        <f>'график анн Базова'!I26</f>
        <v>0</v>
      </c>
      <c r="L31" s="157">
        <f>'график анн Базова'!J26</f>
        <v>0</v>
      </c>
      <c r="M31" s="157">
        <f>'график анн Базова'!K26</f>
        <v>0</v>
      </c>
      <c r="N31" s="157">
        <f>'график анн Базова'!L26</f>
        <v>0</v>
      </c>
      <c r="O31" s="51" t="str">
        <f>'график анн Базова'!P26</f>
        <v/>
      </c>
      <c r="P31" s="49">
        <f>'график анн Базова'!Q26</f>
        <v>0</v>
      </c>
    </row>
    <row r="32" spans="1:16" x14ac:dyDescent="0.35">
      <c r="A32" s="154">
        <f>'график анн Базова'!A27</f>
        <v>3</v>
      </c>
      <c r="B32" s="155">
        <f ca="1">'график анн Базова'!C27</f>
        <v>44579</v>
      </c>
      <c r="C32" s="156">
        <f ca="1">'график анн Базова'!D27</f>
        <v>31</v>
      </c>
      <c r="D32" s="47">
        <f ca="1">'график анн Базова'!E27</f>
        <v>1995078.0588424855</v>
      </c>
      <c r="E32" s="47">
        <f ca="1">'график анн Базова'!H27</f>
        <v>23232.527337695603</v>
      </c>
      <c r="F32" s="47">
        <f ca="1">'график анн Базова'!F27</f>
        <v>1426.323581608227</v>
      </c>
      <c r="G32" s="47">
        <f ca="1">'график анн Базова'!G27</f>
        <v>21806.203756087376</v>
      </c>
      <c r="H32" s="157">
        <f>'график анн Базова'!O27</f>
        <v>0</v>
      </c>
      <c r="I32" s="157">
        <f>'график анн Базова'!M27</f>
        <v>0</v>
      </c>
      <c r="J32" s="157">
        <f>'график анн Базова'!N27</f>
        <v>0</v>
      </c>
      <c r="K32" s="157">
        <f>'график анн Базова'!I27</f>
        <v>0</v>
      </c>
      <c r="L32" s="157">
        <f>'график анн Базова'!J27</f>
        <v>0</v>
      </c>
      <c r="M32" s="157">
        <f>'график анн Базова'!K27</f>
        <v>0</v>
      </c>
      <c r="N32" s="157">
        <f>'график анн Базова'!L27</f>
        <v>0</v>
      </c>
      <c r="O32" s="51" t="str">
        <f>'график анн Базова'!P27</f>
        <v/>
      </c>
      <c r="P32" s="147" t="str">
        <f>'график анн Базова'!Q27</f>
        <v/>
      </c>
    </row>
    <row r="33" spans="1:16" x14ac:dyDescent="0.35">
      <c r="A33" s="154">
        <f>'график анн Базова'!A28</f>
        <v>4</v>
      </c>
      <c r="B33" s="155">
        <f ca="1">'график анн Базова'!C28</f>
        <v>44610</v>
      </c>
      <c r="C33" s="156">
        <f ca="1">'график анн Базова'!D28</f>
        <v>31</v>
      </c>
      <c r="D33" s="47">
        <f ca="1">'график анн Базова'!E28</f>
        <v>1993636.1566811774</v>
      </c>
      <c r="E33" s="47">
        <f ca="1">'график анн Базова'!H28</f>
        <v>23232.527337695603</v>
      </c>
      <c r="F33" s="47">
        <f ca="1">'график анн Базова'!F28</f>
        <v>1441.9021613080622</v>
      </c>
      <c r="G33" s="47">
        <f ca="1">'график анн Базова'!G28</f>
        <v>21790.625176387541</v>
      </c>
      <c r="H33" s="157">
        <f>'график анн Базова'!O28</f>
        <v>0</v>
      </c>
      <c r="I33" s="157">
        <f>'график анн Базова'!M28</f>
        <v>0</v>
      </c>
      <c r="J33" s="157">
        <f>'график анн Базова'!N28</f>
        <v>0</v>
      </c>
      <c r="K33" s="157">
        <f>'график анн Базова'!I28</f>
        <v>0</v>
      </c>
      <c r="L33" s="157">
        <f>'график анн Базова'!J28</f>
        <v>0</v>
      </c>
      <c r="M33" s="157">
        <f>'график анн Базова'!K28</f>
        <v>0</v>
      </c>
      <c r="N33" s="157">
        <f>'график анн Базова'!L28</f>
        <v>0</v>
      </c>
      <c r="O33" s="51" t="str">
        <f>'график анн Базова'!P28</f>
        <v/>
      </c>
      <c r="P33" s="147" t="str">
        <f>'график анн Базова'!Q28</f>
        <v/>
      </c>
    </row>
    <row r="34" spans="1:16" x14ac:dyDescent="0.35">
      <c r="A34" s="154">
        <f>'график анн Базова'!A29</f>
        <v>5</v>
      </c>
      <c r="B34" s="155">
        <f ca="1">'график анн Базова'!C29</f>
        <v>44638</v>
      </c>
      <c r="C34" s="156">
        <f ca="1">'график анн Базова'!D29</f>
        <v>28</v>
      </c>
      <c r="D34" s="47">
        <f ca="1">'график анн Базова'!E29</f>
        <v>1990071.2596804067</v>
      </c>
      <c r="E34" s="47">
        <f ca="1">'график анн Базова'!H29</f>
        <v>23232.527337695603</v>
      </c>
      <c r="F34" s="47">
        <f ca="1">'график анн Базова'!F29</f>
        <v>3564.8970007707176</v>
      </c>
      <c r="G34" s="47">
        <f ca="1">'график анн Базова'!G29</f>
        <v>19667.630336924885</v>
      </c>
      <c r="H34" s="157">
        <f>'график анн Базова'!O29</f>
        <v>0</v>
      </c>
      <c r="I34" s="157" t="str">
        <f>'график анн Базова'!M29</f>
        <v/>
      </c>
      <c r="J34" s="157" t="str">
        <f>'график анн Базова'!N29</f>
        <v/>
      </c>
      <c r="K34" s="157" t="str">
        <f>'график анн Базова'!I29</f>
        <v/>
      </c>
      <c r="L34" s="157" t="str">
        <f>'график анн Базова'!J29</f>
        <v/>
      </c>
      <c r="M34" s="157">
        <f>'график анн Базова'!K29</f>
        <v>0</v>
      </c>
      <c r="N34" s="157" t="str">
        <f>'график анн Базова'!L29</f>
        <v/>
      </c>
      <c r="O34" s="51" t="str">
        <f>'график анн Базова'!P29</f>
        <v/>
      </c>
      <c r="P34" s="147" t="str">
        <f>'график анн Базова'!Q29</f>
        <v/>
      </c>
    </row>
    <row r="35" spans="1:16" x14ac:dyDescent="0.35">
      <c r="A35" s="154">
        <f>'график анн Базова'!A30</f>
        <v>6</v>
      </c>
      <c r="B35" s="155">
        <f ca="1">'график анн Базова'!C30</f>
        <v>44669</v>
      </c>
      <c r="C35" s="156">
        <f ca="1">'график анн Базова'!D30</f>
        <v>31</v>
      </c>
      <c r="D35" s="47">
        <f ca="1">'график анн Базова'!E30</f>
        <v>1988574.6722984423</v>
      </c>
      <c r="E35" s="47">
        <f ca="1">'график анн Базова'!H30</f>
        <v>23232.527337695603</v>
      </c>
      <c r="F35" s="47">
        <f ca="1">'график анн Базова'!F30</f>
        <v>1496.5873819643457</v>
      </c>
      <c r="G35" s="47">
        <f ca="1">'график анн Базова'!G30</f>
        <v>21735.939955731257</v>
      </c>
      <c r="H35" s="157">
        <f>'график анн Базова'!O30</f>
        <v>0</v>
      </c>
      <c r="I35" s="157" t="str">
        <f>'график анн Базова'!M30</f>
        <v/>
      </c>
      <c r="J35" s="157" t="str">
        <f>'график анн Базова'!N30</f>
        <v/>
      </c>
      <c r="K35" s="157" t="str">
        <f>'график анн Базова'!I30</f>
        <v/>
      </c>
      <c r="L35" s="157" t="str">
        <f>'график анн Базова'!J30</f>
        <v/>
      </c>
      <c r="M35" s="157">
        <f>'график анн Базова'!K30</f>
        <v>0</v>
      </c>
      <c r="N35" s="157" t="str">
        <f>'график анн Базова'!L30</f>
        <v/>
      </c>
      <c r="O35" s="51" t="str">
        <f>'график анн Базова'!P30</f>
        <v/>
      </c>
      <c r="P35" s="147" t="str">
        <f>'график анн Базова'!Q30</f>
        <v/>
      </c>
    </row>
    <row r="36" spans="1:16" x14ac:dyDescent="0.35">
      <c r="A36" s="154">
        <f>'график анн Базова'!A31</f>
        <v>7</v>
      </c>
      <c r="B36" s="155">
        <f ca="1">'график анн Базова'!C31</f>
        <v>44699</v>
      </c>
      <c r="C36" s="156">
        <f ca="1">'график анн Базова'!D31</f>
        <v>30</v>
      </c>
      <c r="D36" s="47">
        <f ca="1">'график анн Базова'!E31</f>
        <v>1986361.1068394519</v>
      </c>
      <c r="E36" s="47">
        <f ca="1">'график анн Базова'!H31</f>
        <v>23232.527337695603</v>
      </c>
      <c r="F36" s="47">
        <f ca="1">'график анн Базова'!F31</f>
        <v>2213.5654589904261</v>
      </c>
      <c r="G36" s="47">
        <f ca="1">'график анн Базова'!G31</f>
        <v>21018.961878705177</v>
      </c>
      <c r="H36" s="157">
        <f>'график анн Базова'!O31</f>
        <v>0</v>
      </c>
      <c r="I36" s="157" t="str">
        <f>'график анн Базова'!M31</f>
        <v/>
      </c>
      <c r="J36" s="157" t="str">
        <f>'график анн Базова'!N31</f>
        <v/>
      </c>
      <c r="K36" s="157" t="str">
        <f>'график анн Базова'!I31</f>
        <v/>
      </c>
      <c r="L36" s="157" t="str">
        <f>'график анн Базова'!J31</f>
        <v/>
      </c>
      <c r="M36" s="157">
        <f>'график анн Базова'!K31</f>
        <v>0</v>
      </c>
      <c r="N36" s="157" t="str">
        <f>'график анн Базова'!L31</f>
        <v/>
      </c>
      <c r="O36" s="51" t="str">
        <f>'график анн Базова'!P31</f>
        <v/>
      </c>
      <c r="P36" s="147" t="str">
        <f>'график анн Базова'!Q31</f>
        <v/>
      </c>
    </row>
    <row r="37" spans="1:16" x14ac:dyDescent="0.35">
      <c r="A37" s="154">
        <f>'график анн Базова'!A32</f>
        <v>8</v>
      </c>
      <c r="B37" s="155">
        <f ca="1">'график анн Базова'!C32</f>
        <v>44730</v>
      </c>
      <c r="C37" s="156">
        <f ca="1">'график анн Базова'!D32</f>
        <v>31</v>
      </c>
      <c r="D37" s="47">
        <f ca="1">'график анн Базова'!E32</f>
        <v>1984823.9964566226</v>
      </c>
      <c r="E37" s="47">
        <f ca="1">'график анн Базова'!H32</f>
        <v>23232.527337695603</v>
      </c>
      <c r="F37" s="47">
        <f ca="1">'график анн Базова'!F32</f>
        <v>1537.1103828294144</v>
      </c>
      <c r="G37" s="47">
        <f ca="1">'график анн Базова'!G32</f>
        <v>21695.416954866188</v>
      </c>
      <c r="H37" s="157">
        <f>'график анн Базова'!O32</f>
        <v>0</v>
      </c>
      <c r="I37" s="157" t="str">
        <f>'график анн Базова'!M32</f>
        <v/>
      </c>
      <c r="J37" s="157" t="str">
        <f>'график анн Базова'!N32</f>
        <v/>
      </c>
      <c r="K37" s="157" t="str">
        <f>'график анн Базова'!I32</f>
        <v/>
      </c>
      <c r="L37" s="157" t="str">
        <f>'график анн Базова'!J32</f>
        <v/>
      </c>
      <c r="M37" s="157">
        <f>'график анн Базова'!K32</f>
        <v>0</v>
      </c>
      <c r="N37" s="157" t="str">
        <f>'график анн Базова'!L32</f>
        <v/>
      </c>
      <c r="O37" s="51" t="str">
        <f>'график анн Базова'!P32</f>
        <v/>
      </c>
      <c r="P37" s="147" t="str">
        <f>'график анн Базова'!Q32</f>
        <v/>
      </c>
    </row>
    <row r="38" spans="1:16" x14ac:dyDescent="0.35">
      <c r="A38" s="154">
        <f>'график анн Базова'!A33</f>
        <v>9</v>
      </c>
      <c r="B38" s="155">
        <f ca="1">'график анн Базова'!C33</f>
        <v>44760</v>
      </c>
      <c r="C38" s="156">
        <f ca="1">'график анн Базова'!D33</f>
        <v>30</v>
      </c>
      <c r="D38" s="47">
        <f ca="1">'график анн Базова'!E33</f>
        <v>1982570.7868677753</v>
      </c>
      <c r="E38" s="47">
        <f ca="1">'график анн Базова'!H33</f>
        <v>23232.527337695603</v>
      </c>
      <c r="F38" s="47">
        <f ca="1">'график анн Базова'!F33</f>
        <v>2253.2095888472504</v>
      </c>
      <c r="G38" s="47">
        <f ca="1">'график анн Базова'!G33</f>
        <v>20979.317748848352</v>
      </c>
      <c r="H38" s="157">
        <f>'график анн Базова'!O33</f>
        <v>0</v>
      </c>
      <c r="I38" s="157" t="str">
        <f>'график анн Базова'!M33</f>
        <v/>
      </c>
      <c r="J38" s="157" t="str">
        <f>'график анн Базова'!N33</f>
        <v/>
      </c>
      <c r="K38" s="157" t="str">
        <f>'график анн Базова'!I33</f>
        <v/>
      </c>
      <c r="L38" s="157" t="str">
        <f>'график анн Базова'!J33</f>
        <v/>
      </c>
      <c r="M38" s="157">
        <f>'график анн Базова'!K33</f>
        <v>0</v>
      </c>
      <c r="N38" s="157" t="str">
        <f>'график анн Базова'!L33</f>
        <v/>
      </c>
      <c r="O38" s="51" t="str">
        <f>'график анн Базова'!P33</f>
        <v/>
      </c>
      <c r="P38" s="147" t="str">
        <f>'график анн Базова'!Q33</f>
        <v/>
      </c>
    </row>
    <row r="39" spans="1:16" x14ac:dyDescent="0.35">
      <c r="A39" s="154">
        <f>'график анн Базова'!A34</f>
        <v>10</v>
      </c>
      <c r="B39" s="155">
        <f ca="1">'график анн Базова'!C34</f>
        <v>44791</v>
      </c>
      <c r="C39" s="156">
        <f ca="1">'график анн Базова'!D34</f>
        <v>31</v>
      </c>
      <c r="D39" s="47">
        <f ca="1">'график анн Базова'!E34</f>
        <v>1980992.2778833045</v>
      </c>
      <c r="E39" s="47">
        <f ca="1">'график анн Базова'!H34</f>
        <v>23232.527337695603</v>
      </c>
      <c r="F39" s="47">
        <f ca="1">'график анн Базова'!F34</f>
        <v>1578.5089844707472</v>
      </c>
      <c r="G39" s="47">
        <f ca="1">'график анн Базова'!G34</f>
        <v>21654.018353224856</v>
      </c>
      <c r="H39" s="157">
        <f>'график анн Базова'!O34</f>
        <v>0</v>
      </c>
      <c r="I39" s="157" t="str">
        <f>'график анн Базова'!M34</f>
        <v/>
      </c>
      <c r="J39" s="157" t="str">
        <f>'график анн Базова'!N34</f>
        <v/>
      </c>
      <c r="K39" s="157" t="str">
        <f>'график анн Базова'!I34</f>
        <v/>
      </c>
      <c r="L39" s="157" t="str">
        <f>'график анн Базова'!J34</f>
        <v/>
      </c>
      <c r="M39" s="157">
        <f>'график анн Базова'!K34</f>
        <v>0</v>
      </c>
      <c r="N39" s="157" t="str">
        <f>'график анн Базова'!L34</f>
        <v/>
      </c>
      <c r="O39" s="51" t="str">
        <f>'график анн Базова'!P34</f>
        <v/>
      </c>
      <c r="P39" s="147" t="str">
        <f>'график анн Базова'!Q34</f>
        <v/>
      </c>
    </row>
    <row r="40" spans="1:16" x14ac:dyDescent="0.35">
      <c r="A40" s="154">
        <f>'график анн Базова'!A35</f>
        <v>11</v>
      </c>
      <c r="B40" s="155">
        <f ca="1">'график анн Базова'!C35</f>
        <v>44822</v>
      </c>
      <c r="C40" s="156">
        <f ca="1">'график анн Базова'!D35</f>
        <v>31</v>
      </c>
      <c r="D40" s="47">
        <f ca="1">'график анн Базова'!E35</f>
        <v>1979396.5281209776</v>
      </c>
      <c r="E40" s="47">
        <f ca="1">'график анн Базова'!H35</f>
        <v>23232.527337695603</v>
      </c>
      <c r="F40" s="47">
        <f ca="1">'график анн Базова'!F35</f>
        <v>1595.7497623268864</v>
      </c>
      <c r="G40" s="47">
        <f ca="1">'график анн Базова'!G35</f>
        <v>21636.777575368716</v>
      </c>
      <c r="H40" s="157">
        <f>'график анн Базова'!O35</f>
        <v>0</v>
      </c>
      <c r="I40" s="157" t="str">
        <f>'график анн Базова'!M35</f>
        <v/>
      </c>
      <c r="J40" s="201" t="str">
        <f>'график анн Базова'!N35</f>
        <v/>
      </c>
      <c r="K40" s="157" t="str">
        <f>'график анн Базова'!I35</f>
        <v/>
      </c>
      <c r="L40" s="157" t="str">
        <f>'график анн Базова'!J35</f>
        <v/>
      </c>
      <c r="M40" s="157">
        <f>'график анн Базова'!K35</f>
        <v>0</v>
      </c>
      <c r="N40" s="157" t="str">
        <f>'график анн Базова'!L35</f>
        <v/>
      </c>
      <c r="O40" s="51" t="str">
        <f>'график анн Базова'!P35</f>
        <v/>
      </c>
      <c r="P40" s="147" t="str">
        <f>'график анн Базова'!Q35</f>
        <v/>
      </c>
    </row>
    <row r="41" spans="1:16" x14ac:dyDescent="0.35">
      <c r="A41" s="154">
        <f>'график анн Базова'!A36</f>
        <v>12</v>
      </c>
      <c r="B41" s="155">
        <f ca="1">'график анн Базова'!C36</f>
        <v>44852</v>
      </c>
      <c r="C41" s="156">
        <f ca="1">'график анн Базова'!D36</f>
        <v>30</v>
      </c>
      <c r="D41" s="47">
        <f ca="1">'график анн Базова'!E36</f>
        <v>1977085.9509353114</v>
      </c>
      <c r="E41" s="47">
        <f ca="1">'график анн Базова'!H36</f>
        <v>23232.527337695603</v>
      </c>
      <c r="F41" s="47">
        <f ca="1">'график анн Базова'!F36</f>
        <v>2310.5771856662031</v>
      </c>
      <c r="G41" s="47">
        <f ca="1">'график анн Базова'!G36</f>
        <v>20921.9501520294</v>
      </c>
      <c r="H41" s="157">
        <f>'график анн Базова'!O36</f>
        <v>0</v>
      </c>
      <c r="I41" s="157" t="str">
        <f>'график анн Базова'!M36</f>
        <v/>
      </c>
      <c r="J41" s="201" t="str">
        <f>'график анн Базова'!N36</f>
        <v/>
      </c>
      <c r="K41" s="157" t="str">
        <f>'график анн Базова'!I36</f>
        <v/>
      </c>
      <c r="L41" s="157" t="str">
        <f>'график анн Базова'!J36</f>
        <v/>
      </c>
      <c r="M41" s="157">
        <f>'график анн Базова'!K36</f>
        <v>0</v>
      </c>
      <c r="N41" s="157" t="str">
        <f>'график анн Базова'!L36</f>
        <v/>
      </c>
      <c r="O41" s="51" t="str">
        <f>'график анн Базова'!P36</f>
        <v/>
      </c>
      <c r="P41" s="147" t="str">
        <f>'график анн Базова'!Q36</f>
        <v/>
      </c>
    </row>
    <row r="42" spans="1:16" x14ac:dyDescent="0.35">
      <c r="A42" s="154">
        <f>'график анн Базова'!A37</f>
        <v>13</v>
      </c>
      <c r="B42" s="155">
        <f ca="1">'график анн Базова'!C37</f>
        <v>44883</v>
      </c>
      <c r="C42" s="156">
        <f ca="1">'график анн Базова'!D37</f>
        <v>31</v>
      </c>
      <c r="D42" s="47">
        <f ca="1">'график анн Базова'!E37</f>
        <v>1975447.5355208998</v>
      </c>
      <c r="E42" s="47">
        <f ca="1">'график анн Базова'!H37</f>
        <v>23232.527337695603</v>
      </c>
      <c r="F42" s="47">
        <f ca="1">'график анн Базова'!F37</f>
        <v>1638.4154144114618</v>
      </c>
      <c r="G42" s="47">
        <f ca="1">'график анн Базова'!G37</f>
        <v>21594.111923284141</v>
      </c>
      <c r="H42" s="157">
        <f>'график анн Базова'!O37</f>
        <v>0</v>
      </c>
      <c r="I42" s="157" t="str">
        <f>'график анн Базова'!M37</f>
        <v/>
      </c>
      <c r="J42" s="201">
        <f>'график анн Базова'!N37</f>
        <v>0</v>
      </c>
      <c r="K42" s="157" t="str">
        <f>'график анн Базова'!I37</f>
        <v/>
      </c>
      <c r="L42" s="157" t="str">
        <f>'график анн Базова'!J37</f>
        <v/>
      </c>
      <c r="M42" s="201">
        <f>'график анн Базова'!K37</f>
        <v>7500</v>
      </c>
      <c r="N42" s="157" t="str">
        <f>'график анн Базова'!L37</f>
        <v/>
      </c>
      <c r="O42" s="51" t="str">
        <f>'график анн Базова'!P37</f>
        <v/>
      </c>
      <c r="P42" s="147" t="str">
        <f>'график анн Базова'!Q37</f>
        <v/>
      </c>
    </row>
    <row r="43" spans="1:16" x14ac:dyDescent="0.35">
      <c r="A43" s="154">
        <f>'график анн Базова'!A38</f>
        <v>14</v>
      </c>
      <c r="B43" s="155">
        <f ca="1">'график анн Базова'!C38</f>
        <v>44913</v>
      </c>
      <c r="C43" s="156">
        <f ca="1">'график анн Базова'!D38</f>
        <v>30</v>
      </c>
      <c r="D43" s="47">
        <f ca="1">'график анн Базова'!E38</f>
        <v>1973095.2180244087</v>
      </c>
      <c r="E43" s="47">
        <f ca="1">'график анн Базова'!H38</f>
        <v>23232.527337695603</v>
      </c>
      <c r="F43" s="47">
        <f ca="1">'график анн Базова'!F38</f>
        <v>2352.3174964911341</v>
      </c>
      <c r="G43" s="47">
        <f ca="1">'график анн Базова'!G38</f>
        <v>20880.209841204469</v>
      </c>
      <c r="H43" s="157">
        <f>'график анн Базова'!O38</f>
        <v>0</v>
      </c>
      <c r="I43" s="157" t="str">
        <f>'график анн Базова'!M38</f>
        <v/>
      </c>
      <c r="J43" s="201" t="str">
        <f>'график анн Базова'!N38</f>
        <v/>
      </c>
      <c r="K43" s="157" t="str">
        <f>'график анн Базова'!I38</f>
        <v/>
      </c>
      <c r="L43" s="157" t="str">
        <f>'график анн Базова'!J38</f>
        <v/>
      </c>
      <c r="M43" s="157">
        <f>'график анн Базова'!K38</f>
        <v>0</v>
      </c>
      <c r="N43" s="157" t="str">
        <f>'график анн Базова'!L38</f>
        <v/>
      </c>
      <c r="O43" s="51" t="str">
        <f>'график анн Базова'!P38</f>
        <v/>
      </c>
      <c r="P43" s="147" t="str">
        <f>'график анн Базова'!Q38</f>
        <v/>
      </c>
    </row>
    <row r="44" spans="1:16" x14ac:dyDescent="0.35">
      <c r="A44" s="154">
        <f>'график анн Базова'!A39</f>
        <v>15</v>
      </c>
      <c r="B44" s="155">
        <f ca="1">'график анн Базова'!C39</f>
        <v>44944</v>
      </c>
      <c r="C44" s="156">
        <f ca="1">'график анн Базова'!D39</f>
        <v>31</v>
      </c>
      <c r="D44" s="47">
        <f ca="1">'график анн Базова'!E39</f>
        <v>1971413.2150597982</v>
      </c>
      <c r="E44" s="47">
        <f ca="1">'график анн Базова'!H39</f>
        <v>23232.527337695603</v>
      </c>
      <c r="F44" s="47">
        <f ca="1">'график анн Базова'!F39</f>
        <v>1682.0029646103794</v>
      </c>
      <c r="G44" s="47">
        <f ca="1">'график анн Базова'!G39</f>
        <v>21550.524373085223</v>
      </c>
      <c r="H44" s="157">
        <f>'график анн Базова'!O39</f>
        <v>0</v>
      </c>
      <c r="I44" s="157" t="str">
        <f>'график анн Базова'!M39</f>
        <v/>
      </c>
      <c r="J44" s="201" t="str">
        <f>'график анн Базова'!N39</f>
        <v/>
      </c>
      <c r="K44" s="157" t="str">
        <f>'график анн Базова'!I39</f>
        <v/>
      </c>
      <c r="L44" s="157" t="str">
        <f>'график анн Базова'!J39</f>
        <v/>
      </c>
      <c r="M44" s="157">
        <f>'график анн Базова'!K39</f>
        <v>0</v>
      </c>
      <c r="N44" s="157" t="str">
        <f>'график анн Базова'!L39</f>
        <v/>
      </c>
      <c r="O44" s="51" t="str">
        <f>'график анн Базова'!P39</f>
        <v/>
      </c>
      <c r="P44" s="147" t="str">
        <f>'график анн Базова'!Q39</f>
        <v/>
      </c>
    </row>
    <row r="45" spans="1:16" x14ac:dyDescent="0.35">
      <c r="A45" s="154">
        <f>'график анн Базова'!A40</f>
        <v>16</v>
      </c>
      <c r="B45" s="155">
        <f ca="1">'график анн Базова'!C40</f>
        <v>44975</v>
      </c>
      <c r="C45" s="156">
        <f ca="1">'график анн Базова'!D40</f>
        <v>31</v>
      </c>
      <c r="D45" s="47">
        <f ca="1">'график анн Базова'!E40</f>
        <v>1969712.8409362324</v>
      </c>
      <c r="E45" s="47">
        <f ca="1">'график анн Базова'!H40</f>
        <v>23232.527337695603</v>
      </c>
      <c r="F45" s="47">
        <f ca="1">'график анн Базова'!F40</f>
        <v>1700.3741235657653</v>
      </c>
      <c r="G45" s="47">
        <f ca="1">'график анн Базова'!G40</f>
        <v>21532.153214129838</v>
      </c>
      <c r="H45" s="157">
        <f>'график анн Базова'!O40</f>
        <v>0</v>
      </c>
      <c r="I45" s="157" t="str">
        <f>'график анн Базова'!M40</f>
        <v/>
      </c>
      <c r="J45" s="201" t="str">
        <f>'график анн Базова'!N40</f>
        <v/>
      </c>
      <c r="K45" s="157" t="str">
        <f>'график анн Базова'!I40</f>
        <v/>
      </c>
      <c r="L45" s="157" t="str">
        <f>'график анн Базова'!J40</f>
        <v/>
      </c>
      <c r="M45" s="157">
        <f>'график анн Базова'!K40</f>
        <v>0</v>
      </c>
      <c r="N45" s="157" t="str">
        <f>'график анн Базова'!L40</f>
        <v/>
      </c>
      <c r="O45" s="51" t="str">
        <f>'график анн Базова'!P40</f>
        <v/>
      </c>
      <c r="P45" s="147" t="str">
        <f>'график анн Базова'!Q40</f>
        <v/>
      </c>
    </row>
    <row r="46" spans="1:16" x14ac:dyDescent="0.35">
      <c r="A46" s="154">
        <f>'график анн Базова'!A41</f>
        <v>17</v>
      </c>
      <c r="B46" s="155">
        <f ca="1">'график анн Базова'!C41</f>
        <v>45003</v>
      </c>
      <c r="C46" s="156">
        <f ca="1">'график анн Базова'!D41</f>
        <v>28</v>
      </c>
      <c r="D46" s="47">
        <f ca="1">'график анн Базова'!E41</f>
        <v>1965911.935509888</v>
      </c>
      <c r="E46" s="47">
        <f ca="1">'график анн Базова'!H41</f>
        <v>23232.527337695603</v>
      </c>
      <c r="F46" s="47">
        <f ca="1">'график анн Базова'!F41</f>
        <v>3800.9054263444123</v>
      </c>
      <c r="G46" s="47">
        <f ca="1">'график анн Базова'!G41</f>
        <v>19431.621911351191</v>
      </c>
      <c r="H46" s="157">
        <f>'график анн Базова'!O41</f>
        <v>0</v>
      </c>
      <c r="I46" s="157" t="str">
        <f>'график анн Базова'!M41</f>
        <v/>
      </c>
      <c r="J46" s="201" t="str">
        <f>'график анн Базова'!N41</f>
        <v/>
      </c>
      <c r="K46" s="157" t="str">
        <f>'график анн Базова'!I41</f>
        <v/>
      </c>
      <c r="L46" s="157" t="str">
        <f>'график анн Базова'!J41</f>
        <v/>
      </c>
      <c r="M46" s="157">
        <f>'график анн Базова'!K41</f>
        <v>0</v>
      </c>
      <c r="N46" s="157" t="str">
        <f>'график анн Базова'!L41</f>
        <v/>
      </c>
      <c r="O46" s="51" t="str">
        <f>'график анн Базова'!P41</f>
        <v/>
      </c>
      <c r="P46" s="147" t="str">
        <f>'график анн Базова'!Q41</f>
        <v/>
      </c>
    </row>
    <row r="47" spans="1:16" x14ac:dyDescent="0.35">
      <c r="A47" s="154">
        <f>'график анн Базова'!A42</f>
        <v>18</v>
      </c>
      <c r="B47" s="155">
        <f ca="1">'график анн Базова'!C42</f>
        <v>45034</v>
      </c>
      <c r="C47" s="156">
        <f ca="1">'график анн Базова'!D42</f>
        <v>31</v>
      </c>
      <c r="D47" s="47">
        <f ca="1">'график анн Базова'!E42</f>
        <v>1964151.4753560382</v>
      </c>
      <c r="E47" s="47">
        <f ca="1">'график анн Базова'!H42</f>
        <v>23232.527337695603</v>
      </c>
      <c r="F47" s="47">
        <f ca="1">'график анн Базова'!F42</f>
        <v>1760.4601538497991</v>
      </c>
      <c r="G47" s="47">
        <f ca="1">'график анн Базова'!G42</f>
        <v>21472.067183845804</v>
      </c>
      <c r="H47" s="157">
        <f>'график анн Базова'!O42</f>
        <v>0</v>
      </c>
      <c r="I47" s="157" t="str">
        <f>'график анн Базова'!M42</f>
        <v/>
      </c>
      <c r="J47" s="201" t="str">
        <f>'график анн Базова'!N42</f>
        <v/>
      </c>
      <c r="K47" s="157" t="str">
        <f>'график анн Базова'!I42</f>
        <v/>
      </c>
      <c r="L47" s="157" t="str">
        <f>'график анн Базова'!J42</f>
        <v/>
      </c>
      <c r="M47" s="157">
        <f>'график анн Базова'!K42</f>
        <v>0</v>
      </c>
      <c r="N47" s="157" t="str">
        <f>'график анн Базова'!L42</f>
        <v/>
      </c>
      <c r="O47" s="51" t="str">
        <f>'график анн Базова'!P42</f>
        <v/>
      </c>
      <c r="P47" s="147" t="str">
        <f>'график анн Базова'!Q42</f>
        <v/>
      </c>
    </row>
    <row r="48" spans="1:16" x14ac:dyDescent="0.35">
      <c r="A48" s="154">
        <f>'график анн Базова'!A43</f>
        <v>19</v>
      </c>
      <c r="B48" s="155">
        <f ca="1">'график анн Базова'!C43</f>
        <v>45064</v>
      </c>
      <c r="C48" s="156">
        <f ca="1">'график анн Базова'!D43</f>
        <v>30</v>
      </c>
      <c r="D48" s="47">
        <f ca="1">'график анн Базова'!E43</f>
        <v>1961679.7600510099</v>
      </c>
      <c r="E48" s="47">
        <f ca="1">'график анн Базова'!H43</f>
        <v>23232.527337695603</v>
      </c>
      <c r="F48" s="47">
        <f ca="1">'график анн Базова'!F43</f>
        <v>2471.7153050282177</v>
      </c>
      <c r="G48" s="47">
        <f ca="1">'график анн Базова'!G43</f>
        <v>20760.812032667385</v>
      </c>
      <c r="H48" s="157">
        <f>'график анн Базова'!O43</f>
        <v>0</v>
      </c>
      <c r="I48" s="157" t="str">
        <f>'график анн Базова'!M43</f>
        <v/>
      </c>
      <c r="J48" s="201" t="str">
        <f>'график анн Базова'!N43</f>
        <v/>
      </c>
      <c r="K48" s="157" t="str">
        <f>'график анн Базова'!I43</f>
        <v/>
      </c>
      <c r="L48" s="157" t="str">
        <f>'график анн Базова'!J43</f>
        <v/>
      </c>
      <c r="M48" s="157">
        <f>'график анн Базова'!K43</f>
        <v>0</v>
      </c>
      <c r="N48" s="157" t="str">
        <f>'график анн Базова'!L43</f>
        <v/>
      </c>
      <c r="O48" s="51" t="str">
        <f>'график анн Базова'!P43</f>
        <v/>
      </c>
      <c r="P48" s="147" t="str">
        <f>'график анн Базова'!Q43</f>
        <v/>
      </c>
    </row>
    <row r="49" spans="1:16" x14ac:dyDescent="0.35">
      <c r="A49" s="154">
        <f>'график анн Базова'!A44</f>
        <v>20</v>
      </c>
      <c r="B49" s="155">
        <f ca="1">'график анн Базова'!C44</f>
        <v>45095</v>
      </c>
      <c r="C49" s="156">
        <f ca="1">'график анн Базова'!D44</f>
        <v>31</v>
      </c>
      <c r="D49" s="47">
        <f ca="1">'график анн Базова'!E44</f>
        <v>1959873.0752651482</v>
      </c>
      <c r="E49" s="47">
        <f ca="1">'график анн Базова'!H44</f>
        <v>23232.527337695603</v>
      </c>
      <c r="F49" s="47">
        <f ca="1">'график анн Базова'!F44</f>
        <v>1806.6847858617512</v>
      </c>
      <c r="G49" s="47">
        <f ca="1">'график анн Базова'!G44</f>
        <v>21425.842551833852</v>
      </c>
      <c r="H49" s="157">
        <f>'график анн Базова'!O44</f>
        <v>0</v>
      </c>
      <c r="I49" s="157" t="str">
        <f>'график анн Базова'!M44</f>
        <v/>
      </c>
      <c r="J49" s="201" t="str">
        <f>'график анн Базова'!N44</f>
        <v/>
      </c>
      <c r="K49" s="157" t="str">
        <f>'график анн Базова'!I44</f>
        <v/>
      </c>
      <c r="L49" s="157" t="str">
        <f>'график анн Базова'!J44</f>
        <v/>
      </c>
      <c r="M49" s="157">
        <f>'график анн Базова'!K44</f>
        <v>0</v>
      </c>
      <c r="N49" s="157" t="str">
        <f>'график анн Базова'!L44</f>
        <v/>
      </c>
      <c r="O49" s="51" t="str">
        <f>'график анн Базова'!P44</f>
        <v/>
      </c>
      <c r="P49" s="147" t="str">
        <f>'график анн Базова'!Q44</f>
        <v/>
      </c>
    </row>
    <row r="50" spans="1:16" x14ac:dyDescent="0.35">
      <c r="A50" s="154">
        <f>'график анн Базова'!A45</f>
        <v>21</v>
      </c>
      <c r="B50" s="155">
        <f ca="1">'график анн Базова'!C45</f>
        <v>45125</v>
      </c>
      <c r="C50" s="156">
        <f ca="1">'график анн Базова'!D45</f>
        <v>30</v>
      </c>
      <c r="D50" s="47">
        <f ca="1">'график анн Базова'!E45</f>
        <v>1957356.1378572416</v>
      </c>
      <c r="E50" s="47">
        <f ca="1">'график анн Базова'!H45</f>
        <v>23232.527337695603</v>
      </c>
      <c r="F50" s="47">
        <f ca="1">'график анн Базова'!F45</f>
        <v>2516.9374079067202</v>
      </c>
      <c r="G50" s="47">
        <f ca="1">'график анн Базова'!G45</f>
        <v>20715.589929788883</v>
      </c>
      <c r="H50" s="157">
        <f>'график анн Базова'!O45</f>
        <v>0</v>
      </c>
      <c r="I50" s="157" t="str">
        <f>'график анн Базова'!M45</f>
        <v/>
      </c>
      <c r="J50" s="201" t="str">
        <f>'график анн Базова'!N45</f>
        <v/>
      </c>
      <c r="K50" s="157" t="str">
        <f>'график анн Базова'!I45</f>
        <v/>
      </c>
      <c r="L50" s="157" t="str">
        <f>'график анн Базова'!J45</f>
        <v/>
      </c>
      <c r="M50" s="157">
        <f>'график анн Базова'!K45</f>
        <v>0</v>
      </c>
      <c r="N50" s="157" t="str">
        <f>'график анн Базова'!L45</f>
        <v/>
      </c>
      <c r="O50" s="51" t="str">
        <f>'график анн Базова'!P45</f>
        <v/>
      </c>
      <c r="P50" s="147" t="str">
        <f>'график анн Базова'!Q45</f>
        <v/>
      </c>
    </row>
    <row r="51" spans="1:16" x14ac:dyDescent="0.35">
      <c r="A51" s="154">
        <f>'график анн Базова'!A46</f>
        <v>22</v>
      </c>
      <c r="B51" s="155">
        <f ca="1">'график анн Базова'!C46</f>
        <v>45156</v>
      </c>
      <c r="C51" s="156">
        <f ca="1">'график анн Базова'!D46</f>
        <v>31</v>
      </c>
      <c r="D51" s="47">
        <f ca="1">'график анн Базова'!E46</f>
        <v>1955502.2296405917</v>
      </c>
      <c r="E51" s="47">
        <f ca="1">'график анн Базова'!H46</f>
        <v>23232.527337695603</v>
      </c>
      <c r="F51" s="47">
        <f ca="1">'график анн Базова'!F46</f>
        <v>1853.9082166499102</v>
      </c>
      <c r="G51" s="47">
        <f ca="1">'график анн Базова'!G46</f>
        <v>21378.619121045693</v>
      </c>
      <c r="H51" s="157">
        <f>'график анн Базова'!O46</f>
        <v>0</v>
      </c>
      <c r="I51" s="157" t="str">
        <f>'график анн Базова'!M46</f>
        <v/>
      </c>
      <c r="J51" s="201" t="str">
        <f>'график анн Базова'!N46</f>
        <v/>
      </c>
      <c r="K51" s="157" t="str">
        <f>'график анн Базова'!I46</f>
        <v/>
      </c>
      <c r="L51" s="157" t="str">
        <f>'график анн Базова'!J46</f>
        <v/>
      </c>
      <c r="M51" s="157">
        <f>'график анн Базова'!K46</f>
        <v>0</v>
      </c>
      <c r="N51" s="157" t="str">
        <f>'график анн Базова'!L46</f>
        <v/>
      </c>
      <c r="O51" s="51" t="str">
        <f>'график анн Базова'!P46</f>
        <v/>
      </c>
      <c r="P51" s="147" t="str">
        <f>'график анн Базова'!Q46</f>
        <v/>
      </c>
    </row>
    <row r="52" spans="1:16" x14ac:dyDescent="0.35">
      <c r="A52" s="154">
        <f>'график анн Базова'!A47</f>
        <v>23</v>
      </c>
      <c r="B52" s="155">
        <f ca="1">'график анн Базова'!C47</f>
        <v>45187</v>
      </c>
      <c r="C52" s="156">
        <f ca="1">'график анн Базова'!D47</f>
        <v>31</v>
      </c>
      <c r="D52" s="47">
        <f ca="1">'график анн Базова'!E47</f>
        <v>1953628.0726828554</v>
      </c>
      <c r="E52" s="47">
        <f ca="1">'график анн Базова'!H47</f>
        <v>23232.527337695603</v>
      </c>
      <c r="F52" s="47">
        <f ca="1">'график анн Базова'!F47</f>
        <v>1874.1569577361988</v>
      </c>
      <c r="G52" s="47">
        <f ca="1">'график анн Базова'!G47</f>
        <v>21358.370379959404</v>
      </c>
      <c r="H52" s="157">
        <f>'график анн Базова'!O47</f>
        <v>0</v>
      </c>
      <c r="I52" s="157" t="str">
        <f>'график анн Базова'!M47</f>
        <v/>
      </c>
      <c r="J52" s="201" t="str">
        <f>'график анн Базова'!N47</f>
        <v/>
      </c>
      <c r="K52" s="157" t="str">
        <f>'график анн Базова'!I47</f>
        <v/>
      </c>
      <c r="L52" s="157" t="str">
        <f>'график анн Базова'!J47</f>
        <v/>
      </c>
      <c r="M52" s="157">
        <f>'график анн Базова'!K47</f>
        <v>0</v>
      </c>
      <c r="N52" s="157" t="str">
        <f>'график анн Базова'!L47</f>
        <v/>
      </c>
      <c r="O52" s="51" t="str">
        <f>'график анн Базова'!P47</f>
        <v/>
      </c>
      <c r="P52" s="147" t="str">
        <f>'график анн Базова'!Q47</f>
        <v/>
      </c>
    </row>
    <row r="53" spans="1:16" x14ac:dyDescent="0.35">
      <c r="A53" s="154">
        <f>'график анн Базова'!A48</f>
        <v>24</v>
      </c>
      <c r="B53" s="155">
        <f ca="1">'график анн Базова'!C48</f>
        <v>45217</v>
      </c>
      <c r="C53" s="156">
        <f ca="1">'график анн Базова'!D48</f>
        <v>30</v>
      </c>
      <c r="D53" s="47">
        <f ca="1">'график анн Базова'!E48</f>
        <v>1951045.1264531338</v>
      </c>
      <c r="E53" s="47">
        <f ca="1">'график анн Базова'!H48</f>
        <v>23232.527337695603</v>
      </c>
      <c r="F53" s="47">
        <f ca="1">'график анн Базова'!F48</f>
        <v>2582.9462297217506</v>
      </c>
      <c r="G53" s="47">
        <f ca="1">'график анн Базова'!G48</f>
        <v>20649.581107973852</v>
      </c>
      <c r="H53" s="157">
        <f>'график анн Базова'!O48</f>
        <v>0</v>
      </c>
      <c r="I53" s="157" t="str">
        <f>'график анн Базова'!M48</f>
        <v/>
      </c>
      <c r="J53" s="201" t="str">
        <f>'график анн Базова'!N48</f>
        <v/>
      </c>
      <c r="K53" s="157" t="str">
        <f>'график анн Базова'!I48</f>
        <v/>
      </c>
      <c r="L53" s="157" t="str">
        <f>'график анн Базова'!J48</f>
        <v/>
      </c>
      <c r="M53" s="157">
        <f>'график анн Базова'!K48</f>
        <v>0</v>
      </c>
      <c r="N53" s="157" t="str">
        <f>'график анн Базова'!L48</f>
        <v/>
      </c>
      <c r="O53" s="51" t="str">
        <f>'график анн Базова'!P48</f>
        <v/>
      </c>
      <c r="P53" s="147" t="str">
        <f>'график анн Базова'!Q48</f>
        <v/>
      </c>
    </row>
    <row r="54" spans="1:16" x14ac:dyDescent="0.35">
      <c r="A54" s="154">
        <f>'график анн Базова'!A49</f>
        <v>25</v>
      </c>
      <c r="B54" s="155">
        <f ca="1">'график анн Базова'!C49</f>
        <v>45248</v>
      </c>
      <c r="C54" s="156">
        <f ca="1">'график анн Базова'!D49</f>
        <v>31</v>
      </c>
      <c r="D54" s="47">
        <f ca="1">'график анн Базова'!E49</f>
        <v>1949122.2881595972</v>
      </c>
      <c r="E54" s="47">
        <f ca="1">'график анн Базова'!H49</f>
        <v>23232.527337695603</v>
      </c>
      <c r="F54" s="47">
        <f ca="1">'график анн Базова'!F49</f>
        <v>1922.8382935365262</v>
      </c>
      <c r="G54" s="47">
        <f ca="1">'график анн Базова'!G49</f>
        <v>21309.689044159077</v>
      </c>
      <c r="H54" s="157">
        <f>'график анн Базова'!O49</f>
        <v>0</v>
      </c>
      <c r="I54" s="157" t="str">
        <f>'график анн Базова'!M49</f>
        <v/>
      </c>
      <c r="J54" s="201">
        <f>'график анн Базова'!N49</f>
        <v>0</v>
      </c>
      <c r="K54" s="157" t="str">
        <f>'график анн Базова'!I49</f>
        <v/>
      </c>
      <c r="L54" s="157" t="str">
        <f>'график анн Базова'!J49</f>
        <v/>
      </c>
      <c r="M54" s="201">
        <f>'график анн Базова'!K49</f>
        <v>7500</v>
      </c>
      <c r="N54" s="157" t="str">
        <f>'график анн Базова'!L49</f>
        <v/>
      </c>
      <c r="O54" s="51" t="str">
        <f>'график анн Базова'!P49</f>
        <v/>
      </c>
      <c r="P54" s="147" t="str">
        <f>'график анн Базова'!Q49</f>
        <v/>
      </c>
    </row>
    <row r="55" spans="1:16" x14ac:dyDescent="0.35">
      <c r="A55" s="154">
        <f>'график анн Базова'!A50</f>
        <v>26</v>
      </c>
      <c r="B55" s="155">
        <f ca="1">'график анн Базова'!C50</f>
        <v>45278</v>
      </c>
      <c r="C55" s="156">
        <f ca="1">'график анн Базова'!D50</f>
        <v>30</v>
      </c>
      <c r="D55" s="47">
        <f ca="1">'график анн Базова'!E50</f>
        <v>1946491.7164046953</v>
      </c>
      <c r="E55" s="47">
        <f ca="1">'график анн Базова'!H50</f>
        <v>23232.527337695603</v>
      </c>
      <c r="F55" s="47">
        <f ca="1">'график анн Базова'!F50</f>
        <v>2630.5717549018336</v>
      </c>
      <c r="G55" s="47">
        <f ca="1">'график анн Базова'!G50</f>
        <v>20601.955582793769</v>
      </c>
      <c r="H55" s="157">
        <f>'график анн Базова'!O50</f>
        <v>0</v>
      </c>
      <c r="I55" s="157" t="str">
        <f>'график анн Базова'!M50</f>
        <v/>
      </c>
      <c r="J55" s="201" t="str">
        <f>'график анн Базова'!N50</f>
        <v/>
      </c>
      <c r="K55" s="157" t="str">
        <f>'график анн Базова'!I50</f>
        <v/>
      </c>
      <c r="L55" s="157" t="str">
        <f>'график анн Базова'!J50</f>
        <v/>
      </c>
      <c r="M55" s="157">
        <f>'график анн Базова'!K50</f>
        <v>0</v>
      </c>
      <c r="N55" s="157" t="str">
        <f>'график анн Базова'!L50</f>
        <v/>
      </c>
      <c r="O55" s="51" t="str">
        <f>'график анн Базова'!P50</f>
        <v/>
      </c>
      <c r="P55" s="147" t="str">
        <f>'график анн Базова'!Q50</f>
        <v/>
      </c>
    </row>
    <row r="56" spans="1:16" x14ac:dyDescent="0.35">
      <c r="A56" s="154">
        <f>'график анн Базова'!A51</f>
        <v>27</v>
      </c>
      <c r="B56" s="155">
        <f ca="1">'график анн Базова'!C51</f>
        <v>45309</v>
      </c>
      <c r="C56" s="156">
        <f ca="1">'график анн Базова'!D51</f>
        <v>31</v>
      </c>
      <c r="D56" s="47">
        <f ca="1">'график анн Базова'!E51</f>
        <v>1944519.1448933531</v>
      </c>
      <c r="E56" s="47">
        <f ca="1">'график анн Базова'!H51</f>
        <v>23232.527337695603</v>
      </c>
      <c r="F56" s="47">
        <f ca="1">'график анн Базова'!F51</f>
        <v>1972.5715113422957</v>
      </c>
      <c r="G56" s="47">
        <f ca="1">'график анн Базова'!G51</f>
        <v>21259.955826353307</v>
      </c>
      <c r="H56" s="157">
        <f>'график анн Базова'!O51</f>
        <v>0</v>
      </c>
      <c r="I56" s="157" t="str">
        <f>'график анн Базова'!M51</f>
        <v/>
      </c>
      <c r="J56" s="201" t="str">
        <f>'график анн Базова'!N51</f>
        <v/>
      </c>
      <c r="K56" s="157" t="str">
        <f>'график анн Базова'!I51</f>
        <v/>
      </c>
      <c r="L56" s="157" t="str">
        <f>'график анн Базова'!J51</f>
        <v/>
      </c>
      <c r="M56" s="157">
        <f>'график анн Базова'!K51</f>
        <v>0</v>
      </c>
      <c r="N56" s="157" t="str">
        <f>'график анн Базова'!L51</f>
        <v/>
      </c>
      <c r="O56" s="51" t="str">
        <f>'график анн Базова'!P51</f>
        <v/>
      </c>
      <c r="P56" s="147" t="str">
        <f>'график анн Базова'!Q51</f>
        <v/>
      </c>
    </row>
    <row r="57" spans="1:16" x14ac:dyDescent="0.35">
      <c r="A57" s="154">
        <f>'график анн Базова'!A52</f>
        <v>28</v>
      </c>
      <c r="B57" s="155">
        <f ca="1">'график анн Базова'!C52</f>
        <v>45340</v>
      </c>
      <c r="C57" s="156">
        <f ca="1">'график анн Базова'!D52</f>
        <v>31</v>
      </c>
      <c r="D57" s="47">
        <f ca="1">'график анн Базова'!E52</f>
        <v>1942467.0001322473</v>
      </c>
      <c r="E57" s="47">
        <f ca="1">'график анн Базова'!H52</f>
        <v>23232.527337695603</v>
      </c>
      <c r="F57" s="47">
        <f ca="1">'график анн Базова'!F52</f>
        <v>2052.144761105872</v>
      </c>
      <c r="G57" s="47">
        <f ca="1">'график анн Базова'!G52</f>
        <v>21180.382576589731</v>
      </c>
      <c r="H57" s="157">
        <f>'график анн Базова'!O52</f>
        <v>0</v>
      </c>
      <c r="I57" s="157" t="str">
        <f>'график анн Базова'!M52</f>
        <v/>
      </c>
      <c r="J57" s="201" t="str">
        <f>'график анн Базова'!N52</f>
        <v/>
      </c>
      <c r="K57" s="157" t="str">
        <f>'график анн Базова'!I52</f>
        <v/>
      </c>
      <c r="L57" s="157" t="str">
        <f>'график анн Базова'!J52</f>
        <v/>
      </c>
      <c r="M57" s="157">
        <f>'график анн Базова'!K52</f>
        <v>0</v>
      </c>
      <c r="N57" s="157" t="str">
        <f>'график анн Базова'!L52</f>
        <v/>
      </c>
      <c r="O57" s="51" t="str">
        <f>'график анн Базова'!P52</f>
        <v/>
      </c>
      <c r="P57" s="147" t="str">
        <f>'график анн Базова'!Q52</f>
        <v/>
      </c>
    </row>
    <row r="58" spans="1:16" x14ac:dyDescent="0.35">
      <c r="A58" s="154">
        <f>'график анн Базова'!A53</f>
        <v>29</v>
      </c>
      <c r="B58" s="155">
        <f ca="1">'график анн Базова'!C53</f>
        <v>45369</v>
      </c>
      <c r="C58" s="156">
        <f ca="1">'график анн Базова'!D53</f>
        <v>29</v>
      </c>
      <c r="D58" s="47">
        <f ca="1">'график анн Базова'!E53</f>
        <v>1939027.4685057353</v>
      </c>
      <c r="E58" s="47">
        <f ca="1">'график анн Базова'!H53</f>
        <v>23232.527337695603</v>
      </c>
      <c r="F58" s="47">
        <f ca="1">'график анн Базова'!F53</f>
        <v>3439.5316265119909</v>
      </c>
      <c r="G58" s="47">
        <f ca="1">'график анн Базова'!G53</f>
        <v>19792.995711183612</v>
      </c>
      <c r="H58" s="157">
        <f>'график анн Базова'!O53</f>
        <v>0</v>
      </c>
      <c r="I58" s="157" t="str">
        <f>'график анн Базова'!M53</f>
        <v/>
      </c>
      <c r="J58" s="201" t="str">
        <f>'график анн Базова'!N53</f>
        <v/>
      </c>
      <c r="K58" s="157" t="str">
        <f>'график анн Базова'!I53</f>
        <v/>
      </c>
      <c r="L58" s="157" t="str">
        <f>'график анн Базова'!J53</f>
        <v/>
      </c>
      <c r="M58" s="157">
        <f>'график анн Базова'!K53</f>
        <v>0</v>
      </c>
      <c r="N58" s="157" t="str">
        <f>'график анн Базова'!L53</f>
        <v/>
      </c>
      <c r="O58" s="51" t="str">
        <f>'график анн Базова'!P53</f>
        <v/>
      </c>
      <c r="P58" s="147" t="str">
        <f>'график анн Базова'!Q53</f>
        <v/>
      </c>
    </row>
    <row r="59" spans="1:16" x14ac:dyDescent="0.35">
      <c r="A59" s="154">
        <f>'график анн Базова'!A54</f>
        <v>30</v>
      </c>
      <c r="B59" s="155">
        <f ca="1">'график анн Базова'!C54</f>
        <v>45400</v>
      </c>
      <c r="C59" s="156">
        <f ca="1">'график анн Базова'!D54</f>
        <v>31</v>
      </c>
      <c r="D59" s="47">
        <f ca="1">'график анн Базова'!E54</f>
        <v>1936915.5064848291</v>
      </c>
      <c r="E59" s="47">
        <f ca="1">'график анн Базова'!H54</f>
        <v>23232.527337695603</v>
      </c>
      <c r="F59" s="47">
        <f ca="1">'график анн Базова'!F54</f>
        <v>2111.9620209060849</v>
      </c>
      <c r="G59" s="47">
        <f ca="1">'график анн Базова'!G54</f>
        <v>21120.565316789518</v>
      </c>
      <c r="H59" s="157">
        <f>'график анн Базова'!O54</f>
        <v>0</v>
      </c>
      <c r="I59" s="157" t="str">
        <f>'график анн Базова'!M54</f>
        <v/>
      </c>
      <c r="J59" s="201" t="str">
        <f>'график анн Базова'!N54</f>
        <v/>
      </c>
      <c r="K59" s="157" t="str">
        <f>'график анн Базова'!I54</f>
        <v/>
      </c>
      <c r="L59" s="157" t="str">
        <f>'график анн Базова'!J54</f>
        <v/>
      </c>
      <c r="M59" s="157">
        <f>'график анн Базова'!K54</f>
        <v>0</v>
      </c>
      <c r="N59" s="157" t="str">
        <f>'график анн Базова'!L54</f>
        <v/>
      </c>
      <c r="O59" s="51" t="str">
        <f>'график анн Базова'!P54</f>
        <v/>
      </c>
      <c r="P59" s="147" t="str">
        <f>'график анн Базова'!Q54</f>
        <v/>
      </c>
    </row>
    <row r="60" spans="1:16" x14ac:dyDescent="0.35">
      <c r="A60" s="154">
        <f>'график анн Базова'!A55</f>
        <v>31</v>
      </c>
      <c r="B60" s="155">
        <f ca="1">'график анн Базова'!C55</f>
        <v>45430</v>
      </c>
      <c r="C60" s="156">
        <f ca="1">'график анн Базова'!D55</f>
        <v>30</v>
      </c>
      <c r="D60" s="47">
        <f ca="1">'график анн Базова'!E55</f>
        <v>1934099.9737482769</v>
      </c>
      <c r="E60" s="47">
        <f ca="1">'график анн Базова'!H55</f>
        <v>23232.527337695603</v>
      </c>
      <c r="F60" s="47">
        <f ca="1">'график анн Базова'!F55</f>
        <v>2815.5327365522426</v>
      </c>
      <c r="G60" s="47">
        <f ca="1">'график анн Базова'!G55</f>
        <v>20416.99460114336</v>
      </c>
      <c r="H60" s="157">
        <f>'график анн Базова'!O55</f>
        <v>0</v>
      </c>
      <c r="I60" s="157" t="str">
        <f>'график анн Базова'!M55</f>
        <v/>
      </c>
      <c r="J60" s="201" t="str">
        <f>'график анн Базова'!N55</f>
        <v/>
      </c>
      <c r="K60" s="157" t="str">
        <f>'график анн Базова'!I55</f>
        <v/>
      </c>
      <c r="L60" s="157" t="str">
        <f>'график анн Базова'!J55</f>
        <v/>
      </c>
      <c r="M60" s="157">
        <f>'график анн Базова'!K55</f>
        <v>0</v>
      </c>
      <c r="N60" s="157" t="str">
        <f>'график анн Базова'!L55</f>
        <v/>
      </c>
      <c r="O60" s="51" t="str">
        <f>'график анн Базова'!P55</f>
        <v/>
      </c>
      <c r="P60" s="147" t="str">
        <f>'график анн Базова'!Q55</f>
        <v/>
      </c>
    </row>
    <row r="61" spans="1:16" x14ac:dyDescent="0.35">
      <c r="A61" s="154">
        <f>'график анн Базова'!A56</f>
        <v>32</v>
      </c>
      <c r="B61" s="155">
        <f ca="1">'график анн Базова'!C56</f>
        <v>45461</v>
      </c>
      <c r="C61" s="156">
        <f ca="1">'график анн Базова'!D56</f>
        <v>31</v>
      </c>
      <c r="D61" s="47">
        <f ca="1">'график анн Базова'!E56</f>
        <v>1931934.3397311957</v>
      </c>
      <c r="E61" s="47">
        <f ca="1">'график анн Базова'!H56</f>
        <v>23232.527337695603</v>
      </c>
      <c r="F61" s="47">
        <f ca="1">'график анн Базова'!F56</f>
        <v>2165.6340170811745</v>
      </c>
      <c r="G61" s="47">
        <f ca="1">'график анн Базова'!G56</f>
        <v>21066.893320614428</v>
      </c>
      <c r="H61" s="157">
        <f>'график анн Базова'!O56</f>
        <v>0</v>
      </c>
      <c r="I61" s="157" t="str">
        <f>'график анн Базова'!M56</f>
        <v/>
      </c>
      <c r="J61" s="201" t="str">
        <f>'график анн Базова'!N56</f>
        <v/>
      </c>
      <c r="K61" s="157" t="str">
        <f>'график анн Базова'!I56</f>
        <v/>
      </c>
      <c r="L61" s="157" t="str">
        <f>'график анн Базова'!J56</f>
        <v/>
      </c>
      <c r="M61" s="157">
        <f>'график анн Базова'!K56</f>
        <v>0</v>
      </c>
      <c r="N61" s="157" t="str">
        <f>'график анн Базова'!L56</f>
        <v/>
      </c>
      <c r="O61" s="51" t="str">
        <f>'график анн Базова'!P56</f>
        <v/>
      </c>
      <c r="P61" s="147" t="str">
        <f>'график анн Базова'!Q56</f>
        <v/>
      </c>
    </row>
    <row r="62" spans="1:16" x14ac:dyDescent="0.35">
      <c r="A62" s="154">
        <f>'график анн Базова'!A57</f>
        <v>33</v>
      </c>
      <c r="B62" s="155">
        <f ca="1">'график анн Базова'!C57</f>
        <v>45491</v>
      </c>
      <c r="C62" s="156">
        <f ca="1">'график анн Базова'!D57</f>
        <v>30</v>
      </c>
      <c r="D62" s="47">
        <f ca="1">'график анн Базова'!E57</f>
        <v>1929066.300597552</v>
      </c>
      <c r="E62" s="47">
        <f ca="1">'график анн Базова'!H57</f>
        <v>23232.527337695603</v>
      </c>
      <c r="F62" s="47">
        <f ca="1">'график анн Базова'!F57</f>
        <v>2868.0391336438188</v>
      </c>
      <c r="G62" s="47">
        <f ca="1">'график анн Базова'!G57</f>
        <v>20364.488204051784</v>
      </c>
      <c r="H62" s="157">
        <f>'график анн Базова'!O57</f>
        <v>0</v>
      </c>
      <c r="I62" s="157" t="str">
        <f>'график анн Базова'!M57</f>
        <v/>
      </c>
      <c r="J62" s="201" t="str">
        <f>'график анн Базова'!N57</f>
        <v/>
      </c>
      <c r="K62" s="157" t="str">
        <f>'график анн Базова'!I57</f>
        <v/>
      </c>
      <c r="L62" s="157" t="str">
        <f>'график анн Базова'!J57</f>
        <v/>
      </c>
      <c r="M62" s="157">
        <f>'график анн Базова'!K57</f>
        <v>0</v>
      </c>
      <c r="N62" s="157" t="str">
        <f>'график анн Базова'!L57</f>
        <v/>
      </c>
      <c r="O62" s="51" t="str">
        <f>'график анн Базова'!P57</f>
        <v/>
      </c>
      <c r="P62" s="147" t="str">
        <f>'график анн Базова'!Q57</f>
        <v/>
      </c>
    </row>
    <row r="63" spans="1:16" x14ac:dyDescent="0.35">
      <c r="A63" s="154">
        <f>'график анн Базова'!A58</f>
        <v>34</v>
      </c>
      <c r="B63" s="155">
        <f ca="1">'график анн Базова'!C58</f>
        <v>45522</v>
      </c>
      <c r="C63" s="156">
        <f ca="1">'график анн Базова'!D58</f>
        <v>31</v>
      </c>
      <c r="D63" s="47">
        <f ca="1">'график анн Базова'!E58</f>
        <v>1926845.8380521028</v>
      </c>
      <c r="E63" s="47">
        <f ca="1">'график анн Базова'!H58</f>
        <v>23232.527337695603</v>
      </c>
      <c r="F63" s="47">
        <f ca="1">'график анн Базова'!F58</f>
        <v>2220.4625454491506</v>
      </c>
      <c r="G63" s="47">
        <f ca="1">'график анн Базова'!G58</f>
        <v>21012.064792246452</v>
      </c>
      <c r="H63" s="157">
        <f>'график анн Базова'!O58</f>
        <v>0</v>
      </c>
      <c r="I63" s="157" t="str">
        <f>'график анн Базова'!M58</f>
        <v/>
      </c>
      <c r="J63" s="201" t="str">
        <f>'график анн Базова'!N58</f>
        <v/>
      </c>
      <c r="K63" s="157" t="str">
        <f>'график анн Базова'!I58</f>
        <v/>
      </c>
      <c r="L63" s="157" t="str">
        <f>'график анн Базова'!J58</f>
        <v/>
      </c>
      <c r="M63" s="157">
        <f>'график анн Базова'!K58</f>
        <v>0</v>
      </c>
      <c r="N63" s="157" t="str">
        <f>'график анн Базова'!L58</f>
        <v/>
      </c>
      <c r="O63" s="51" t="str">
        <f>'график анн Базова'!P58</f>
        <v/>
      </c>
      <c r="P63" s="147" t="str">
        <f>'график анн Базова'!Q58</f>
        <v/>
      </c>
    </row>
    <row r="64" spans="1:16" x14ac:dyDescent="0.35">
      <c r="A64" s="154">
        <f>'график анн Базова'!A59</f>
        <v>35</v>
      </c>
      <c r="B64" s="155">
        <f ca="1">'график анн Базова'!C59</f>
        <v>45553</v>
      </c>
      <c r="C64" s="156">
        <f ca="1">'график анн Базова'!D59</f>
        <v>31</v>
      </c>
      <c r="D64" s="47">
        <f ca="1">'график анн Базова'!E59</f>
        <v>1924601.1894520535</v>
      </c>
      <c r="E64" s="47">
        <f ca="1">'график анн Базова'!H59</f>
        <v>23232.527337695603</v>
      </c>
      <c r="F64" s="47">
        <f ca="1">'график анн Базова'!F59</f>
        <v>2244.6486000493933</v>
      </c>
      <c r="G64" s="47">
        <f ca="1">'график анн Базова'!G59</f>
        <v>20987.87873764621</v>
      </c>
      <c r="H64" s="157">
        <f>'график анн Базова'!O59</f>
        <v>0</v>
      </c>
      <c r="I64" s="157" t="str">
        <f>'график анн Базова'!M59</f>
        <v/>
      </c>
      <c r="J64" s="201" t="str">
        <f>'график анн Базова'!N59</f>
        <v/>
      </c>
      <c r="K64" s="157" t="str">
        <f>'график анн Базова'!I59</f>
        <v/>
      </c>
      <c r="L64" s="157" t="str">
        <f>'график анн Базова'!J59</f>
        <v/>
      </c>
      <c r="M64" s="157">
        <f>'график анн Базова'!K59</f>
        <v>0</v>
      </c>
      <c r="N64" s="157" t="str">
        <f>'график анн Базова'!L59</f>
        <v/>
      </c>
      <c r="O64" s="51" t="str">
        <f>'график анн Базова'!P59</f>
        <v/>
      </c>
      <c r="P64" s="147" t="str">
        <f>'график анн Базова'!Q59</f>
        <v/>
      </c>
    </row>
    <row r="65" spans="1:16" x14ac:dyDescent="0.35">
      <c r="A65" s="154">
        <f>'график анн Базова'!A60</f>
        <v>36</v>
      </c>
      <c r="B65" s="155">
        <f ca="1">'график анн Базова'!C60</f>
        <v>45583</v>
      </c>
      <c r="C65" s="156">
        <f ca="1">'график анн Базова'!D60</f>
        <v>30</v>
      </c>
      <c r="D65" s="47">
        <f ca="1">'график анн Базова'!E60</f>
        <v>1921655.8517015327</v>
      </c>
      <c r="E65" s="47">
        <f ca="1">'график анн Базова'!H60</f>
        <v>23232.527337695603</v>
      </c>
      <c r="F65" s="47">
        <f ca="1">'график анн Базова'!F60</f>
        <v>2945.3377505206772</v>
      </c>
      <c r="G65" s="47">
        <f ca="1">'график анн Базова'!G60</f>
        <v>20287.189587174926</v>
      </c>
      <c r="H65" s="157">
        <f>'график анн Базова'!O60</f>
        <v>0</v>
      </c>
      <c r="I65" s="157" t="str">
        <f>'график анн Базова'!M60</f>
        <v/>
      </c>
      <c r="J65" s="201" t="str">
        <f>'график анн Базова'!N60</f>
        <v/>
      </c>
      <c r="K65" s="157" t="str">
        <f>'график анн Базова'!I60</f>
        <v/>
      </c>
      <c r="L65" s="157" t="str">
        <f>'график анн Базова'!J60</f>
        <v/>
      </c>
      <c r="M65" s="157">
        <f>'график анн Базова'!K60</f>
        <v>0</v>
      </c>
      <c r="N65" s="157" t="str">
        <f>'график анн Базова'!L60</f>
        <v/>
      </c>
      <c r="O65" s="51" t="str">
        <f>'график анн Базова'!P60</f>
        <v/>
      </c>
      <c r="P65" s="147" t="str">
        <f>'график анн Базова'!Q60</f>
        <v/>
      </c>
    </row>
    <row r="66" spans="1:16" x14ac:dyDescent="0.35">
      <c r="A66" s="154">
        <f>'график анн Базова'!A61</f>
        <v>37</v>
      </c>
      <c r="B66" s="155">
        <f ca="1">'график анн Базова'!C61</f>
        <v>45614</v>
      </c>
      <c r="C66" s="156">
        <f ca="1">'график анн Базова'!D61</f>
        <v>31</v>
      </c>
      <c r="D66" s="47">
        <f ca="1">'график анн Базова'!E61</f>
        <v>1919354.6719550758</v>
      </c>
      <c r="E66" s="47">
        <f ca="1">'график анн Базова'!H61</f>
        <v>23232.527337695603</v>
      </c>
      <c r="F66" s="47">
        <f ca="1">'график анн Базова'!F61</f>
        <v>2301.1797464569972</v>
      </c>
      <c r="G66" s="47">
        <f ca="1">'график анн Базова'!G61</f>
        <v>20931.347591238606</v>
      </c>
      <c r="H66" s="157">
        <f>'график анн Базова'!O61</f>
        <v>0</v>
      </c>
      <c r="I66" s="157" t="str">
        <f>'график анн Базова'!M61</f>
        <v/>
      </c>
      <c r="J66" s="201">
        <f>'график анн Базова'!N61</f>
        <v>0</v>
      </c>
      <c r="K66" s="157" t="str">
        <f>'график анн Базова'!I61</f>
        <v/>
      </c>
      <c r="L66" s="157" t="str">
        <f>'график анн Базова'!J61</f>
        <v/>
      </c>
      <c r="M66" s="201">
        <f>'график анн Базова'!K61</f>
        <v>7500</v>
      </c>
      <c r="N66" s="157" t="str">
        <f>'график анн Базова'!L61</f>
        <v/>
      </c>
      <c r="O66" s="51" t="str">
        <f>'график анн Базова'!P61</f>
        <v/>
      </c>
      <c r="P66" s="147" t="str">
        <f>'график анн Базова'!Q61</f>
        <v/>
      </c>
    </row>
    <row r="67" spans="1:16" x14ac:dyDescent="0.35">
      <c r="A67" s="154">
        <f>'график анн Базова'!A62</f>
        <v>38</v>
      </c>
      <c r="B67" s="155">
        <f ca="1">'график анн Базова'!C62</f>
        <v>45644</v>
      </c>
      <c r="C67" s="156">
        <f ca="1">'график анн Базова'!D62</f>
        <v>30</v>
      </c>
      <c r="D67" s="47">
        <f ca="1">'график анн Базова'!E62</f>
        <v>1916354.0307496281</v>
      </c>
      <c r="E67" s="47">
        <f ca="1">'график анн Базова'!H62</f>
        <v>23232.527337695603</v>
      </c>
      <c r="F67" s="47">
        <f ca="1">'график анн Базова'!F62</f>
        <v>3000.6412054478351</v>
      </c>
      <c r="G67" s="47">
        <f ca="1">'график анн Базова'!G62</f>
        <v>20231.886132247768</v>
      </c>
      <c r="H67" s="157">
        <f>'график анн Базова'!O62</f>
        <v>0</v>
      </c>
      <c r="I67" s="157" t="str">
        <f>'график анн Базова'!M62</f>
        <v/>
      </c>
      <c r="J67" s="201" t="str">
        <f>'график анн Базова'!N62</f>
        <v/>
      </c>
      <c r="K67" s="157" t="str">
        <f>'график анн Базова'!I62</f>
        <v/>
      </c>
      <c r="L67" s="157" t="str">
        <f>'график анн Базова'!J62</f>
        <v/>
      </c>
      <c r="M67" s="157">
        <f>'график анн Базова'!K62</f>
        <v>0</v>
      </c>
      <c r="N67" s="157" t="str">
        <f>'график анн Базова'!L62</f>
        <v/>
      </c>
      <c r="O67" s="51" t="str">
        <f>'график анн Базова'!P62</f>
        <v/>
      </c>
      <c r="P67" s="147" t="str">
        <f>'график анн Базова'!Q62</f>
        <v/>
      </c>
    </row>
    <row r="68" spans="1:16" x14ac:dyDescent="0.35">
      <c r="A68" s="154">
        <f>'график анн Базова'!A63</f>
        <v>39</v>
      </c>
      <c r="B68" s="155">
        <f ca="1">'график анн Базова'!C63</f>
        <v>45675</v>
      </c>
      <c r="C68" s="156">
        <f ca="1">'график анн Базова'!D63</f>
        <v>31</v>
      </c>
      <c r="D68" s="47">
        <f ca="1">'график анн Базова'!E63</f>
        <v>1913995.1017151743</v>
      </c>
      <c r="E68" s="47">
        <f ca="1">'график анн Базова'!H63</f>
        <v>23232.527337695603</v>
      </c>
      <c r="F68" s="47">
        <f ca="1">'график анн Базова'!F63</f>
        <v>2358.9290344538895</v>
      </c>
      <c r="G68" s="47">
        <f ca="1">'график анн Базова'!G63</f>
        <v>20873.598303241713</v>
      </c>
      <c r="H68" s="157">
        <f>'график анн Базова'!O63</f>
        <v>0</v>
      </c>
      <c r="I68" s="157" t="str">
        <f>'график анн Базова'!M63</f>
        <v/>
      </c>
      <c r="J68" s="201" t="str">
        <f>'график анн Базова'!N63</f>
        <v/>
      </c>
      <c r="K68" s="157" t="str">
        <f>'график анн Базова'!I63</f>
        <v/>
      </c>
      <c r="L68" s="157" t="str">
        <f>'график анн Базова'!J63</f>
        <v/>
      </c>
      <c r="M68" s="157">
        <f>'график анн Базова'!K63</f>
        <v>0</v>
      </c>
      <c r="N68" s="157" t="str">
        <f>'график анн Базова'!L63</f>
        <v/>
      </c>
      <c r="O68" s="51" t="str">
        <f>'график анн Базова'!P63</f>
        <v/>
      </c>
      <c r="P68" s="147" t="str">
        <f>'график анн Базова'!Q63</f>
        <v/>
      </c>
    </row>
    <row r="69" spans="1:16" x14ac:dyDescent="0.35">
      <c r="A69" s="154">
        <f>'график анн Базова'!A64</f>
        <v>40</v>
      </c>
      <c r="B69" s="155">
        <f ca="1">'график анн Базова'!C64</f>
        <v>45706</v>
      </c>
      <c r="C69" s="156">
        <f ca="1">'график анн Базова'!D64</f>
        <v>31</v>
      </c>
      <c r="D69" s="47">
        <f ca="1">'график анн Базова'!E64</f>
        <v>1911667.5959459655</v>
      </c>
      <c r="E69" s="47">
        <f ca="1">'график анн Базова'!H64</f>
        <v>23232.527337695603</v>
      </c>
      <c r="F69" s="47">
        <f ca="1">'график анн Базова'!F64</f>
        <v>2327.5057692087175</v>
      </c>
      <c r="G69" s="47">
        <f ca="1">'график анн Базова'!G64</f>
        <v>20905.021568486885</v>
      </c>
      <c r="H69" s="157">
        <f>'график анн Базова'!O64</f>
        <v>0</v>
      </c>
      <c r="I69" s="157" t="str">
        <f>'график анн Базова'!M64</f>
        <v/>
      </c>
      <c r="J69" s="201" t="str">
        <f>'график анн Базова'!N64</f>
        <v/>
      </c>
      <c r="K69" s="157" t="str">
        <f>'график анн Базова'!I64</f>
        <v/>
      </c>
      <c r="L69" s="157" t="str">
        <f>'график анн Базова'!J64</f>
        <v/>
      </c>
      <c r="M69" s="157">
        <f>'график анн Базова'!K64</f>
        <v>0</v>
      </c>
      <c r="N69" s="157" t="str">
        <f>'график анн Базова'!L64</f>
        <v/>
      </c>
      <c r="O69" s="51" t="str">
        <f>'график анн Базова'!P64</f>
        <v/>
      </c>
      <c r="P69" s="147" t="str">
        <f>'график анн Базова'!Q64</f>
        <v/>
      </c>
    </row>
    <row r="70" spans="1:16" x14ac:dyDescent="0.35">
      <c r="A70" s="154">
        <f>'график анн Базова'!A65</f>
        <v>41</v>
      </c>
      <c r="B70" s="155">
        <f ca="1">'график анн Базова'!C65</f>
        <v>45734</v>
      </c>
      <c r="C70" s="156">
        <f ca="1">'график анн Базова'!D65</f>
        <v>28</v>
      </c>
      <c r="D70" s="47">
        <f ca="1">'график анн Базова'!E65</f>
        <v>1907294.062250687</v>
      </c>
      <c r="E70" s="47">
        <f ca="1">'график анн Базова'!H65</f>
        <v>23232.527337695603</v>
      </c>
      <c r="F70" s="47">
        <f ca="1">'график анн Базова'!F65</f>
        <v>4373.5336952785292</v>
      </c>
      <c r="G70" s="47">
        <f ca="1">'график анн Базова'!G65</f>
        <v>18858.993642417074</v>
      </c>
      <c r="H70" s="157">
        <f>'график анн Базова'!O65</f>
        <v>0</v>
      </c>
      <c r="I70" s="157" t="str">
        <f>'график анн Базова'!M65</f>
        <v/>
      </c>
      <c r="J70" s="201" t="str">
        <f>'график анн Базова'!N65</f>
        <v/>
      </c>
      <c r="K70" s="157" t="str">
        <f>'график анн Базова'!I65</f>
        <v/>
      </c>
      <c r="L70" s="157" t="str">
        <f>'график анн Базова'!J65</f>
        <v/>
      </c>
      <c r="M70" s="157">
        <f>'график анн Базова'!K65</f>
        <v>0</v>
      </c>
      <c r="N70" s="157" t="str">
        <f>'график анн Базова'!L65</f>
        <v/>
      </c>
      <c r="O70" s="51" t="str">
        <f>'график анн Базова'!P65</f>
        <v/>
      </c>
      <c r="P70" s="147" t="str">
        <f>'график анн Базова'!Q65</f>
        <v/>
      </c>
    </row>
    <row r="71" spans="1:16" x14ac:dyDescent="0.35">
      <c r="A71" s="154">
        <f>'график анн Базова'!A66</f>
        <v>42</v>
      </c>
      <c r="B71" s="155">
        <f ca="1">'график анн Базова'!C66</f>
        <v>45765</v>
      </c>
      <c r="C71" s="156">
        <f ca="1">'график анн Базова'!D66</f>
        <v>31</v>
      </c>
      <c r="D71" s="47">
        <f ca="1">'график анн Базова'!E66</f>
        <v>1904893.3664433165</v>
      </c>
      <c r="E71" s="47">
        <f ca="1">'график анн Базова'!H66</f>
        <v>23232.527337695603</v>
      </c>
      <c r="F71" s="47">
        <f ca="1">'график анн Базова'!F66</f>
        <v>2400.6958073707028</v>
      </c>
      <c r="G71" s="47">
        <f ca="1">'график анн Базова'!G66</f>
        <v>20831.8315303249</v>
      </c>
      <c r="H71" s="157">
        <f>'график анн Базова'!O66</f>
        <v>0</v>
      </c>
      <c r="I71" s="157" t="str">
        <f>'график анн Базова'!M66</f>
        <v/>
      </c>
      <c r="J71" s="201" t="str">
        <f>'график анн Базова'!N66</f>
        <v/>
      </c>
      <c r="K71" s="157" t="str">
        <f>'график анн Базова'!I66</f>
        <v/>
      </c>
      <c r="L71" s="157" t="str">
        <f>'график анн Базова'!J66</f>
        <v/>
      </c>
      <c r="M71" s="157">
        <f>'график анн Базова'!K66</f>
        <v>0</v>
      </c>
      <c r="N71" s="157" t="str">
        <f>'график анн Базова'!L66</f>
        <v/>
      </c>
      <c r="O71" s="51" t="str">
        <f>'график анн Базова'!P66</f>
        <v/>
      </c>
      <c r="P71" s="147" t="str">
        <f>'график анн Базова'!Q66</f>
        <v/>
      </c>
    </row>
    <row r="72" spans="1:16" x14ac:dyDescent="0.35">
      <c r="A72" s="154">
        <f>'график анн Базова'!A67</f>
        <v>43</v>
      </c>
      <c r="B72" s="155">
        <f ca="1">'график анн Базова'!C67</f>
        <v>45795</v>
      </c>
      <c r="C72" s="156">
        <f ca="1">'график анн Базова'!D67</f>
        <v>30</v>
      </c>
      <c r="D72" s="47">
        <f ca="1">'график анн Базова'!E67</f>
        <v>1901795.3010446299</v>
      </c>
      <c r="E72" s="47">
        <f ca="1">'график анн Базова'!H67</f>
        <v>23232.527337695603</v>
      </c>
      <c r="F72" s="47">
        <f ca="1">'график анн Базова'!F67</f>
        <v>3098.0653986865218</v>
      </c>
      <c r="G72" s="47">
        <f ca="1">'график анн Базова'!G67</f>
        <v>20134.461939009081</v>
      </c>
      <c r="H72" s="157">
        <f>'график анн Базова'!O67</f>
        <v>0</v>
      </c>
      <c r="I72" s="157" t="str">
        <f>'график анн Базова'!M67</f>
        <v/>
      </c>
      <c r="J72" s="201" t="str">
        <f>'график анн Базова'!N67</f>
        <v/>
      </c>
      <c r="K72" s="157" t="str">
        <f>'график анн Базова'!I67</f>
        <v/>
      </c>
      <c r="L72" s="157" t="str">
        <f>'график анн Базова'!J67</f>
        <v/>
      </c>
      <c r="M72" s="157">
        <f>'график анн Базова'!K67</f>
        <v>0</v>
      </c>
      <c r="N72" s="157" t="str">
        <f>'график анн Базова'!L67</f>
        <v/>
      </c>
      <c r="O72" s="51" t="str">
        <f>'график анн Базова'!P67</f>
        <v/>
      </c>
      <c r="P72" s="147" t="str">
        <f>'график анн Базова'!Q67</f>
        <v/>
      </c>
    </row>
    <row r="73" spans="1:16" x14ac:dyDescent="0.35">
      <c r="A73" s="154">
        <f>'график анн Базова'!A68</f>
        <v>44</v>
      </c>
      <c r="B73" s="155">
        <f ca="1">'график анн Базова'!C68</f>
        <v>45826</v>
      </c>
      <c r="C73" s="156">
        <f ca="1">'график анн Базова'!D68</f>
        <v>31</v>
      </c>
      <c r="D73" s="47">
        <f ca="1">'график анн Базова'!E68</f>
        <v>1899334.5467128097</v>
      </c>
      <c r="E73" s="47">
        <f ca="1">'график анн Базова'!H68</f>
        <v>23232.527337695603</v>
      </c>
      <c r="F73" s="47">
        <f ca="1">'график анн Базова'!F68</f>
        <v>2460.7543318202006</v>
      </c>
      <c r="G73" s="47">
        <f ca="1">'график анн Базова'!G68</f>
        <v>20771.773005875402</v>
      </c>
      <c r="H73" s="157">
        <f>'график анн Базова'!O68</f>
        <v>0</v>
      </c>
      <c r="I73" s="157" t="str">
        <f>'график анн Базова'!M68</f>
        <v/>
      </c>
      <c r="J73" s="201" t="str">
        <f>'график анн Базова'!N68</f>
        <v/>
      </c>
      <c r="K73" s="157" t="str">
        <f>'график анн Базова'!I68</f>
        <v/>
      </c>
      <c r="L73" s="157" t="str">
        <f>'график анн Базова'!J68</f>
        <v/>
      </c>
      <c r="M73" s="157">
        <f>'график анн Базова'!K68</f>
        <v>0</v>
      </c>
      <c r="N73" s="157" t="str">
        <f>'график анн Базова'!L68</f>
        <v/>
      </c>
      <c r="O73" s="51" t="str">
        <f>'график анн Базова'!P68</f>
        <v/>
      </c>
      <c r="P73" s="147" t="str">
        <f>'график анн Базова'!Q68</f>
        <v/>
      </c>
    </row>
    <row r="74" spans="1:16" x14ac:dyDescent="0.35">
      <c r="A74" s="154">
        <f>'график анн Базова'!A69</f>
        <v>45</v>
      </c>
      <c r="B74" s="155">
        <f ca="1">'график анн Базова'!C69</f>
        <v>45856</v>
      </c>
      <c r="C74" s="156">
        <f ca="1">'график анн Базова'!D69</f>
        <v>30</v>
      </c>
      <c r="D74" s="47">
        <f ca="1">'график анн Базова'!E69</f>
        <v>1896177.725351054</v>
      </c>
      <c r="E74" s="47">
        <f ca="1">'график анн Базова'!H69</f>
        <v>23232.527337695603</v>
      </c>
      <c r="F74" s="47">
        <f ca="1">'график анн Базова'!F69</f>
        <v>3156.8213617558213</v>
      </c>
      <c r="G74" s="47">
        <f ca="1">'график анн Базова'!G69</f>
        <v>20075.705975939782</v>
      </c>
      <c r="H74" s="157">
        <f>'график анн Базова'!O69</f>
        <v>0</v>
      </c>
      <c r="I74" s="157" t="str">
        <f>'график анн Базова'!M69</f>
        <v/>
      </c>
      <c r="J74" s="201" t="str">
        <f>'график анн Базова'!N69</f>
        <v/>
      </c>
      <c r="K74" s="157" t="str">
        <f>'график анн Базова'!I69</f>
        <v/>
      </c>
      <c r="L74" s="157" t="str">
        <f>'график анн Базова'!J69</f>
        <v/>
      </c>
      <c r="M74" s="157">
        <f>'график анн Базова'!K69</f>
        <v>0</v>
      </c>
      <c r="N74" s="157" t="str">
        <f>'график анн Базова'!L69</f>
        <v/>
      </c>
      <c r="O74" s="51" t="str">
        <f>'график анн Базова'!P69</f>
        <v/>
      </c>
      <c r="P74" s="147" t="str">
        <f>'график анн Базова'!Q69</f>
        <v/>
      </c>
    </row>
    <row r="75" spans="1:16" x14ac:dyDescent="0.35">
      <c r="A75" s="154">
        <f>'график анн Базова'!A70</f>
        <v>46</v>
      </c>
      <c r="B75" s="155">
        <f ca="1">'график анн Базова'!C70</f>
        <v>45887</v>
      </c>
      <c r="C75" s="156">
        <f ca="1">'график анн Базова'!D70</f>
        <v>31</v>
      </c>
      <c r="D75" s="47">
        <f ca="1">'график анн Базова'!E70</f>
        <v>1893655.6147801653</v>
      </c>
      <c r="E75" s="47">
        <f ca="1">'график анн Базова'!H70</f>
        <v>23232.527337695603</v>
      </c>
      <c r="F75" s="47">
        <f ca="1">'график анн Базова'!F70</f>
        <v>2522.1105708887226</v>
      </c>
      <c r="G75" s="47">
        <f ca="1">'график анн Базова'!G70</f>
        <v>20710.41676680688</v>
      </c>
      <c r="H75" s="157">
        <f>'график анн Базова'!O70</f>
        <v>0</v>
      </c>
      <c r="I75" s="157" t="str">
        <f>'график анн Базова'!M70</f>
        <v/>
      </c>
      <c r="J75" s="201" t="str">
        <f>'график анн Базова'!N70</f>
        <v/>
      </c>
      <c r="K75" s="157" t="str">
        <f>'график анн Базова'!I70</f>
        <v/>
      </c>
      <c r="L75" s="157" t="str">
        <f>'график анн Базова'!J70</f>
        <v/>
      </c>
      <c r="M75" s="157">
        <f>'график анн Базова'!K70</f>
        <v>0</v>
      </c>
      <c r="N75" s="157" t="str">
        <f>'график анн Базова'!L70</f>
        <v/>
      </c>
      <c r="O75" s="51" t="str">
        <f>'график анн Базова'!P70</f>
        <v/>
      </c>
      <c r="P75" s="147" t="str">
        <f>'график анн Базова'!Q70</f>
        <v/>
      </c>
    </row>
    <row r="76" spans="1:16" x14ac:dyDescent="0.35">
      <c r="A76" s="154">
        <f>'график анн Базова'!A71</f>
        <v>47</v>
      </c>
      <c r="B76" s="155">
        <f ca="1">'график анн Базова'!C71</f>
        <v>45918</v>
      </c>
      <c r="C76" s="156">
        <f ca="1">'график анн Базова'!D71</f>
        <v>31</v>
      </c>
      <c r="D76" s="47">
        <f ca="1">'график анн Базова'!E71</f>
        <v>1891105.9572339288</v>
      </c>
      <c r="E76" s="47">
        <f ca="1">'график анн Базова'!H71</f>
        <v>23232.527337695603</v>
      </c>
      <c r="F76" s="47">
        <f ca="1">'график анн Базова'!F71</f>
        <v>2549.657546236409</v>
      </c>
      <c r="G76" s="47">
        <f ca="1">'график анн Базова'!G71</f>
        <v>20682.869791459194</v>
      </c>
      <c r="H76" s="157">
        <f>'график анн Базова'!O71</f>
        <v>0</v>
      </c>
      <c r="I76" s="157" t="str">
        <f>'график анн Базова'!M71</f>
        <v/>
      </c>
      <c r="J76" s="201" t="str">
        <f>'график анн Базова'!N71</f>
        <v/>
      </c>
      <c r="K76" s="157" t="str">
        <f>'график анн Базова'!I71</f>
        <v/>
      </c>
      <c r="L76" s="157" t="str">
        <f>'график анн Базова'!J71</f>
        <v/>
      </c>
      <c r="M76" s="157">
        <f>'график анн Базова'!K71</f>
        <v>0</v>
      </c>
      <c r="N76" s="157" t="str">
        <f>'график анн Базова'!L71</f>
        <v/>
      </c>
      <c r="O76" s="51" t="str">
        <f>'график анн Базова'!P71</f>
        <v/>
      </c>
      <c r="P76" s="147" t="str">
        <f>'график анн Базова'!Q71</f>
        <v/>
      </c>
    </row>
    <row r="77" spans="1:16" x14ac:dyDescent="0.35">
      <c r="A77" s="154">
        <f>'график анн Базова'!A72</f>
        <v>48</v>
      </c>
      <c r="B77" s="155">
        <f ca="1">'график анн Базова'!C72</f>
        <v>45948</v>
      </c>
      <c r="C77" s="156">
        <f ca="1">'график анн Базова'!D72</f>
        <v>30</v>
      </c>
      <c r="D77" s="47">
        <f ca="1">'график анн Базова'!E72</f>
        <v>1887862.1608085854</v>
      </c>
      <c r="E77" s="47">
        <f ca="1">'график анн Базова'!H72</f>
        <v>23232.527337695603</v>
      </c>
      <c r="F77" s="47">
        <f ca="1">'график анн Базова'!F72</f>
        <v>3243.7964253435566</v>
      </c>
      <c r="G77" s="47">
        <f ca="1">'график анн Базова'!G72</f>
        <v>19988.730912352046</v>
      </c>
      <c r="H77" s="157">
        <f>'график анн Базова'!O72</f>
        <v>0</v>
      </c>
      <c r="I77" s="157" t="str">
        <f>'график анн Базова'!M72</f>
        <v/>
      </c>
      <c r="J77" s="201" t="str">
        <f>'график анн Базова'!N72</f>
        <v/>
      </c>
      <c r="K77" s="157" t="str">
        <f>'график анн Базова'!I72</f>
        <v/>
      </c>
      <c r="L77" s="157" t="str">
        <f>'график анн Базова'!J72</f>
        <v/>
      </c>
      <c r="M77" s="157">
        <f>'график анн Базова'!K72</f>
        <v>0</v>
      </c>
      <c r="N77" s="157" t="str">
        <f>'график анн Базова'!L72</f>
        <v/>
      </c>
      <c r="O77" s="51" t="str">
        <f>'график анн Базова'!P72</f>
        <v/>
      </c>
      <c r="P77" s="147" t="str">
        <f>'график анн Базова'!Q72</f>
        <v/>
      </c>
    </row>
    <row r="78" spans="1:16" x14ac:dyDescent="0.35">
      <c r="A78" s="154">
        <f>'график анн Базова'!A73</f>
        <v>49</v>
      </c>
      <c r="B78" s="155">
        <f ca="1">'график анн Базова'!C73</f>
        <v>45979</v>
      </c>
      <c r="C78" s="156">
        <f ca="1">'график анн Базова'!D73</f>
        <v>31</v>
      </c>
      <c r="D78" s="47">
        <f ca="1">'график анн Базова'!E73</f>
        <v>1885249.2260469981</v>
      </c>
      <c r="E78" s="47">
        <f ca="1">'график анн Базова'!H73</f>
        <v>23232.527337695603</v>
      </c>
      <c r="F78" s="47">
        <f ca="1">'график анн Базова'!F73</f>
        <v>2612.9347615873667</v>
      </c>
      <c r="G78" s="47">
        <f ca="1">'график анн Базова'!G73</f>
        <v>20619.592576108236</v>
      </c>
      <c r="H78" s="157">
        <f>'график анн Базова'!O73</f>
        <v>0</v>
      </c>
      <c r="I78" s="157" t="str">
        <f>'график анн Базова'!M73</f>
        <v/>
      </c>
      <c r="J78" s="201">
        <f>'график анн Базова'!N73</f>
        <v>0</v>
      </c>
      <c r="K78" s="157" t="str">
        <f>'график анн Базова'!I73</f>
        <v/>
      </c>
      <c r="L78" s="157" t="str">
        <f>'график анн Базова'!J73</f>
        <v/>
      </c>
      <c r="M78" s="201">
        <f>'график анн Базова'!K73</f>
        <v>7500</v>
      </c>
      <c r="N78" s="157" t="str">
        <f>'график анн Базова'!L73</f>
        <v/>
      </c>
      <c r="O78" s="51" t="str">
        <f>'график анн Базова'!P73</f>
        <v/>
      </c>
      <c r="P78" s="147" t="str">
        <f>'график анн Базова'!Q73</f>
        <v/>
      </c>
    </row>
    <row r="79" spans="1:16" x14ac:dyDescent="0.35">
      <c r="A79" s="154">
        <f>'график анн Базова'!A74</f>
        <v>50</v>
      </c>
      <c r="B79" s="155">
        <f ca="1">'график анн Базова'!C74</f>
        <v>46009</v>
      </c>
      <c r="C79" s="156">
        <f ca="1">'график анн Базова'!D74</f>
        <v>30</v>
      </c>
      <c r="D79" s="47">
        <f ca="1">'график анн Базова'!E74</f>
        <v>1881943.5247753006</v>
      </c>
      <c r="E79" s="47">
        <f ca="1">'график анн Базова'!H74</f>
        <v>23232.527337695603</v>
      </c>
      <c r="F79" s="47">
        <f ca="1">'график анн Базова'!F74</f>
        <v>3305.7012716974714</v>
      </c>
      <c r="G79" s="47">
        <f ca="1">'график анн Базова'!G74</f>
        <v>19926.826065998132</v>
      </c>
      <c r="H79" s="157">
        <f>'график анн Базова'!O74</f>
        <v>0</v>
      </c>
      <c r="I79" s="157" t="str">
        <f>'график анн Базова'!M74</f>
        <v/>
      </c>
      <c r="J79" s="201" t="str">
        <f>'график анн Базова'!N74</f>
        <v/>
      </c>
      <c r="K79" s="157" t="str">
        <f>'график анн Базова'!I74</f>
        <v/>
      </c>
      <c r="L79" s="157" t="str">
        <f>'график анн Базова'!J74</f>
        <v/>
      </c>
      <c r="M79" s="157">
        <f>'график анн Базова'!K74</f>
        <v>0</v>
      </c>
      <c r="N79" s="157" t="str">
        <f>'график анн Базова'!L74</f>
        <v/>
      </c>
      <c r="O79" s="51" t="str">
        <f>'график анн Базова'!P74</f>
        <v/>
      </c>
      <c r="P79" s="147" t="str">
        <f>'график анн Базова'!Q74</f>
        <v/>
      </c>
    </row>
    <row r="80" spans="1:16" x14ac:dyDescent="0.35">
      <c r="A80" s="154">
        <f>'график анн Базова'!A75</f>
        <v>51</v>
      </c>
      <c r="B80" s="155">
        <f ca="1">'график анн Базова'!C75</f>
        <v>46040</v>
      </c>
      <c r="C80" s="156">
        <f ca="1">'график анн Базова'!D75</f>
        <v>31</v>
      </c>
      <c r="D80" s="47">
        <f ca="1">'график анн Базова'!E75</f>
        <v>1879265.9455358768</v>
      </c>
      <c r="E80" s="47">
        <f ca="1">'график анн Базова'!H75</f>
        <v>23232.527337695603</v>
      </c>
      <c r="F80" s="47">
        <f ca="1">'график анн Базова'!F75</f>
        <v>2677.5792394237869</v>
      </c>
      <c r="G80" s="47">
        <f ca="1">'график анн Базова'!G75</f>
        <v>20554.948098271816</v>
      </c>
      <c r="H80" s="157">
        <f>'график анн Базова'!O75</f>
        <v>0</v>
      </c>
      <c r="I80" s="157" t="str">
        <f>'график анн Базова'!M75</f>
        <v/>
      </c>
      <c r="J80" s="201" t="str">
        <f>'график анн Базова'!N75</f>
        <v/>
      </c>
      <c r="K80" s="157" t="str">
        <f>'график анн Базова'!I75</f>
        <v/>
      </c>
      <c r="L80" s="157" t="str">
        <f>'график анн Базова'!J75</f>
        <v/>
      </c>
      <c r="M80" s="157">
        <f>'график анн Базова'!K75</f>
        <v>0</v>
      </c>
      <c r="N80" s="157" t="str">
        <f>'график анн Базова'!L75</f>
        <v/>
      </c>
      <c r="O80" s="51" t="str">
        <f>'график анн Базова'!P75</f>
        <v/>
      </c>
      <c r="P80" s="147" t="str">
        <f>'график анн Базова'!Q75</f>
        <v/>
      </c>
    </row>
    <row r="81" spans="1:16" x14ac:dyDescent="0.35">
      <c r="A81" s="154">
        <f>'график анн Базова'!A76</f>
        <v>52</v>
      </c>
      <c r="B81" s="155">
        <f ca="1">'график анн Базова'!C76</f>
        <v>46071</v>
      </c>
      <c r="C81" s="156">
        <f ca="1">'график анн Базова'!D76</f>
        <v>31</v>
      </c>
      <c r="D81" s="47">
        <f ca="1">'график анн Базова'!E76</f>
        <v>1876559.1212624917</v>
      </c>
      <c r="E81" s="47">
        <f ca="1">'график анн Базова'!H76</f>
        <v>23232.527337695603</v>
      </c>
      <c r="F81" s="47">
        <f ca="1">'график анн Базова'!F76</f>
        <v>2706.8242733851221</v>
      </c>
      <c r="G81" s="47">
        <f ca="1">'график анн Базова'!G76</f>
        <v>20525.703064310481</v>
      </c>
      <c r="H81" s="157">
        <f>'график анн Базова'!O76</f>
        <v>0</v>
      </c>
      <c r="I81" s="157" t="str">
        <f>'график анн Базова'!M76</f>
        <v/>
      </c>
      <c r="J81" s="201" t="str">
        <f>'график анн Базова'!N76</f>
        <v/>
      </c>
      <c r="K81" s="157" t="str">
        <f>'график анн Базова'!I76</f>
        <v/>
      </c>
      <c r="L81" s="157" t="str">
        <f>'график анн Базова'!J76</f>
        <v/>
      </c>
      <c r="M81" s="157">
        <f>'график анн Базова'!K76</f>
        <v>0</v>
      </c>
      <c r="N81" s="157" t="str">
        <f>'график анн Базова'!L76</f>
        <v/>
      </c>
      <c r="O81" s="51" t="str">
        <f>'график анн Базова'!P76</f>
        <v/>
      </c>
      <c r="P81" s="147" t="str">
        <f>'график анн Базова'!Q76</f>
        <v/>
      </c>
    </row>
    <row r="82" spans="1:16" x14ac:dyDescent="0.35">
      <c r="A82" s="154">
        <f>'график анн Базова'!A77</f>
        <v>53</v>
      </c>
      <c r="B82" s="155">
        <f ca="1">'график анн Базова'!C77</f>
        <v>46099</v>
      </c>
      <c r="C82" s="156">
        <f ca="1">'график анн Базова'!D77</f>
        <v>28</v>
      </c>
      <c r="D82" s="47">
        <f ca="1">'график анн Базова'!E77</f>
        <v>1871839.2352503906</v>
      </c>
      <c r="E82" s="47">
        <f ca="1">'график анн Базова'!H77</f>
        <v>23232.527337695603</v>
      </c>
      <c r="F82" s="47">
        <f ca="1">'график анн Базова'!F77</f>
        <v>4719.8860121011348</v>
      </c>
      <c r="G82" s="47">
        <f ca="1">'график анн Базова'!G77</f>
        <v>18512.641325594468</v>
      </c>
      <c r="H82" s="157">
        <f>'график анн Базова'!O77</f>
        <v>0</v>
      </c>
      <c r="I82" s="157" t="str">
        <f>'график анн Базова'!M77</f>
        <v/>
      </c>
      <c r="J82" s="201" t="str">
        <f>'график анн Базова'!N77</f>
        <v/>
      </c>
      <c r="K82" s="157" t="str">
        <f>'график анн Базова'!I77</f>
        <v/>
      </c>
      <c r="L82" s="157" t="str">
        <f>'график анн Базова'!J77</f>
        <v/>
      </c>
      <c r="M82" s="157">
        <f>'график анн Базова'!K77</f>
        <v>0</v>
      </c>
      <c r="N82" s="157" t="str">
        <f>'график анн Базова'!L77</f>
        <v/>
      </c>
      <c r="O82" s="51" t="str">
        <f>'график анн Базова'!P77</f>
        <v/>
      </c>
      <c r="P82" s="147" t="str">
        <f>'график анн Базова'!Q77</f>
        <v/>
      </c>
    </row>
    <row r="83" spans="1:16" x14ac:dyDescent="0.35">
      <c r="A83" s="154">
        <f>'график анн Базова'!A78</f>
        <v>54</v>
      </c>
      <c r="B83" s="155">
        <f ca="1">'график анн Базова'!C78</f>
        <v>46130</v>
      </c>
      <c r="C83" s="156">
        <f ca="1">'график анн Базова'!D78</f>
        <v>31</v>
      </c>
      <c r="D83" s="47">
        <f ca="1">'график анн Базова'!E78</f>
        <v>1869051.2950229668</v>
      </c>
      <c r="E83" s="47">
        <f ca="1">'график анн Базова'!H78</f>
        <v>23232.527337695603</v>
      </c>
      <c r="F83" s="47">
        <f ca="1">'график анн Базова'!F78</f>
        <v>2787.9402274238018</v>
      </c>
      <c r="G83" s="47">
        <f ca="1">'график анн Базова'!G78</f>
        <v>20444.587110271801</v>
      </c>
      <c r="H83" s="157">
        <f>'график анн Базова'!O78</f>
        <v>0</v>
      </c>
      <c r="I83" s="157" t="str">
        <f>'график анн Базова'!M78</f>
        <v/>
      </c>
      <c r="J83" s="201" t="str">
        <f>'график анн Базова'!N78</f>
        <v/>
      </c>
      <c r="K83" s="157" t="str">
        <f>'график анн Базова'!I78</f>
        <v/>
      </c>
      <c r="L83" s="157" t="str">
        <f>'график анн Базова'!J78</f>
        <v/>
      </c>
      <c r="M83" s="157">
        <f>'график анн Базова'!K78</f>
        <v>0</v>
      </c>
      <c r="N83" s="157" t="str">
        <f>'график анн Базова'!L78</f>
        <v/>
      </c>
      <c r="O83" s="51" t="str">
        <f>'график анн Базова'!P78</f>
        <v/>
      </c>
      <c r="P83" s="147" t="str">
        <f>'график анн Базова'!Q78</f>
        <v/>
      </c>
    </row>
    <row r="84" spans="1:16" x14ac:dyDescent="0.35">
      <c r="A84" s="154">
        <f>'график анн Базова'!A79</f>
        <v>55</v>
      </c>
      <c r="B84" s="155">
        <f ca="1">'график анн Базова'!C79</f>
        <v>46160</v>
      </c>
      <c r="C84" s="156">
        <f ca="1">'график анн Базова'!D79</f>
        <v>30</v>
      </c>
      <c r="D84" s="47">
        <f ca="1">'график анн Базова'!E79</f>
        <v>1865574.3838392401</v>
      </c>
      <c r="E84" s="47">
        <f ca="1">'график анн Базова'!H79</f>
        <v>23232.527337695603</v>
      </c>
      <c r="F84" s="47">
        <f ca="1">'график анн Базова'!F79</f>
        <v>3476.911183726821</v>
      </c>
      <c r="G84" s="47">
        <f ca="1">'график анн Базова'!G79</f>
        <v>19755.616153968782</v>
      </c>
      <c r="H84" s="157">
        <f>'график анн Базова'!O79</f>
        <v>0</v>
      </c>
      <c r="I84" s="157" t="str">
        <f>'график анн Базова'!M79</f>
        <v/>
      </c>
      <c r="J84" s="201" t="str">
        <f>'график анн Базова'!N79</f>
        <v/>
      </c>
      <c r="K84" s="157" t="str">
        <f>'график анн Базова'!I79</f>
        <v/>
      </c>
      <c r="L84" s="157" t="str">
        <f>'график анн Базова'!J79</f>
        <v/>
      </c>
      <c r="M84" s="157">
        <f>'график анн Базова'!K79</f>
        <v>0</v>
      </c>
      <c r="N84" s="157" t="str">
        <f>'график анн Базова'!L79</f>
        <v/>
      </c>
      <c r="O84" s="51" t="str">
        <f>'график анн Базова'!P79</f>
        <v/>
      </c>
      <c r="P84" s="147" t="str">
        <f>'график анн Базова'!Q79</f>
        <v/>
      </c>
    </row>
    <row r="85" spans="1:16" x14ac:dyDescent="0.35">
      <c r="A85" s="154">
        <f>'график анн Базова'!A80</f>
        <v>56</v>
      </c>
      <c r="B85" s="155">
        <f ca="1">'график анн Базова'!C80</f>
        <v>46191</v>
      </c>
      <c r="C85" s="156">
        <f ca="1">'график анн Базова'!D80</f>
        <v>31</v>
      </c>
      <c r="D85" s="47">
        <f ca="1">'график анн Базова'!E80</f>
        <v>1862718.0177032254</v>
      </c>
      <c r="E85" s="47">
        <f ca="1">'график анн Базова'!H80</f>
        <v>23232.527337695603</v>
      </c>
      <c r="F85" s="47">
        <f ca="1">'график анн Базова'!F80</f>
        <v>2856.3661360147416</v>
      </c>
      <c r="G85" s="47">
        <f ca="1">'график анн Базова'!G80</f>
        <v>20376.161201680861</v>
      </c>
      <c r="H85" s="157">
        <f>'график анн Базова'!O80</f>
        <v>0</v>
      </c>
      <c r="I85" s="157" t="str">
        <f>'график анн Базова'!M80</f>
        <v/>
      </c>
      <c r="J85" s="201" t="str">
        <f>'график анн Базова'!N80</f>
        <v/>
      </c>
      <c r="K85" s="157" t="str">
        <f>'график анн Базова'!I80</f>
        <v/>
      </c>
      <c r="L85" s="157" t="str">
        <f>'график анн Базова'!J80</f>
        <v/>
      </c>
      <c r="M85" s="157">
        <f>'график анн Базова'!K80</f>
        <v>0</v>
      </c>
      <c r="N85" s="157" t="str">
        <f>'график анн Базова'!L80</f>
        <v/>
      </c>
      <c r="O85" s="51" t="str">
        <f>'график анн Базова'!P80</f>
        <v/>
      </c>
      <c r="P85" s="147" t="str">
        <f>'график анн Базова'!Q80</f>
        <v/>
      </c>
    </row>
    <row r="86" spans="1:16" x14ac:dyDescent="0.35">
      <c r="A86" s="154">
        <f>'график анн Базова'!A81</f>
        <v>57</v>
      </c>
      <c r="B86" s="155">
        <f ca="1">'график анн Базова'!C81</f>
        <v>46221</v>
      </c>
      <c r="C86" s="156">
        <f ca="1">'график анн Базова'!D81</f>
        <v>30</v>
      </c>
      <c r="D86" s="47">
        <f ca="1">'график анн Базова'!E81</f>
        <v>1859174.1646458011</v>
      </c>
      <c r="E86" s="47">
        <f ca="1">'график анн Базова'!H81</f>
        <v>23232.527337695603</v>
      </c>
      <c r="F86" s="47">
        <f ca="1">'график анн Базова'!F81</f>
        <v>3543.8530574242504</v>
      </c>
      <c r="G86" s="47">
        <f ca="1">'график анн Базова'!G81</f>
        <v>19688.674280271352</v>
      </c>
      <c r="H86" s="157">
        <f>'график анн Базова'!O81</f>
        <v>0</v>
      </c>
      <c r="I86" s="157" t="str">
        <f>'график анн Базова'!M81</f>
        <v/>
      </c>
      <c r="J86" s="201" t="str">
        <f>'график анн Базова'!N81</f>
        <v/>
      </c>
      <c r="K86" s="157" t="str">
        <f>'график анн Базова'!I81</f>
        <v/>
      </c>
      <c r="L86" s="157" t="str">
        <f>'график анн Базова'!J81</f>
        <v/>
      </c>
      <c r="M86" s="157">
        <f>'график анн Базова'!K81</f>
        <v>0</v>
      </c>
      <c r="N86" s="157" t="str">
        <f>'график анн Базова'!L81</f>
        <v/>
      </c>
      <c r="O86" s="51" t="str">
        <f>'график анн Базова'!P81</f>
        <v/>
      </c>
      <c r="P86" s="147" t="str">
        <f>'график анн Базова'!Q81</f>
        <v/>
      </c>
    </row>
    <row r="87" spans="1:16" x14ac:dyDescent="0.35">
      <c r="A87" s="154">
        <f>'график анн Базова'!A82</f>
        <v>58</v>
      </c>
      <c r="B87" s="155">
        <f ca="1">'график анн Базова'!C82</f>
        <v>46252</v>
      </c>
      <c r="C87" s="156">
        <f ca="1">'график анн Базова'!D82</f>
        <v>31</v>
      </c>
      <c r="D87" s="47">
        <f ca="1">'график анн Базова'!E82</f>
        <v>1856247.8940883162</v>
      </c>
      <c r="E87" s="47">
        <f ca="1">'график анн Базова'!H82</f>
        <v>23232.527337695603</v>
      </c>
      <c r="F87" s="47">
        <f ca="1">'график анн Базова'!F82</f>
        <v>2926.2705574847787</v>
      </c>
      <c r="G87" s="47">
        <f ca="1">'график анн Базова'!G82</f>
        <v>20306.256780210824</v>
      </c>
      <c r="H87" s="157">
        <f>'график анн Базова'!O82</f>
        <v>0</v>
      </c>
      <c r="I87" s="157" t="str">
        <f>'график анн Базова'!M82</f>
        <v/>
      </c>
      <c r="J87" s="201" t="str">
        <f>'график анн Базова'!N82</f>
        <v/>
      </c>
      <c r="K87" s="157" t="str">
        <f>'график анн Базова'!I82</f>
        <v/>
      </c>
      <c r="L87" s="157" t="str">
        <f>'график анн Базова'!J82</f>
        <v/>
      </c>
      <c r="M87" s="157">
        <f>'график анн Базова'!K82</f>
        <v>0</v>
      </c>
      <c r="N87" s="157" t="str">
        <f>'график анн Базова'!L82</f>
        <v/>
      </c>
      <c r="O87" s="51" t="str">
        <f>'график анн Базова'!P82</f>
        <v/>
      </c>
      <c r="P87" s="147" t="str">
        <f>'график анн Базова'!Q82</f>
        <v/>
      </c>
    </row>
    <row r="88" spans="1:16" x14ac:dyDescent="0.35">
      <c r="A88" s="154">
        <f>'график анн Базова'!A83</f>
        <v>59</v>
      </c>
      <c r="B88" s="155">
        <f ca="1">'график анн Базова'!C83</f>
        <v>46283</v>
      </c>
      <c r="C88" s="156">
        <f ca="1">'график анн Базова'!D83</f>
        <v>31</v>
      </c>
      <c r="D88" s="47">
        <f ca="1">'график анн Базова'!E83</f>
        <v>1853289.6622426</v>
      </c>
      <c r="E88" s="47">
        <f ca="1">'график анн Базова'!H83</f>
        <v>23232.527337695603</v>
      </c>
      <c r="F88" s="47">
        <f ca="1">'график анн Базова'!F83</f>
        <v>2958.2318457162</v>
      </c>
      <c r="G88" s="47">
        <f ca="1">'график анн Базова'!G83</f>
        <v>20274.295491979403</v>
      </c>
      <c r="H88" s="157">
        <f>'график анн Базова'!O83</f>
        <v>0</v>
      </c>
      <c r="I88" s="157" t="str">
        <f>'график анн Базова'!M83</f>
        <v/>
      </c>
      <c r="J88" s="201" t="str">
        <f>'график анн Базова'!N83</f>
        <v/>
      </c>
      <c r="K88" s="157" t="str">
        <f>'график анн Базова'!I83</f>
        <v/>
      </c>
      <c r="L88" s="157" t="str">
        <f>'график анн Базова'!J83</f>
        <v/>
      </c>
      <c r="M88" s="157">
        <f>'график анн Базова'!K83</f>
        <v>0</v>
      </c>
      <c r="N88" s="157" t="str">
        <f>'график анн Базова'!L83</f>
        <v/>
      </c>
      <c r="O88" s="51" t="str">
        <f>'график анн Базова'!P83</f>
        <v/>
      </c>
      <c r="P88" s="147" t="str">
        <f>'график анн Базова'!Q83</f>
        <v/>
      </c>
    </row>
    <row r="89" spans="1:16" x14ac:dyDescent="0.35">
      <c r="A89" s="154">
        <f>'график анн Базова'!A84</f>
        <v>60</v>
      </c>
      <c r="B89" s="155">
        <f ca="1">'график анн Базова'!C84</f>
        <v>46313</v>
      </c>
      <c r="C89" s="156">
        <f ca="1">'график анн Базова'!D84</f>
        <v>30</v>
      </c>
      <c r="D89" s="47">
        <f ca="1">'график анн Базова'!E84</f>
        <v>1849646.1527595124</v>
      </c>
      <c r="E89" s="47">
        <f ca="1">'график анн Базова'!H84</f>
        <v>23232.527337695603</v>
      </c>
      <c r="F89" s="47">
        <f ca="1">'график анн Базова'!F84</f>
        <v>3643.5094830875169</v>
      </c>
      <c r="G89" s="47">
        <f ca="1">'график анн Базова'!G84</f>
        <v>19589.017854608086</v>
      </c>
      <c r="H89" s="157">
        <f>'график анн Базова'!O84</f>
        <v>0</v>
      </c>
      <c r="I89" s="157" t="str">
        <f>'график анн Базова'!M84</f>
        <v/>
      </c>
      <c r="J89" s="201" t="str">
        <f>'график анн Базова'!N84</f>
        <v/>
      </c>
      <c r="K89" s="157" t="str">
        <f>'график анн Базова'!I84</f>
        <v/>
      </c>
      <c r="L89" s="157" t="str">
        <f>'график анн Базова'!J84</f>
        <v/>
      </c>
      <c r="M89" s="157">
        <f>'график анн Базова'!K84</f>
        <v>0</v>
      </c>
      <c r="N89" s="157" t="str">
        <f>'график анн Базова'!L84</f>
        <v/>
      </c>
      <c r="O89" s="51" t="str">
        <f>'график анн Базова'!P84</f>
        <v/>
      </c>
      <c r="P89" s="147" t="str">
        <f>'график анн Базова'!Q84</f>
        <v/>
      </c>
    </row>
    <row r="90" spans="1:16" x14ac:dyDescent="0.35">
      <c r="A90" s="154">
        <f>'график анн Базова'!A85</f>
        <v>61</v>
      </c>
      <c r="B90" s="155">
        <f ca="1">'график анн Базова'!C85</f>
        <v>46344</v>
      </c>
      <c r="C90" s="156">
        <f ca="1">'график анн Базова'!D85</f>
        <v>31</v>
      </c>
      <c r="D90" s="47">
        <f ca="1">'график анн Базова'!E85</f>
        <v>1846615.8154289157</v>
      </c>
      <c r="E90" s="47">
        <f ca="1">'график анн Базова'!H85</f>
        <v>23232.527337695603</v>
      </c>
      <c r="F90" s="47">
        <f ca="1">'график анн Базова'!F85</f>
        <v>3030.3373305967762</v>
      </c>
      <c r="G90" s="47">
        <f ca="1">'график анн Базова'!G85</f>
        <v>20202.190007098827</v>
      </c>
      <c r="H90" s="157">
        <f>'график анн Базова'!O85</f>
        <v>0</v>
      </c>
      <c r="I90" s="157" t="str">
        <f>'график анн Базова'!M85</f>
        <v/>
      </c>
      <c r="J90" s="201">
        <f>'график анн Базова'!N85</f>
        <v>0</v>
      </c>
      <c r="K90" s="157" t="str">
        <f>'график анн Базова'!I85</f>
        <v/>
      </c>
      <c r="L90" s="157" t="str">
        <f>'график анн Базова'!J85</f>
        <v/>
      </c>
      <c r="M90" s="201">
        <f>'график анн Базова'!K85</f>
        <v>7500</v>
      </c>
      <c r="N90" s="157" t="str">
        <f>'график анн Базова'!L85</f>
        <v/>
      </c>
      <c r="O90" s="51" t="str">
        <f>'график анн Базова'!P85</f>
        <v/>
      </c>
      <c r="P90" s="147" t="str">
        <f>'график анн Базова'!Q85</f>
        <v/>
      </c>
    </row>
    <row r="91" spans="1:16" x14ac:dyDescent="0.35">
      <c r="A91" s="154">
        <f>'график анн Базова'!A86</f>
        <v>62</v>
      </c>
      <c r="B91" s="155">
        <f ca="1">'график анн Базова'!C86</f>
        <v>46374</v>
      </c>
      <c r="C91" s="156">
        <f ca="1">'график анн Базова'!D86</f>
        <v>30</v>
      </c>
      <c r="D91" s="47">
        <f ca="1">'график анн Базова'!E86</f>
        <v>1842901.764299233</v>
      </c>
      <c r="E91" s="47">
        <f ca="1">'график анн Базова'!H86</f>
        <v>23232.527337695603</v>
      </c>
      <c r="F91" s="47">
        <f ca="1">'график анн Базова'!F86</f>
        <v>3714.0511296825716</v>
      </c>
      <c r="G91" s="47">
        <f ca="1">'график анн Базова'!G86</f>
        <v>19518.476208013031</v>
      </c>
      <c r="H91" s="157">
        <f>'график анн Базова'!O86</f>
        <v>0</v>
      </c>
      <c r="I91" s="157" t="str">
        <f>'график анн Базова'!M86</f>
        <v/>
      </c>
      <c r="J91" s="201" t="str">
        <f>'график анн Базова'!N86</f>
        <v/>
      </c>
      <c r="K91" s="157" t="str">
        <f>'график анн Базова'!I86</f>
        <v/>
      </c>
      <c r="L91" s="157" t="str">
        <f>'график анн Базова'!J86</f>
        <v/>
      </c>
      <c r="M91" s="157">
        <f>'график анн Базова'!K86</f>
        <v>0</v>
      </c>
      <c r="N91" s="157" t="str">
        <f>'график анн Базова'!L86</f>
        <v/>
      </c>
      <c r="O91" s="51" t="str">
        <f>'график анн Базова'!P86</f>
        <v/>
      </c>
      <c r="P91" s="147" t="str">
        <f>'график анн Базова'!Q86</f>
        <v/>
      </c>
    </row>
    <row r="92" spans="1:16" x14ac:dyDescent="0.35">
      <c r="A92" s="154">
        <f>'график анн Базова'!A87</f>
        <v>63</v>
      </c>
      <c r="B92" s="155">
        <f ca="1">'график анн Базова'!C87</f>
        <v>46405</v>
      </c>
      <c r="C92" s="156">
        <f ca="1">'график анн Базова'!D87</f>
        <v>31</v>
      </c>
      <c r="D92" s="47">
        <f ca="1">'график анн Базова'!E87</f>
        <v>1839797.7634644287</v>
      </c>
      <c r="E92" s="47">
        <f ca="1">'график анн Базова'!H87</f>
        <v>23232.527337695603</v>
      </c>
      <c r="F92" s="47">
        <f ca="1">'график анн Базова'!F87</f>
        <v>3104.000834804312</v>
      </c>
      <c r="G92" s="47">
        <f ca="1">'график анн Базова'!G87</f>
        <v>20128.526502891291</v>
      </c>
      <c r="H92" s="157">
        <f>'график анн Базова'!O87</f>
        <v>0</v>
      </c>
      <c r="I92" s="157" t="str">
        <f>'график анн Базова'!M87</f>
        <v/>
      </c>
      <c r="J92" s="201" t="str">
        <f>'график анн Базова'!N87</f>
        <v/>
      </c>
      <c r="K92" s="157" t="str">
        <f>'график анн Базова'!I87</f>
        <v/>
      </c>
      <c r="L92" s="157" t="str">
        <f>'график анн Базова'!J87</f>
        <v/>
      </c>
      <c r="M92" s="157">
        <f>'график анн Базова'!K87</f>
        <v>0</v>
      </c>
      <c r="N92" s="157" t="str">
        <f>'график анн Базова'!L87</f>
        <v/>
      </c>
      <c r="O92" s="51" t="str">
        <f>'график анн Базова'!P87</f>
        <v/>
      </c>
      <c r="P92" s="147" t="str">
        <f>'график анн Базова'!Q87</f>
        <v/>
      </c>
    </row>
    <row r="93" spans="1:16" x14ac:dyDescent="0.35">
      <c r="A93" s="154">
        <f>'график анн Базова'!A88</f>
        <v>64</v>
      </c>
      <c r="B93" s="155">
        <f ca="1">'график анн Базова'!C88</f>
        <v>46436</v>
      </c>
      <c r="C93" s="156">
        <f ca="1">'график анн Базова'!D88</f>
        <v>31</v>
      </c>
      <c r="D93" s="47">
        <f ca="1">'график анн Базова'!E88</f>
        <v>1836659.8601372188</v>
      </c>
      <c r="E93" s="47">
        <f ca="1">'график анн Базова'!H88</f>
        <v>23232.527337695603</v>
      </c>
      <c r="F93" s="47">
        <f ca="1">'график анн Базова'!F88</f>
        <v>3137.903327209875</v>
      </c>
      <c r="G93" s="47">
        <f ca="1">'график анн Базова'!G88</f>
        <v>20094.624010485728</v>
      </c>
      <c r="H93" s="157">
        <f>'график анн Базова'!O88</f>
        <v>0</v>
      </c>
      <c r="I93" s="157" t="str">
        <f>'график анн Базова'!M88</f>
        <v/>
      </c>
      <c r="J93" s="201" t="str">
        <f>'график анн Базова'!N88</f>
        <v/>
      </c>
      <c r="K93" s="157" t="str">
        <f>'график анн Базова'!I88</f>
        <v/>
      </c>
      <c r="L93" s="157" t="str">
        <f>'график анн Базова'!J88</f>
        <v/>
      </c>
      <c r="M93" s="157">
        <f>'график анн Базова'!K88</f>
        <v>0</v>
      </c>
      <c r="N93" s="157" t="str">
        <f>'график анн Базова'!L88</f>
        <v/>
      </c>
      <c r="O93" s="51" t="str">
        <f>'график анн Базова'!P88</f>
        <v/>
      </c>
      <c r="P93" s="147" t="str">
        <f>'график анн Базова'!Q88</f>
        <v/>
      </c>
    </row>
    <row r="94" spans="1:16" x14ac:dyDescent="0.35">
      <c r="A94" s="154">
        <f>'график анн Базова'!A89</f>
        <v>65</v>
      </c>
      <c r="B94" s="155">
        <f ca="1">'график анн Базова'!C89</f>
        <v>46464</v>
      </c>
      <c r="C94" s="156">
        <f ca="1">'график анн Базова'!D89</f>
        <v>28</v>
      </c>
      <c r="D94" s="47">
        <f ca="1">'график анн Базова'!E89</f>
        <v>1831546.3597156387</v>
      </c>
      <c r="E94" s="47">
        <f ca="1">'график анн Базова'!H89</f>
        <v>23232.527337695603</v>
      </c>
      <c r="F94" s="47">
        <f ca="1">'график анн Базова'!F89</f>
        <v>5113.5004215802692</v>
      </c>
      <c r="G94" s="47">
        <f ca="1">'график анн Базова'!G89</f>
        <v>18119.026916115334</v>
      </c>
      <c r="H94" s="157">
        <f>'график анн Базова'!O89</f>
        <v>0</v>
      </c>
      <c r="I94" s="157" t="str">
        <f>'график анн Базова'!M89</f>
        <v/>
      </c>
      <c r="J94" s="201" t="str">
        <f>'график анн Базова'!N89</f>
        <v/>
      </c>
      <c r="K94" s="157" t="str">
        <f>'график анн Базова'!I89</f>
        <v/>
      </c>
      <c r="L94" s="157" t="str">
        <f>'график анн Базова'!J89</f>
        <v/>
      </c>
      <c r="M94" s="157">
        <f>'график анн Базова'!K89</f>
        <v>0</v>
      </c>
      <c r="N94" s="157" t="str">
        <f>'график анн Базова'!L89</f>
        <v/>
      </c>
      <c r="O94" s="51" t="str">
        <f>'график анн Базова'!P89</f>
        <v/>
      </c>
      <c r="P94" s="147" t="str">
        <f>'график анн Базова'!Q89</f>
        <v/>
      </c>
    </row>
    <row r="95" spans="1:16" x14ac:dyDescent="0.35">
      <c r="A95" s="154">
        <f>'график анн Базова'!A90</f>
        <v>66</v>
      </c>
      <c r="B95" s="155">
        <f ca="1">'график анн Базова'!C90</f>
        <v>46495</v>
      </c>
      <c r="C95" s="156">
        <f ca="1">'график анн Базова'!D90</f>
        <v>31</v>
      </c>
      <c r="D95" s="47">
        <f ca="1">'график анн Базова'!E90</f>
        <v>1828318.3329742234</v>
      </c>
      <c r="E95" s="47">
        <f ca="1">'график анн Базова'!H90</f>
        <v>23232.527337695603</v>
      </c>
      <c r="F95" s="47">
        <f ca="1">'график анн Базова'!F90</f>
        <v>3228.0267414151531</v>
      </c>
      <c r="G95" s="47">
        <f ca="1">'график анн Базова'!G90</f>
        <v>20004.50059628045</v>
      </c>
      <c r="H95" s="157">
        <f>'график анн Базова'!O90</f>
        <v>0</v>
      </c>
      <c r="I95" s="157" t="str">
        <f>'график анн Базова'!M90</f>
        <v/>
      </c>
      <c r="J95" s="201" t="str">
        <f>'график анн Базова'!N90</f>
        <v/>
      </c>
      <c r="K95" s="157" t="str">
        <f>'график анн Базова'!I90</f>
        <v/>
      </c>
      <c r="L95" s="157" t="str">
        <f>'график анн Базова'!J90</f>
        <v/>
      </c>
      <c r="M95" s="157">
        <f>'график анн Базова'!K90</f>
        <v>0</v>
      </c>
      <c r="N95" s="157" t="str">
        <f>'график анн Базова'!L90</f>
        <v/>
      </c>
      <c r="O95" s="51" t="str">
        <f>'график анн Базова'!P90</f>
        <v/>
      </c>
      <c r="P95" s="147" t="str">
        <f>'график анн Базова'!Q90</f>
        <v/>
      </c>
    </row>
    <row r="96" spans="1:16" x14ac:dyDescent="0.35">
      <c r="A96" s="154">
        <f>'график анн Базова'!A91</f>
        <v>67</v>
      </c>
      <c r="B96" s="155">
        <f ca="1">'график анн Базова'!C91</f>
        <v>46525</v>
      </c>
      <c r="C96" s="156">
        <f ca="1">'график анн Базова'!D91</f>
        <v>30</v>
      </c>
      <c r="D96" s="47">
        <f ca="1">'график анн Базова'!E91</f>
        <v>1824410.8799614992</v>
      </c>
      <c r="E96" s="47">
        <f ca="1">'график анн Базова'!H91</f>
        <v>23232.527337695603</v>
      </c>
      <c r="F96" s="47">
        <f ca="1">'график анн Базова'!F91</f>
        <v>3907.4530127242251</v>
      </c>
      <c r="G96" s="47">
        <f ca="1">'график анн Базова'!G91</f>
        <v>19325.074324971378</v>
      </c>
      <c r="H96" s="157">
        <f>'график анн Базова'!O91</f>
        <v>0</v>
      </c>
      <c r="I96" s="157" t="str">
        <f>'график анн Базова'!M91</f>
        <v/>
      </c>
      <c r="J96" s="201" t="str">
        <f>'график анн Базова'!N91</f>
        <v/>
      </c>
      <c r="K96" s="157" t="str">
        <f>'график анн Базова'!I91</f>
        <v/>
      </c>
      <c r="L96" s="157" t="str">
        <f>'график анн Базова'!J91</f>
        <v/>
      </c>
      <c r="M96" s="157">
        <f>'график анн Базова'!K91</f>
        <v>0</v>
      </c>
      <c r="N96" s="157" t="str">
        <f>'график анн Базова'!L91</f>
        <v/>
      </c>
      <c r="O96" s="51" t="str">
        <f>'график анн Базова'!P91</f>
        <v/>
      </c>
      <c r="P96" s="147" t="str">
        <f>'график анн Базова'!Q91</f>
        <v/>
      </c>
    </row>
    <row r="97" spans="1:16" x14ac:dyDescent="0.35">
      <c r="A97" s="154">
        <f>'график анн Базова'!A92</f>
        <v>68</v>
      </c>
      <c r="B97" s="155">
        <f ca="1">'график анн Базова'!C92</f>
        <v>46556</v>
      </c>
      <c r="C97" s="156">
        <f ca="1">'график анн Базова'!D92</f>
        <v>31</v>
      </c>
      <c r="D97" s="47">
        <f ca="1">'график анн Базова'!E92</f>
        <v>1821104.9181417613</v>
      </c>
      <c r="E97" s="47">
        <f ca="1">'график анн Базова'!H92</f>
        <v>23232.527337695603</v>
      </c>
      <c r="F97" s="47">
        <f ca="1">'график анн Базова'!F92</f>
        <v>3305.9618197380332</v>
      </c>
      <c r="G97" s="47">
        <f ca="1">'график анн Базова'!G92</f>
        <v>19926.56551795757</v>
      </c>
      <c r="H97" s="157">
        <f>'график анн Базова'!O92</f>
        <v>0</v>
      </c>
      <c r="I97" s="157" t="str">
        <f>'график анн Базова'!M92</f>
        <v/>
      </c>
      <c r="J97" s="201" t="str">
        <f>'график анн Базова'!N92</f>
        <v/>
      </c>
      <c r="K97" s="157" t="str">
        <f>'график анн Базова'!I92</f>
        <v/>
      </c>
      <c r="L97" s="157" t="str">
        <f>'график анн Базова'!J92</f>
        <v/>
      </c>
      <c r="M97" s="157">
        <f>'график анн Базова'!K92</f>
        <v>0</v>
      </c>
      <c r="N97" s="157" t="str">
        <f>'график анн Базова'!L92</f>
        <v/>
      </c>
      <c r="O97" s="51" t="str">
        <f>'график анн Базова'!P92</f>
        <v/>
      </c>
      <c r="P97" s="147" t="str">
        <f>'график анн Базова'!Q92</f>
        <v/>
      </c>
    </row>
    <row r="98" spans="1:16" x14ac:dyDescent="0.35">
      <c r="A98" s="154">
        <f>'график анн Базова'!A93</f>
        <v>69</v>
      </c>
      <c r="B98" s="155">
        <f ca="1">'график анн Базова'!C93</f>
        <v>46586</v>
      </c>
      <c r="C98" s="156">
        <f ca="1">'график анн Базова'!D93</f>
        <v>30</v>
      </c>
      <c r="D98" s="47">
        <f ca="1">'график анн Базова'!E93</f>
        <v>1817121.2203223971</v>
      </c>
      <c r="E98" s="47">
        <f ca="1">'график анн Базова'!H93</f>
        <v>23232.527337695603</v>
      </c>
      <c r="F98" s="47">
        <f ca="1">'график анн Базова'!F93</f>
        <v>3983.6978193643299</v>
      </c>
      <c r="G98" s="47">
        <f ca="1">'график анн Базова'!G93</f>
        <v>19248.829518331273</v>
      </c>
      <c r="H98" s="157">
        <f>'график анн Базова'!O93</f>
        <v>0</v>
      </c>
      <c r="I98" s="157" t="str">
        <f>'график анн Базова'!M93</f>
        <v/>
      </c>
      <c r="J98" s="201" t="str">
        <f>'график анн Базова'!N93</f>
        <v/>
      </c>
      <c r="K98" s="157" t="str">
        <f>'график анн Базова'!I93</f>
        <v/>
      </c>
      <c r="L98" s="157" t="str">
        <f>'график анн Базова'!J93</f>
        <v/>
      </c>
      <c r="M98" s="157">
        <f>'график анн Базова'!K93</f>
        <v>0</v>
      </c>
      <c r="N98" s="157" t="str">
        <f>'график анн Базова'!L93</f>
        <v/>
      </c>
      <c r="O98" s="51" t="str">
        <f>'график анн Базова'!P93</f>
        <v/>
      </c>
      <c r="P98" s="147" t="str">
        <f>'график анн Базова'!Q93</f>
        <v/>
      </c>
    </row>
    <row r="99" spans="1:16" x14ac:dyDescent="0.35">
      <c r="A99" s="154">
        <f>'график анн Базова'!A94</f>
        <v>70</v>
      </c>
      <c r="B99" s="155">
        <f ca="1">'график анн Базова'!C94</f>
        <v>46617</v>
      </c>
      <c r="C99" s="156">
        <f ca="1">'график анн Базова'!D94</f>
        <v>31</v>
      </c>
      <c r="D99" s="47">
        <f ca="1">'график анн Базова'!E94</f>
        <v>1813735.6394420639</v>
      </c>
      <c r="E99" s="47">
        <f ca="1">'график анн Базова'!H94</f>
        <v>23232.527337695603</v>
      </c>
      <c r="F99" s="47">
        <f ca="1">'график анн Базова'!F94</f>
        <v>3385.5808803332257</v>
      </c>
      <c r="G99" s="47">
        <f ca="1">'график анн Базова'!G94</f>
        <v>19846.946457362377</v>
      </c>
      <c r="H99" s="157">
        <f>'график анн Базова'!O94</f>
        <v>0</v>
      </c>
      <c r="I99" s="157" t="str">
        <f>'график анн Базова'!M94</f>
        <v/>
      </c>
      <c r="J99" s="201" t="str">
        <f>'график анн Базова'!N94</f>
        <v/>
      </c>
      <c r="K99" s="157" t="str">
        <f>'график анн Базова'!I94</f>
        <v/>
      </c>
      <c r="L99" s="157" t="str">
        <f>'график анн Базова'!J94</f>
        <v/>
      </c>
      <c r="M99" s="157">
        <f>'график анн Базова'!K94</f>
        <v>0</v>
      </c>
      <c r="N99" s="157" t="str">
        <f>'график анн Базова'!L94</f>
        <v/>
      </c>
      <c r="O99" s="51" t="str">
        <f>'график анн Базова'!P94</f>
        <v/>
      </c>
      <c r="P99" s="147" t="str">
        <f>'график анн Базова'!Q94</f>
        <v/>
      </c>
    </row>
    <row r="100" spans="1:16" x14ac:dyDescent="0.35">
      <c r="A100" s="154">
        <f>'график анн Базова'!A95</f>
        <v>71</v>
      </c>
      <c r="B100" s="155">
        <f ca="1">'график анн Базова'!C95</f>
        <v>46648</v>
      </c>
      <c r="C100" s="156">
        <f ca="1">'график анн Базова'!D95</f>
        <v>31</v>
      </c>
      <c r="D100" s="47">
        <f ca="1">'график анн Базова'!E95</f>
        <v>1810313.0805980661</v>
      </c>
      <c r="E100" s="47">
        <f ca="1">'график анн Базова'!H95</f>
        <v>23232.527337695603</v>
      </c>
      <c r="F100" s="47">
        <f ca="1">'график анн Базова'!F95</f>
        <v>3422.5588439977073</v>
      </c>
      <c r="G100" s="47">
        <f ca="1">'график анн Базова'!G95</f>
        <v>19809.968493697896</v>
      </c>
      <c r="H100" s="157">
        <f>'график анн Базова'!O95</f>
        <v>0</v>
      </c>
      <c r="I100" s="157" t="str">
        <f>'график анн Базова'!M95</f>
        <v/>
      </c>
      <c r="J100" s="201" t="str">
        <f>'график анн Базова'!N95</f>
        <v/>
      </c>
      <c r="K100" s="157" t="str">
        <f>'график анн Базова'!I95</f>
        <v/>
      </c>
      <c r="L100" s="157" t="str">
        <f>'график анн Базова'!J95</f>
        <v/>
      </c>
      <c r="M100" s="157">
        <f>'график анн Базова'!K95</f>
        <v>0</v>
      </c>
      <c r="N100" s="157" t="str">
        <f>'график анн Базова'!L95</f>
        <v/>
      </c>
      <c r="O100" s="51" t="str">
        <f>'график анн Базова'!P95</f>
        <v/>
      </c>
      <c r="P100" s="147" t="str">
        <f>'график анн Базова'!Q95</f>
        <v/>
      </c>
    </row>
    <row r="101" spans="1:16" x14ac:dyDescent="0.35">
      <c r="A101" s="154">
        <f>'график анн Базова'!A96</f>
        <v>72</v>
      </c>
      <c r="B101" s="155">
        <f ca="1">'график анн Базова'!C96</f>
        <v>46678</v>
      </c>
      <c r="C101" s="156">
        <f ca="1">'график анн Базова'!D96</f>
        <v>30</v>
      </c>
      <c r="D101" s="47">
        <f ca="1">'график анн Базова'!E96</f>
        <v>1806215.3145341987</v>
      </c>
      <c r="E101" s="47">
        <f ca="1">'график анн Базова'!H96</f>
        <v>23232.527337695603</v>
      </c>
      <c r="F101" s="47">
        <f ca="1">'график анн Базова'!F96</f>
        <v>4097.7660638672787</v>
      </c>
      <c r="G101" s="47">
        <f ca="1">'график анн Базова'!G96</f>
        <v>19134.761273828324</v>
      </c>
      <c r="H101" s="157">
        <f>'график анн Базова'!O96</f>
        <v>0</v>
      </c>
      <c r="I101" s="157" t="str">
        <f>'график анн Базова'!M96</f>
        <v/>
      </c>
      <c r="J101" s="201" t="str">
        <f>'график анн Базова'!N96</f>
        <v/>
      </c>
      <c r="K101" s="157" t="str">
        <f>'график анн Базова'!I96</f>
        <v/>
      </c>
      <c r="L101" s="157" t="str">
        <f>'график анн Базова'!J96</f>
        <v/>
      </c>
      <c r="M101" s="157">
        <f>'график анн Базова'!K96</f>
        <v>0</v>
      </c>
      <c r="N101" s="157" t="str">
        <f>'график анн Базова'!L96</f>
        <v/>
      </c>
      <c r="O101" s="51" t="str">
        <f>'график анн Базова'!P96</f>
        <v/>
      </c>
      <c r="P101" s="147" t="str">
        <f>'график анн Базова'!Q96</f>
        <v/>
      </c>
    </row>
    <row r="102" spans="1:16" x14ac:dyDescent="0.35">
      <c r="A102" s="154">
        <f>'график анн Базова'!A97</f>
        <v>73</v>
      </c>
      <c r="B102" s="155">
        <f ca="1">'график анн Базова'!C97</f>
        <v>46709</v>
      </c>
      <c r="C102" s="156">
        <f ca="1">'график анн Базова'!D97</f>
        <v>31</v>
      </c>
      <c r="D102" s="47">
        <f ca="1">'график анн Базова'!E97</f>
        <v>1802710.6172593031</v>
      </c>
      <c r="E102" s="47">
        <f ca="1">'график анн Базова'!H97</f>
        <v>23232.527337695603</v>
      </c>
      <c r="F102" s="47">
        <f ca="1">'график анн Базова'!F97</f>
        <v>3504.697274895505</v>
      </c>
      <c r="G102" s="47">
        <f ca="1">'график анн Базова'!G97</f>
        <v>19727.830062800098</v>
      </c>
      <c r="H102" s="157">
        <f>'график анн Базова'!O97</f>
        <v>0</v>
      </c>
      <c r="I102" s="157" t="str">
        <f>'график анн Базова'!M97</f>
        <v/>
      </c>
      <c r="J102" s="201">
        <f>'график анн Базова'!N97</f>
        <v>0</v>
      </c>
      <c r="K102" s="157" t="str">
        <f>'график анн Базова'!I97</f>
        <v/>
      </c>
      <c r="L102" s="157" t="str">
        <f>'график анн Базова'!J97</f>
        <v/>
      </c>
      <c r="M102" s="201">
        <f>'график анн Базова'!K97</f>
        <v>7500</v>
      </c>
      <c r="N102" s="157" t="str">
        <f>'график анн Базова'!L97</f>
        <v/>
      </c>
      <c r="O102" s="51" t="str">
        <f>'график анн Базова'!P97</f>
        <v/>
      </c>
      <c r="P102" s="147" t="str">
        <f>'график анн Базова'!Q97</f>
        <v/>
      </c>
    </row>
    <row r="103" spans="1:16" x14ac:dyDescent="0.35">
      <c r="A103" s="154">
        <f>'график анн Базова'!A98</f>
        <v>74</v>
      </c>
      <c r="B103" s="155">
        <f ca="1">'график анн Базова'!C98</f>
        <v>46739</v>
      </c>
      <c r="C103" s="156">
        <f ca="1">'график анн Базова'!D98</f>
        <v>30</v>
      </c>
      <c r="D103" s="47">
        <f ca="1">'график анн Базова'!E98</f>
        <v>1798532.4941993784</v>
      </c>
      <c r="E103" s="47">
        <f ca="1">'график анн Базова'!H98</f>
        <v>23232.527337695603</v>
      </c>
      <c r="F103" s="47">
        <f ca="1">'график анн Базова'!F98</f>
        <v>4178.1230599246664</v>
      </c>
      <c r="G103" s="47">
        <f ca="1">'график анн Базова'!G98</f>
        <v>19054.404277770936</v>
      </c>
      <c r="H103" s="157">
        <f>'график анн Базова'!O98</f>
        <v>0</v>
      </c>
      <c r="I103" s="157" t="str">
        <f>'график анн Базова'!M98</f>
        <v/>
      </c>
      <c r="J103" s="201" t="str">
        <f>'график анн Базова'!N98</f>
        <v/>
      </c>
      <c r="K103" s="157" t="str">
        <f>'график анн Базова'!I98</f>
        <v/>
      </c>
      <c r="L103" s="157" t="str">
        <f>'график анн Базова'!J98</f>
        <v/>
      </c>
      <c r="M103" s="157">
        <f>'график анн Базова'!K98</f>
        <v>0</v>
      </c>
      <c r="N103" s="157" t="str">
        <f>'график анн Базова'!L98</f>
        <v/>
      </c>
      <c r="O103" s="51" t="str">
        <f>'график анн Базова'!P98</f>
        <v/>
      </c>
      <c r="P103" s="147" t="str">
        <f>'график анн Базова'!Q98</f>
        <v/>
      </c>
    </row>
    <row r="104" spans="1:16" x14ac:dyDescent="0.35">
      <c r="A104" s="154">
        <f>'график анн Базова'!A99</f>
        <v>75</v>
      </c>
      <c r="B104" s="155">
        <f ca="1">'график анн Базова'!C99</f>
        <v>46770</v>
      </c>
      <c r="C104" s="156">
        <f ca="1">'график анн Базова'!D99</f>
        <v>31</v>
      </c>
      <c r="D104" s="47">
        <f ca="1">'график анн Базова'!E99</f>
        <v>1794943.8836873684</v>
      </c>
      <c r="E104" s="47">
        <f ca="1">'график анн Базова'!H99</f>
        <v>23232.527337695603</v>
      </c>
      <c r="F104" s="47">
        <f ca="1">'график анн Базова'!F99</f>
        <v>3588.610512010011</v>
      </c>
      <c r="G104" s="47">
        <f ca="1">'график анн Базова'!G99</f>
        <v>19643.916825685592</v>
      </c>
      <c r="H104" s="157">
        <f>'график анн Базова'!O99</f>
        <v>0</v>
      </c>
      <c r="I104" s="157" t="str">
        <f>'график анн Базова'!M99</f>
        <v/>
      </c>
      <c r="J104" s="201" t="str">
        <f>'график анн Базова'!N99</f>
        <v/>
      </c>
      <c r="K104" s="157" t="str">
        <f>'график анн Базова'!I99</f>
        <v/>
      </c>
      <c r="L104" s="157" t="str">
        <f>'график анн Базова'!J99</f>
        <v/>
      </c>
      <c r="M104" s="157">
        <f>'график анн Базова'!K99</f>
        <v>0</v>
      </c>
      <c r="N104" s="157" t="str">
        <f>'график анн Базова'!L99</f>
        <v/>
      </c>
      <c r="O104" s="51" t="str">
        <f>'график анн Базова'!P99</f>
        <v/>
      </c>
      <c r="P104" s="147" t="str">
        <f>'график анн Базова'!Q99</f>
        <v/>
      </c>
    </row>
    <row r="105" spans="1:16" x14ac:dyDescent="0.35">
      <c r="A105" s="154">
        <f>'график анн Базова'!A100</f>
        <v>76</v>
      </c>
      <c r="B105" s="155">
        <f ca="1">'график анн Базова'!C100</f>
        <v>46801</v>
      </c>
      <c r="C105" s="156">
        <f ca="1">'график анн Базова'!D100</f>
        <v>31</v>
      </c>
      <c r="D105" s="47">
        <f ca="1">'график анн Базова'!E100</f>
        <v>1791262.5128707329</v>
      </c>
      <c r="E105" s="47">
        <f ca="1">'график анн Базова'!H100</f>
        <v>23232.527337695603</v>
      </c>
      <c r="F105" s="47">
        <f ca="1">'график анн Базова'!F100</f>
        <v>3681.3708166353244</v>
      </c>
      <c r="G105" s="47">
        <f ca="1">'график анн Базова'!G100</f>
        <v>19551.156521060278</v>
      </c>
      <c r="H105" s="157">
        <f>'график анн Базова'!O100</f>
        <v>0</v>
      </c>
      <c r="I105" s="157" t="str">
        <f>'график анн Базова'!M100</f>
        <v/>
      </c>
      <c r="J105" s="201" t="str">
        <f>'график анн Базова'!N100</f>
        <v/>
      </c>
      <c r="K105" s="157" t="str">
        <f>'график анн Базова'!I100</f>
        <v/>
      </c>
      <c r="L105" s="157" t="str">
        <f>'график анн Базова'!J100</f>
        <v/>
      </c>
      <c r="M105" s="157">
        <f>'график анн Базова'!K100</f>
        <v>0</v>
      </c>
      <c r="N105" s="157" t="str">
        <f>'график анн Базова'!L100</f>
        <v/>
      </c>
      <c r="O105" s="51" t="str">
        <f>'график анн Базова'!P100</f>
        <v/>
      </c>
      <c r="P105" s="147" t="str">
        <f>'график анн Базова'!Q100</f>
        <v/>
      </c>
    </row>
    <row r="106" spans="1:16" x14ac:dyDescent="0.35">
      <c r="A106" s="154">
        <f>'график анн Базова'!A101</f>
        <v>77</v>
      </c>
      <c r="B106" s="155">
        <f ca="1">'график анн Базова'!C101</f>
        <v>46830</v>
      </c>
      <c r="C106" s="156">
        <f ca="1">'график анн Базова'!D101</f>
        <v>29</v>
      </c>
      <c r="D106" s="47">
        <f ca="1">'график анн Базова'!E101</f>
        <v>1786282.2653568082</v>
      </c>
      <c r="E106" s="47">
        <f ca="1">'график анн Базова'!H101</f>
        <v>23232.527337695603</v>
      </c>
      <c r="F106" s="47">
        <f ca="1">'график анн Базова'!F101</f>
        <v>4980.247513924809</v>
      </c>
      <c r="G106" s="47">
        <f ca="1">'график анн Базова'!G101</f>
        <v>18252.279823770794</v>
      </c>
      <c r="H106" s="157">
        <f>'график анн Базова'!O101</f>
        <v>0</v>
      </c>
      <c r="I106" s="157" t="str">
        <f>'график анн Базова'!M101</f>
        <v/>
      </c>
      <c r="J106" s="201" t="str">
        <f>'график анн Базова'!N101</f>
        <v/>
      </c>
      <c r="K106" s="157" t="str">
        <f>'график анн Базова'!I101</f>
        <v/>
      </c>
      <c r="L106" s="157" t="str">
        <f>'график анн Базова'!J101</f>
        <v/>
      </c>
      <c r="M106" s="157">
        <f>'график анн Базова'!K101</f>
        <v>0</v>
      </c>
      <c r="N106" s="157" t="str">
        <f>'график анн Базова'!L101</f>
        <v/>
      </c>
      <c r="O106" s="51" t="str">
        <f>'график анн Базова'!P101</f>
        <v/>
      </c>
      <c r="P106" s="147" t="str">
        <f>'график анн Базова'!Q101</f>
        <v/>
      </c>
    </row>
    <row r="107" spans="1:16" x14ac:dyDescent="0.35">
      <c r="A107" s="154">
        <f>'график анн Базова'!A102</f>
        <v>78</v>
      </c>
      <c r="B107" s="155">
        <f ca="1">'график анн Базова'!C102</f>
        <v>46861</v>
      </c>
      <c r="C107" s="156">
        <f ca="1">'график анн Базова'!D102</f>
        <v>31</v>
      </c>
      <c r="D107" s="47">
        <f ca="1">'график анн Базова'!E102</f>
        <v>1782506.5491641166</v>
      </c>
      <c r="E107" s="47">
        <f ca="1">'график анн Базова'!H102</f>
        <v>23232.527337695603</v>
      </c>
      <c r="F107" s="47">
        <f ca="1">'график анн Базова'!F102</f>
        <v>3775.7161926916378</v>
      </c>
      <c r="G107" s="47">
        <f ca="1">'график анн Базова'!G102</f>
        <v>19456.811145003965</v>
      </c>
      <c r="H107" s="157">
        <f>'график анн Базова'!O102</f>
        <v>0</v>
      </c>
      <c r="I107" s="157" t="str">
        <f>'график анн Базова'!M102</f>
        <v/>
      </c>
      <c r="J107" s="201" t="str">
        <f>'график анн Базова'!N102</f>
        <v/>
      </c>
      <c r="K107" s="157" t="str">
        <f>'график анн Базова'!I102</f>
        <v/>
      </c>
      <c r="L107" s="157" t="str">
        <f>'график анн Базова'!J102</f>
        <v/>
      </c>
      <c r="M107" s="157">
        <f>'график анн Базова'!K102</f>
        <v>0</v>
      </c>
      <c r="N107" s="157" t="str">
        <f>'график анн Базова'!L102</f>
        <v/>
      </c>
      <c r="O107" s="51" t="str">
        <f>'график анн Базова'!P102</f>
        <v/>
      </c>
      <c r="P107" s="147" t="str">
        <f>'график анн Базова'!Q102</f>
        <v/>
      </c>
    </row>
    <row r="108" spans="1:16" x14ac:dyDescent="0.35">
      <c r="A108" s="154">
        <f>'график анн Базова'!A103</f>
        <v>79</v>
      </c>
      <c r="B108" s="155">
        <f ca="1">'график анн Базова'!C103</f>
        <v>46891</v>
      </c>
      <c r="C108" s="156">
        <f ca="1">'график анн Базова'!D103</f>
        <v>30</v>
      </c>
      <c r="D108" s="47">
        <f ca="1">'график анн Базова'!E103</f>
        <v>1778063.3941397411</v>
      </c>
      <c r="E108" s="47">
        <f ca="1">'график анн Базова'!H103</f>
        <v>23232.527337695603</v>
      </c>
      <c r="F108" s="47">
        <f ca="1">'график анн Базова'!F103</f>
        <v>4443.15502437549</v>
      </c>
      <c r="G108" s="47">
        <f ca="1">'график анн Базова'!G103</f>
        <v>18789.372313320113</v>
      </c>
      <c r="H108" s="157">
        <f>'график анн Базова'!O103</f>
        <v>0</v>
      </c>
      <c r="I108" s="157" t="str">
        <f>'график анн Базова'!M103</f>
        <v/>
      </c>
      <c r="J108" s="201" t="str">
        <f>'график анн Базова'!N103</f>
        <v/>
      </c>
      <c r="K108" s="157" t="str">
        <f>'график анн Базова'!I103</f>
        <v/>
      </c>
      <c r="L108" s="157" t="str">
        <f>'график анн Базова'!J103</f>
        <v/>
      </c>
      <c r="M108" s="157">
        <f>'график анн Базова'!K103</f>
        <v>0</v>
      </c>
      <c r="N108" s="157" t="str">
        <f>'график анн Базова'!L103</f>
        <v/>
      </c>
      <c r="O108" s="51" t="str">
        <f>'график анн Базова'!P103</f>
        <v/>
      </c>
      <c r="P108" s="147" t="str">
        <f>'график анн Базова'!Q103</f>
        <v/>
      </c>
    </row>
    <row r="109" spans="1:16" x14ac:dyDescent="0.35">
      <c r="A109" s="154">
        <f>'график анн Базова'!A104</f>
        <v>80</v>
      </c>
      <c r="B109" s="155">
        <f ca="1">'график анн Базова'!C104</f>
        <v>46922</v>
      </c>
      <c r="C109" s="156">
        <f ca="1">'график анн Базова'!D104</f>
        <v>31</v>
      </c>
      <c r="D109" s="47">
        <f ca="1">'график анн Базова'!E104</f>
        <v>1774198.1551273938</v>
      </c>
      <c r="E109" s="47">
        <f ca="1">'график анн Базова'!H104</f>
        <v>23232.527337695603</v>
      </c>
      <c r="F109" s="47">
        <f ca="1">'график анн Базова'!F104</f>
        <v>3865.2390123472651</v>
      </c>
      <c r="G109" s="47">
        <f ca="1">'график анн Базова'!G104</f>
        <v>19367.288325348338</v>
      </c>
      <c r="H109" s="157">
        <f>'график анн Базова'!O104</f>
        <v>0</v>
      </c>
      <c r="I109" s="157" t="str">
        <f>'график анн Базова'!M104</f>
        <v/>
      </c>
      <c r="J109" s="201" t="str">
        <f>'график анн Базова'!N104</f>
        <v/>
      </c>
      <c r="K109" s="157" t="str">
        <f>'график анн Базова'!I104</f>
        <v/>
      </c>
      <c r="L109" s="157" t="str">
        <f>'график анн Базова'!J104</f>
        <v/>
      </c>
      <c r="M109" s="157">
        <f>'график анн Базова'!K104</f>
        <v>0</v>
      </c>
      <c r="N109" s="157" t="str">
        <f>'график анн Базова'!L104</f>
        <v/>
      </c>
      <c r="O109" s="51" t="str">
        <f>'график анн Базова'!P104</f>
        <v/>
      </c>
      <c r="P109" s="147" t="str">
        <f>'график анн Базова'!Q104</f>
        <v/>
      </c>
    </row>
    <row r="110" spans="1:16" x14ac:dyDescent="0.35">
      <c r="A110" s="154">
        <f>'график анн Базова'!A105</f>
        <v>81</v>
      </c>
      <c r="B110" s="155">
        <f ca="1">'график анн Базова'!C105</f>
        <v>46952</v>
      </c>
      <c r="C110" s="156">
        <f ca="1">'график анн Базова'!D105</f>
        <v>30</v>
      </c>
      <c r="D110" s="47">
        <f ca="1">'график анн Базова'!E105</f>
        <v>1769667.4214576804</v>
      </c>
      <c r="E110" s="47">
        <f ca="1">'график анн Базова'!H105</f>
        <v>23232.527337695603</v>
      </c>
      <c r="F110" s="47">
        <f ca="1">'график анн Базова'!F105</f>
        <v>4530.7336697134051</v>
      </c>
      <c r="G110" s="47">
        <f ca="1">'график анн Базова'!G105</f>
        <v>18701.793667982198</v>
      </c>
      <c r="H110" s="157">
        <f>'график анн Базова'!O105</f>
        <v>0</v>
      </c>
      <c r="I110" s="157" t="str">
        <f>'график анн Базова'!M105</f>
        <v/>
      </c>
      <c r="J110" s="201" t="str">
        <f>'график анн Базова'!N105</f>
        <v/>
      </c>
      <c r="K110" s="157" t="str">
        <f>'график анн Базова'!I105</f>
        <v/>
      </c>
      <c r="L110" s="157" t="str">
        <f>'график анн Базова'!J105</f>
        <v/>
      </c>
      <c r="M110" s="157">
        <f>'график анн Базова'!K105</f>
        <v>0</v>
      </c>
      <c r="N110" s="157" t="str">
        <f>'график анн Базова'!L105</f>
        <v/>
      </c>
      <c r="O110" s="51" t="str">
        <f>'график анн Базова'!P105</f>
        <v/>
      </c>
      <c r="P110" s="147" t="str">
        <f>'график анн Базова'!Q105</f>
        <v/>
      </c>
    </row>
    <row r="111" spans="1:16" x14ac:dyDescent="0.35">
      <c r="A111" s="154">
        <f>'график анн Базова'!A106</f>
        <v>82</v>
      </c>
      <c r="B111" s="155">
        <f ca="1">'график анн Базова'!C106</f>
        <v>46983</v>
      </c>
      <c r="C111" s="156">
        <f ca="1">'график анн Базова'!D106</f>
        <v>31</v>
      </c>
      <c r="D111" s="47">
        <f ca="1">'график анн Базова'!E106</f>
        <v>1765710.7305745836</v>
      </c>
      <c r="E111" s="47">
        <f ca="1">'график анн Базова'!H106</f>
        <v>23232.527337695603</v>
      </c>
      <c r="F111" s="47">
        <f ca="1">'график анн Базова'!F106</f>
        <v>3956.6908830967259</v>
      </c>
      <c r="G111" s="47">
        <f ca="1">'график анн Базова'!G106</f>
        <v>19275.836454598877</v>
      </c>
      <c r="H111" s="157">
        <f>'график анн Базова'!O106</f>
        <v>0</v>
      </c>
      <c r="I111" s="157" t="str">
        <f>'график анн Базова'!M106</f>
        <v/>
      </c>
      <c r="J111" s="201" t="str">
        <f>'график анн Базова'!N106</f>
        <v/>
      </c>
      <c r="K111" s="157" t="str">
        <f>'график анн Базова'!I106</f>
        <v/>
      </c>
      <c r="L111" s="157" t="str">
        <f>'график анн Базова'!J106</f>
        <v/>
      </c>
      <c r="M111" s="157">
        <f>'график анн Базова'!K106</f>
        <v>0</v>
      </c>
      <c r="N111" s="157" t="str">
        <f>'график анн Базова'!L106</f>
        <v/>
      </c>
      <c r="O111" s="51" t="str">
        <f>'график анн Базова'!P106</f>
        <v/>
      </c>
      <c r="P111" s="147" t="str">
        <f>'график анн Базова'!Q106</f>
        <v/>
      </c>
    </row>
    <row r="112" spans="1:16" x14ac:dyDescent="0.35">
      <c r="A112" s="154">
        <f>'график анн Базова'!A107</f>
        <v>83</v>
      </c>
      <c r="B112" s="155">
        <f ca="1">'график анн Базова'!C107</f>
        <v>47014</v>
      </c>
      <c r="C112" s="156">
        <f ca="1">'график анн Базова'!D107</f>
        <v>31</v>
      </c>
      <c r="D112" s="47">
        <f ca="1">'график анн Базова'!E107</f>
        <v>1761710.9420306275</v>
      </c>
      <c r="E112" s="47">
        <f ca="1">'график анн Базова'!H107</f>
        <v>23232.527337695603</v>
      </c>
      <c r="F112" s="47">
        <f ca="1">'график анн Базова'!F107</f>
        <v>3999.7885439561651</v>
      </c>
      <c r="G112" s="47">
        <f ca="1">'график анн Базова'!G107</f>
        <v>19232.738793739438</v>
      </c>
      <c r="H112" s="157">
        <f>'график анн Базова'!O107</f>
        <v>0</v>
      </c>
      <c r="I112" s="157" t="str">
        <f>'график анн Базова'!M107</f>
        <v/>
      </c>
      <c r="J112" s="201" t="str">
        <f>'график анн Базова'!N107</f>
        <v/>
      </c>
      <c r="K112" s="157" t="str">
        <f>'график анн Базова'!I107</f>
        <v/>
      </c>
      <c r="L112" s="157" t="str">
        <f>'график анн Базова'!J107</f>
        <v/>
      </c>
      <c r="M112" s="157">
        <f>'график анн Базова'!K107</f>
        <v>0</v>
      </c>
      <c r="N112" s="157" t="str">
        <f>'график анн Базова'!L107</f>
        <v/>
      </c>
      <c r="O112" s="51" t="str">
        <f>'график анн Базова'!P107</f>
        <v/>
      </c>
      <c r="P112" s="147" t="str">
        <f>'график анн Базова'!Q107</f>
        <v/>
      </c>
    </row>
    <row r="113" spans="1:16" x14ac:dyDescent="0.35">
      <c r="A113" s="154">
        <f>'график анн Базова'!A108</f>
        <v>84</v>
      </c>
      <c r="B113" s="155">
        <f ca="1">'график анн Базова'!C108</f>
        <v>47044</v>
      </c>
      <c r="C113" s="156">
        <f ca="1">'график анн Базова'!D108</f>
        <v>30</v>
      </c>
      <c r="D113" s="47">
        <f ca="1">'график анн Базова'!E108</f>
        <v>1757048.5808523695</v>
      </c>
      <c r="E113" s="47">
        <f ca="1">'график анн Базова'!H108</f>
        <v>23232.527337695603</v>
      </c>
      <c r="F113" s="47">
        <f ca="1">'график анн Базова'!F108</f>
        <v>4662.3611782580047</v>
      </c>
      <c r="G113" s="47">
        <f ca="1">'график анн Базова'!G108</f>
        <v>18570.166159437598</v>
      </c>
      <c r="H113" s="157">
        <f>'график анн Базова'!O108</f>
        <v>0</v>
      </c>
      <c r="I113" s="157" t="str">
        <f>'график анн Базова'!M108</f>
        <v/>
      </c>
      <c r="J113" s="201" t="str">
        <f>'график анн Базова'!N108</f>
        <v/>
      </c>
      <c r="K113" s="157" t="str">
        <f>'график анн Базова'!I108</f>
        <v/>
      </c>
      <c r="L113" s="157" t="str">
        <f>'график анн Базова'!J108</f>
        <v/>
      </c>
      <c r="M113" s="157">
        <f>'график анн Базова'!K108</f>
        <v>0</v>
      </c>
      <c r="N113" s="157" t="str">
        <f>'график анн Базова'!L108</f>
        <v/>
      </c>
      <c r="O113" s="51" t="str">
        <f>'график анн Базова'!P108</f>
        <v/>
      </c>
      <c r="P113" s="147" t="str">
        <f>'график анн Базова'!Q108</f>
        <v/>
      </c>
    </row>
    <row r="114" spans="1:16" x14ac:dyDescent="0.35">
      <c r="A114" s="154">
        <f>'график анн Базова'!A109</f>
        <v>85</v>
      </c>
      <c r="B114" s="155">
        <f ca="1">'график анн Базова'!C109</f>
        <v>47075</v>
      </c>
      <c r="C114" s="156">
        <f ca="1">'график анн Базова'!D109</f>
        <v>31</v>
      </c>
      <c r="D114" s="47">
        <f ca="1">'график анн Базова'!E109</f>
        <v>1752954.4411442534</v>
      </c>
      <c r="E114" s="47">
        <f ca="1">'график анн Базова'!H109</f>
        <v>23232.527337695603</v>
      </c>
      <c r="F114" s="47">
        <f ca="1">'график анн Базова'!F109</f>
        <v>4094.139708116214</v>
      </c>
      <c r="G114" s="47">
        <f ca="1">'график анн Базова'!G109</f>
        <v>19138.387629579389</v>
      </c>
      <c r="H114" s="157">
        <f>'график анн Базова'!O109</f>
        <v>0</v>
      </c>
      <c r="I114" s="157" t="str">
        <f>'график анн Базова'!M109</f>
        <v/>
      </c>
      <c r="J114" s="201">
        <f>'график анн Базова'!N109</f>
        <v>0</v>
      </c>
      <c r="K114" s="157" t="str">
        <f>'график анн Базова'!I109</f>
        <v/>
      </c>
      <c r="L114" s="157" t="str">
        <f>'график анн Базова'!J109</f>
        <v/>
      </c>
      <c r="M114" s="201">
        <f>'график анн Базова'!K109</f>
        <v>7500</v>
      </c>
      <c r="N114" s="157" t="str">
        <f>'график анн Базова'!L109</f>
        <v/>
      </c>
      <c r="O114" s="51" t="str">
        <f>'график анн Базова'!P109</f>
        <v/>
      </c>
      <c r="P114" s="147" t="str">
        <f>'график анн Базова'!Q109</f>
        <v/>
      </c>
    </row>
    <row r="115" spans="1:16" x14ac:dyDescent="0.35">
      <c r="A115" s="154">
        <f>'график анн Базова'!A110</f>
        <v>86</v>
      </c>
      <c r="B115" s="155">
        <f ca="1">'график анн Базова'!C110</f>
        <v>47105</v>
      </c>
      <c r="C115" s="156">
        <f ca="1">'график анн Базова'!D110</f>
        <v>30</v>
      </c>
      <c r="D115" s="47">
        <f ca="1">'график анн Базова'!E110</f>
        <v>1748199.7778337013</v>
      </c>
      <c r="E115" s="47">
        <f ca="1">'график анн Базова'!H110</f>
        <v>23232.527337695603</v>
      </c>
      <c r="F115" s="47">
        <f ca="1">'график анн Базова'!F110</f>
        <v>4754.6633105520814</v>
      </c>
      <c r="G115" s="47">
        <f ca="1">'график анн Базова'!G110</f>
        <v>18477.864027143522</v>
      </c>
      <c r="H115" s="157">
        <f>'график анн Базова'!O110</f>
        <v>0</v>
      </c>
      <c r="I115" s="157" t="str">
        <f>'график анн Базова'!M110</f>
        <v/>
      </c>
      <c r="J115" s="201" t="str">
        <f>'график анн Базова'!N110</f>
        <v/>
      </c>
      <c r="K115" s="157" t="str">
        <f>'график анн Базова'!I110</f>
        <v/>
      </c>
      <c r="L115" s="157" t="str">
        <f>'график анн Базова'!J110</f>
        <v/>
      </c>
      <c r="M115" s="157">
        <f>'график анн Базова'!K110</f>
        <v>0</v>
      </c>
      <c r="N115" s="157" t="str">
        <f>'график анн Базова'!L110</f>
        <v/>
      </c>
      <c r="O115" s="51" t="str">
        <f>'график анн Базова'!P110</f>
        <v/>
      </c>
      <c r="P115" s="147" t="str">
        <f>'график анн Базова'!Q110</f>
        <v/>
      </c>
    </row>
    <row r="116" spans="1:16" x14ac:dyDescent="0.35">
      <c r="A116" s="154">
        <f>'график анн Базова'!A111</f>
        <v>87</v>
      </c>
      <c r="B116" s="155">
        <f ca="1">'график анн Базова'!C111</f>
        <v>47136</v>
      </c>
      <c r="C116" s="156">
        <f ca="1">'график анн Базова'!D111</f>
        <v>31</v>
      </c>
      <c r="D116" s="47">
        <f ca="1">'график анн Базова'!E111</f>
        <v>1744009.2538684425</v>
      </c>
      <c r="E116" s="47">
        <f ca="1">'график анн Базова'!H111</f>
        <v>23232.527337695603</v>
      </c>
      <c r="F116" s="47">
        <f ca="1">'график анн Базова'!F111</f>
        <v>4190.5239652589007</v>
      </c>
      <c r="G116" s="47">
        <f ca="1">'график анн Базова'!G111</f>
        <v>19042.003372436702</v>
      </c>
      <c r="H116" s="157">
        <f>'график анн Базова'!O111</f>
        <v>0</v>
      </c>
      <c r="I116" s="157" t="str">
        <f>'график анн Базова'!M111</f>
        <v/>
      </c>
      <c r="J116" s="201" t="str">
        <f>'график анн Базова'!N111</f>
        <v/>
      </c>
      <c r="K116" s="157" t="str">
        <f>'график анн Базова'!I111</f>
        <v/>
      </c>
      <c r="L116" s="157" t="str">
        <f>'график анн Базова'!J111</f>
        <v/>
      </c>
      <c r="M116" s="157">
        <f>'график анн Базова'!K111</f>
        <v>0</v>
      </c>
      <c r="N116" s="157" t="str">
        <f>'график анн Базова'!L111</f>
        <v/>
      </c>
      <c r="O116" s="51" t="str">
        <f>'график анн Базова'!P111</f>
        <v/>
      </c>
      <c r="P116" s="147" t="str">
        <f>'график анн Базова'!Q111</f>
        <v/>
      </c>
    </row>
    <row r="117" spans="1:16" x14ac:dyDescent="0.35">
      <c r="A117" s="154">
        <f>'график анн Базова'!A112</f>
        <v>88</v>
      </c>
      <c r="B117" s="155">
        <f ca="1">'график анн Базова'!C112</f>
        <v>47167</v>
      </c>
      <c r="C117" s="156">
        <f ca="1">'график анн Базова'!D112</f>
        <v>31</v>
      </c>
      <c r="D117" s="47">
        <f ca="1">'график анн Базова'!E112</f>
        <v>1739825.1300690263</v>
      </c>
      <c r="E117" s="47">
        <f ca="1">'график анн Базова'!H112</f>
        <v>23232.527337695603</v>
      </c>
      <c r="F117" s="47">
        <f ca="1">'график анн Базова'!F112</f>
        <v>4184.1237994163384</v>
      </c>
      <c r="G117" s="47">
        <f ca="1">'график анн Базова'!G112</f>
        <v>19048.403538279264</v>
      </c>
      <c r="H117" s="157">
        <f>'график анн Базова'!O112</f>
        <v>0</v>
      </c>
      <c r="I117" s="157" t="str">
        <f>'график анн Базова'!M112</f>
        <v/>
      </c>
      <c r="J117" s="201" t="str">
        <f>'график анн Базова'!N112</f>
        <v/>
      </c>
      <c r="K117" s="157" t="str">
        <f>'график анн Базова'!I112</f>
        <v/>
      </c>
      <c r="L117" s="157" t="str">
        <f>'график анн Базова'!J112</f>
        <v/>
      </c>
      <c r="M117" s="157">
        <f>'график анн Базова'!K112</f>
        <v>0</v>
      </c>
      <c r="N117" s="157" t="str">
        <f>'график анн Базова'!L112</f>
        <v/>
      </c>
      <c r="O117" s="51" t="str">
        <f>'график анн Базова'!P112</f>
        <v/>
      </c>
      <c r="P117" s="147" t="str">
        <f>'график анн Базова'!Q112</f>
        <v/>
      </c>
    </row>
    <row r="118" spans="1:16" x14ac:dyDescent="0.35">
      <c r="A118" s="154">
        <f>'график анн Базова'!A113</f>
        <v>89</v>
      </c>
      <c r="B118" s="155">
        <f ca="1">'график анн Базова'!C113</f>
        <v>47195</v>
      </c>
      <c r="C118" s="156">
        <f ca="1">'график анн Базова'!D113</f>
        <v>28</v>
      </c>
      <c r="D118" s="47">
        <f ca="1">'график анн Базова'!E113</f>
        <v>1733756.3351377761</v>
      </c>
      <c r="E118" s="47">
        <f ca="1">'график анн Базова'!H113</f>
        <v>23232.527337695603</v>
      </c>
      <c r="F118" s="47">
        <f ca="1">'график анн Базова'!F113</f>
        <v>6068.7949312502642</v>
      </c>
      <c r="G118" s="47">
        <f ca="1">'график анн Базова'!G113</f>
        <v>17163.732406445339</v>
      </c>
      <c r="H118" s="157">
        <f>'график анн Базова'!O113</f>
        <v>0</v>
      </c>
      <c r="I118" s="157" t="str">
        <f>'график анн Базова'!M113</f>
        <v/>
      </c>
      <c r="J118" s="201" t="str">
        <f>'график анн Базова'!N113</f>
        <v/>
      </c>
      <c r="K118" s="157" t="str">
        <f>'график анн Базова'!I113</f>
        <v/>
      </c>
      <c r="L118" s="157" t="str">
        <f>'график анн Базова'!J113</f>
        <v/>
      </c>
      <c r="M118" s="157">
        <f>'график анн Базова'!K113</f>
        <v>0</v>
      </c>
      <c r="N118" s="157" t="str">
        <f>'график анн Базова'!L113</f>
        <v/>
      </c>
      <c r="O118" s="51" t="str">
        <f>'график анн Базова'!P113</f>
        <v/>
      </c>
      <c r="P118" s="147" t="str">
        <f>'график анн Базова'!Q113</f>
        <v/>
      </c>
    </row>
    <row r="119" spans="1:16" x14ac:dyDescent="0.35">
      <c r="A119" s="154">
        <f>'график анн Базова'!A114</f>
        <v>90</v>
      </c>
      <c r="B119" s="155">
        <f ca="1">'график анн Базова'!C114</f>
        <v>47226</v>
      </c>
      <c r="C119" s="156">
        <f ca="1">'график анн Базова'!D114</f>
        <v>31</v>
      </c>
      <c r="D119" s="47">
        <f ca="1">'график анн Базова'!E114</f>
        <v>1729460.2269936702</v>
      </c>
      <c r="E119" s="47">
        <f ca="1">'график анн Базова'!H114</f>
        <v>23232.527337695603</v>
      </c>
      <c r="F119" s="47">
        <f ca="1">'график анн Базова'!F114</f>
        <v>4296.1081441058559</v>
      </c>
      <c r="G119" s="47">
        <f ca="1">'график анн Базова'!G114</f>
        <v>18936.419193589747</v>
      </c>
      <c r="H119" s="157">
        <f>'график анн Базова'!O114</f>
        <v>0</v>
      </c>
      <c r="I119" s="157" t="str">
        <f>'график анн Базова'!M114</f>
        <v/>
      </c>
      <c r="J119" s="201" t="str">
        <f>'график анн Базова'!N114</f>
        <v/>
      </c>
      <c r="K119" s="157" t="str">
        <f>'график анн Базова'!I114</f>
        <v/>
      </c>
      <c r="L119" s="157" t="str">
        <f>'график анн Базова'!J114</f>
        <v/>
      </c>
      <c r="M119" s="157">
        <f>'график анн Базова'!K114</f>
        <v>0</v>
      </c>
      <c r="N119" s="157" t="str">
        <f>'график анн Базова'!L114</f>
        <v/>
      </c>
      <c r="O119" s="51" t="str">
        <f>'график анн Базова'!P114</f>
        <v/>
      </c>
      <c r="P119" s="147" t="str">
        <f>'график анн Базова'!Q114</f>
        <v/>
      </c>
    </row>
    <row r="120" spans="1:16" x14ac:dyDescent="0.35">
      <c r="A120" s="154">
        <f>'график анн Базова'!A115</f>
        <v>91</v>
      </c>
      <c r="B120" s="155">
        <f ca="1">'график анн Базова'!C115</f>
        <v>47256</v>
      </c>
      <c r="C120" s="156">
        <f ca="1">'график анн Базова'!D115</f>
        <v>30</v>
      </c>
      <c r="D120" s="47">
        <f ca="1">'график анн Базова'!E115</f>
        <v>1724507.857342938</v>
      </c>
      <c r="E120" s="47">
        <f ca="1">'график анн Базова'!H115</f>
        <v>23232.527337695603</v>
      </c>
      <c r="F120" s="47">
        <f ca="1">'график анн Базова'!F115</f>
        <v>4952.369650732373</v>
      </c>
      <c r="G120" s="47">
        <f ca="1">'график анн Базова'!G115</f>
        <v>18280.15768696323</v>
      </c>
      <c r="H120" s="157">
        <f>'график анн Базова'!O115</f>
        <v>0</v>
      </c>
      <c r="I120" s="157" t="str">
        <f>'график анн Базова'!M115</f>
        <v/>
      </c>
      <c r="J120" s="201" t="str">
        <f>'график анн Базова'!N115</f>
        <v/>
      </c>
      <c r="K120" s="157" t="str">
        <f>'график анн Базова'!I115</f>
        <v/>
      </c>
      <c r="L120" s="157" t="str">
        <f>'график анн Базова'!J115</f>
        <v/>
      </c>
      <c r="M120" s="157">
        <f>'график анн Базова'!K115</f>
        <v>0</v>
      </c>
      <c r="N120" s="157" t="str">
        <f>'график анн Базова'!L115</f>
        <v/>
      </c>
      <c r="O120" s="51" t="str">
        <f>'график анн Базова'!P115</f>
        <v/>
      </c>
      <c r="P120" s="147" t="str">
        <f>'график анн Базова'!Q115</f>
        <v/>
      </c>
    </row>
    <row r="121" spans="1:16" x14ac:dyDescent="0.35">
      <c r="A121" s="154">
        <f>'график анн Базова'!A116</f>
        <v>92</v>
      </c>
      <c r="B121" s="155">
        <f ca="1">'график анн Базова'!C116</f>
        <v>47287</v>
      </c>
      <c r="C121" s="156">
        <f ca="1">'график анн Базова'!D116</f>
        <v>31</v>
      </c>
      <c r="D121" s="47">
        <f ca="1">'график анн Базова'!E116</f>
        <v>1720110.7355506762</v>
      </c>
      <c r="E121" s="47">
        <f ca="1">'график анн Базова'!H116</f>
        <v>23232.527337695603</v>
      </c>
      <c r="F121" s="47">
        <f ca="1">'график анн Базова'!F116</f>
        <v>4397.1217922617507</v>
      </c>
      <c r="G121" s="47">
        <f ca="1">'график анн Базова'!G116</f>
        <v>18835.405545433852</v>
      </c>
      <c r="H121" s="157">
        <f>'график анн Базова'!O116</f>
        <v>0</v>
      </c>
      <c r="I121" s="157" t="str">
        <f>'график анн Базова'!M116</f>
        <v/>
      </c>
      <c r="J121" s="201" t="str">
        <f>'график анн Базова'!N116</f>
        <v/>
      </c>
      <c r="K121" s="157" t="str">
        <f>'график анн Базова'!I116</f>
        <v/>
      </c>
      <c r="L121" s="157" t="str">
        <f>'график анн Базова'!J116</f>
        <v/>
      </c>
      <c r="M121" s="157">
        <f>'график анн Базова'!K116</f>
        <v>0</v>
      </c>
      <c r="N121" s="157" t="str">
        <f>'график анн Базова'!L116</f>
        <v/>
      </c>
      <c r="O121" s="51" t="str">
        <f>'график анн Базова'!P116</f>
        <v/>
      </c>
      <c r="P121" s="147" t="str">
        <f>'график анн Базова'!Q116</f>
        <v/>
      </c>
    </row>
    <row r="122" spans="1:16" x14ac:dyDescent="0.35">
      <c r="A122" s="154">
        <f>'график анн Базова'!A117</f>
        <v>93</v>
      </c>
      <c r="B122" s="155">
        <f ca="1">'график анн Базова'!C117</f>
        <v>47317</v>
      </c>
      <c r="C122" s="156">
        <f ca="1">'график анн Базова'!D117</f>
        <v>30</v>
      </c>
      <c r="D122" s="47">
        <f ca="1">'график анн Базова'!E117</f>
        <v>1715059.5430561437</v>
      </c>
      <c r="E122" s="47">
        <f ca="1">'график анн Базова'!H117</f>
        <v>23232.527337695603</v>
      </c>
      <c r="F122" s="47">
        <f ca="1">'график анн Базова'!F117</f>
        <v>5051.1924945325663</v>
      </c>
      <c r="G122" s="47">
        <f ca="1">'график анн Базова'!G117</f>
        <v>18181.334843163037</v>
      </c>
      <c r="H122" s="157">
        <f>'график анн Базова'!O117</f>
        <v>0</v>
      </c>
      <c r="I122" s="157" t="str">
        <f>'график анн Базова'!M117</f>
        <v/>
      </c>
      <c r="J122" s="201" t="str">
        <f>'график анн Базова'!N117</f>
        <v/>
      </c>
      <c r="K122" s="157" t="str">
        <f>'график анн Базова'!I117</f>
        <v/>
      </c>
      <c r="L122" s="157" t="str">
        <f>'график анн Базова'!J117</f>
        <v/>
      </c>
      <c r="M122" s="157">
        <f>'график анн Базова'!K117</f>
        <v>0</v>
      </c>
      <c r="N122" s="157" t="str">
        <f>'график анн Базова'!L117</f>
        <v/>
      </c>
      <c r="O122" s="51" t="str">
        <f>'график анн Базова'!P117</f>
        <v/>
      </c>
      <c r="P122" s="147" t="str">
        <f>'график анн Базова'!Q117</f>
        <v/>
      </c>
    </row>
    <row r="123" spans="1:16" x14ac:dyDescent="0.35">
      <c r="A123" s="154">
        <f>'график анн Базова'!A118</f>
        <v>94</v>
      </c>
      <c r="B123" s="155">
        <f ca="1">'график анн Базова'!C118</f>
        <v>47348</v>
      </c>
      <c r="C123" s="156">
        <f ca="1">'график анн Базова'!D118</f>
        <v>31</v>
      </c>
      <c r="D123" s="47">
        <f ca="1">'график анн Базова'!E118</f>
        <v>1710559.2249632361</v>
      </c>
      <c r="E123" s="47">
        <f ca="1">'график анн Базова'!H118</f>
        <v>23232.527337695603</v>
      </c>
      <c r="F123" s="47">
        <f ca="1">'график анн Базова'!F118</f>
        <v>4500.318092907597</v>
      </c>
      <c r="G123" s="47">
        <f ca="1">'график анн Базова'!G118</f>
        <v>18732.209244788006</v>
      </c>
      <c r="H123" s="157">
        <f>'график анн Базова'!O118</f>
        <v>0</v>
      </c>
      <c r="I123" s="157" t="str">
        <f>'график анн Базова'!M118</f>
        <v/>
      </c>
      <c r="J123" s="201" t="str">
        <f>'график анн Базова'!N118</f>
        <v/>
      </c>
      <c r="K123" s="157" t="str">
        <f>'график анн Базова'!I118</f>
        <v/>
      </c>
      <c r="L123" s="157" t="str">
        <f>'график анн Базова'!J118</f>
        <v/>
      </c>
      <c r="M123" s="157">
        <f>'график анн Базова'!K118</f>
        <v>0</v>
      </c>
      <c r="N123" s="157" t="str">
        <f>'график анн Базова'!L118</f>
        <v/>
      </c>
      <c r="O123" s="51" t="str">
        <f>'график анн Базова'!P118</f>
        <v/>
      </c>
      <c r="P123" s="147" t="str">
        <f>'график анн Базова'!Q118</f>
        <v/>
      </c>
    </row>
    <row r="124" spans="1:16" x14ac:dyDescent="0.35">
      <c r="A124" s="154">
        <f>'график анн Базова'!A119</f>
        <v>95</v>
      </c>
      <c r="B124" s="155">
        <f ca="1">'график анн Базова'!C119</f>
        <v>47379</v>
      </c>
      <c r="C124" s="156">
        <f ca="1">'график анн Базова'!D119</f>
        <v>31</v>
      </c>
      <c r="D124" s="47">
        <f ca="1">'график анн Базова'!E119</f>
        <v>1706009.7535330432</v>
      </c>
      <c r="E124" s="47">
        <f ca="1">'график анн Базова'!H119</f>
        <v>23232.527337695603</v>
      </c>
      <c r="F124" s="47">
        <f ca="1">'график анн Базова'!F119</f>
        <v>4549.4714301930326</v>
      </c>
      <c r="G124" s="47">
        <f ca="1">'график анн Базова'!G119</f>
        <v>18683.05590750257</v>
      </c>
      <c r="H124" s="157">
        <f>'график анн Базова'!O119</f>
        <v>0</v>
      </c>
      <c r="I124" s="157" t="str">
        <f>'график анн Базова'!M119</f>
        <v/>
      </c>
      <c r="J124" s="201" t="str">
        <f>'график анн Базова'!N119</f>
        <v/>
      </c>
      <c r="K124" s="157" t="str">
        <f>'график анн Базова'!I119</f>
        <v/>
      </c>
      <c r="L124" s="157" t="str">
        <f>'график анн Базова'!J119</f>
        <v/>
      </c>
      <c r="M124" s="157">
        <f>'график анн Базова'!K119</f>
        <v>0</v>
      </c>
      <c r="N124" s="157" t="str">
        <f>'график анн Базова'!L119</f>
        <v/>
      </c>
      <c r="O124" s="51" t="str">
        <f>'график анн Базова'!P119</f>
        <v/>
      </c>
      <c r="P124" s="147" t="str">
        <f>'график анн Базова'!Q119</f>
        <v/>
      </c>
    </row>
    <row r="125" spans="1:16" x14ac:dyDescent="0.35">
      <c r="A125" s="154">
        <f>'график анн Базова'!A120</f>
        <v>96</v>
      </c>
      <c r="B125" s="155">
        <f ca="1">'график анн Базова'!C120</f>
        <v>47409</v>
      </c>
      <c r="C125" s="156">
        <f ca="1">'график анн Базова'!D120</f>
        <v>30</v>
      </c>
      <c r="D125" s="47">
        <f ca="1">'график анн Базова'!E120</f>
        <v>1700809.5155902256</v>
      </c>
      <c r="E125" s="47">
        <f ca="1">'график анн Базова'!H120</f>
        <v>23232.527337695603</v>
      </c>
      <c r="F125" s="47">
        <f ca="1">'график анн Базова'!F120</f>
        <v>5200.2379428175773</v>
      </c>
      <c r="G125" s="47">
        <f ca="1">'график анн Базова'!G120</f>
        <v>18032.289394878026</v>
      </c>
      <c r="H125" s="157">
        <f>'график анн Базова'!O120</f>
        <v>0</v>
      </c>
      <c r="I125" s="157" t="str">
        <f>'график анн Базова'!M120</f>
        <v/>
      </c>
      <c r="J125" s="201" t="str">
        <f>'график анн Базова'!N120</f>
        <v/>
      </c>
      <c r="K125" s="157" t="str">
        <f>'график анн Базова'!I120</f>
        <v/>
      </c>
      <c r="L125" s="157" t="str">
        <f>'график анн Базова'!J120</f>
        <v/>
      </c>
      <c r="M125" s="157">
        <f>'график анн Базова'!K120</f>
        <v>0</v>
      </c>
      <c r="N125" s="157" t="str">
        <f>'график анн Базова'!L120</f>
        <v/>
      </c>
      <c r="O125" s="51" t="str">
        <f>'график анн Базова'!P120</f>
        <v/>
      </c>
      <c r="P125" s="147" t="str">
        <f>'график анн Базова'!Q120</f>
        <v/>
      </c>
    </row>
    <row r="126" spans="1:16" x14ac:dyDescent="0.35">
      <c r="A126" s="154">
        <f>'график анн Базова'!A121</f>
        <v>97</v>
      </c>
      <c r="B126" s="155">
        <f ca="1">'график анн Базова'!C121</f>
        <v>47440</v>
      </c>
      <c r="C126" s="156">
        <f ca="1">'график анн Базова'!D121</f>
        <v>31</v>
      </c>
      <c r="D126" s="47">
        <f ca="1">'график анн Базова'!E121</f>
        <v>1696153.5559644531</v>
      </c>
      <c r="E126" s="47">
        <f ca="1">'график анн Базова'!H121</f>
        <v>23232.527337695603</v>
      </c>
      <c r="F126" s="47">
        <f ca="1">'график анн Базова'!F121</f>
        <v>4655.9596257723351</v>
      </c>
      <c r="G126" s="47">
        <f ca="1">'график анн Базова'!G121</f>
        <v>18576.567711923268</v>
      </c>
      <c r="H126" s="157">
        <f>'график анн Базова'!O121</f>
        <v>0</v>
      </c>
      <c r="I126" s="157" t="str">
        <f>'график анн Базова'!M121</f>
        <v/>
      </c>
      <c r="J126" s="201">
        <f>'график анн Базова'!N121</f>
        <v>0</v>
      </c>
      <c r="K126" s="157" t="str">
        <f>'график анн Базова'!I121</f>
        <v/>
      </c>
      <c r="L126" s="157" t="str">
        <f>'график анн Базова'!J121</f>
        <v/>
      </c>
      <c r="M126" s="201">
        <f>'график анн Базова'!K121</f>
        <v>7500</v>
      </c>
      <c r="N126" s="157" t="str">
        <f>'график анн Базова'!L121</f>
        <v/>
      </c>
      <c r="O126" s="51" t="str">
        <f>'график анн Базова'!P121</f>
        <v/>
      </c>
      <c r="P126" s="147" t="str">
        <f>'график анн Базова'!Q121</f>
        <v/>
      </c>
    </row>
    <row r="127" spans="1:16" x14ac:dyDescent="0.35">
      <c r="A127" s="154">
        <f>'график анн Базова'!A122</f>
        <v>98</v>
      </c>
      <c r="B127" s="155">
        <f ca="1">'график анн Базова'!C122</f>
        <v>47470</v>
      </c>
      <c r="C127" s="156">
        <f ca="1">'график анн Базова'!D122</f>
        <v>30</v>
      </c>
      <c r="D127" s="47">
        <f ca="1">'график анн Базова'!E122</f>
        <v>1690849.1393634996</v>
      </c>
      <c r="E127" s="47">
        <f ca="1">'график анн Базова'!H122</f>
        <v>23232.527337695603</v>
      </c>
      <c r="F127" s="47">
        <f ca="1">'график анн Базова'!F122</f>
        <v>5304.416600953522</v>
      </c>
      <c r="G127" s="47">
        <f ca="1">'график анн Базова'!G122</f>
        <v>17928.110736742081</v>
      </c>
      <c r="H127" s="157">
        <f>'график анн Базова'!O122</f>
        <v>0</v>
      </c>
      <c r="I127" s="157" t="str">
        <f>'график анн Базова'!M122</f>
        <v/>
      </c>
      <c r="J127" s="201" t="str">
        <f>'график анн Базова'!N122</f>
        <v/>
      </c>
      <c r="K127" s="157" t="str">
        <f>'график анн Базова'!I122</f>
        <v/>
      </c>
      <c r="L127" s="157" t="str">
        <f>'график анн Базова'!J122</f>
        <v/>
      </c>
      <c r="M127" s="157">
        <f>'график анн Базова'!K122</f>
        <v>0</v>
      </c>
      <c r="N127" s="157" t="str">
        <f>'график анн Базова'!L122</f>
        <v/>
      </c>
      <c r="O127" s="51" t="str">
        <f>'график анн Базова'!P122</f>
        <v/>
      </c>
      <c r="P127" s="147" t="str">
        <f>'график анн Базова'!Q122</f>
        <v/>
      </c>
    </row>
    <row r="128" spans="1:16" x14ac:dyDescent="0.35">
      <c r="A128" s="154">
        <f>'график анн Базова'!A123</f>
        <v>99</v>
      </c>
      <c r="B128" s="155">
        <f ca="1">'график анн Базова'!C123</f>
        <v>47501</v>
      </c>
      <c r="C128" s="156">
        <f ca="1">'график анн Базова'!D123</f>
        <v>31</v>
      </c>
      <c r="D128" s="47">
        <f ca="1">'график анн Базова'!E123</f>
        <v>1686084.3905983698</v>
      </c>
      <c r="E128" s="47">
        <f ca="1">'график анн Базова'!H123</f>
        <v>23232.527337695603</v>
      </c>
      <c r="F128" s="47">
        <f ca="1">'график анн Базова'!F123</f>
        <v>4764.7487651297743</v>
      </c>
      <c r="G128" s="47">
        <f ca="1">'график анн Базова'!G123</f>
        <v>18467.778572565829</v>
      </c>
      <c r="H128" s="157">
        <f>'график анн Базова'!O123</f>
        <v>0</v>
      </c>
      <c r="I128" s="157" t="str">
        <f>'график анн Базова'!M123</f>
        <v/>
      </c>
      <c r="J128" s="201" t="str">
        <f>'график анн Базова'!N123</f>
        <v/>
      </c>
      <c r="K128" s="157" t="str">
        <f>'график анн Базова'!I123</f>
        <v/>
      </c>
      <c r="L128" s="157" t="str">
        <f>'график анн Базова'!J123</f>
        <v/>
      </c>
      <c r="M128" s="157">
        <f>'график анн Базова'!K123</f>
        <v>0</v>
      </c>
      <c r="N128" s="157" t="str">
        <f>'график анн Базова'!L123</f>
        <v/>
      </c>
      <c r="O128" s="51" t="str">
        <f>'график анн Базова'!P123</f>
        <v/>
      </c>
      <c r="P128" s="147" t="str">
        <f>'график анн Базова'!Q123</f>
        <v/>
      </c>
    </row>
    <row r="129" spans="1:16" x14ac:dyDescent="0.35">
      <c r="A129" s="154">
        <f>'график анн Базова'!A124</f>
        <v>100</v>
      </c>
      <c r="B129" s="155">
        <f ca="1">'график анн Базова'!C124</f>
        <v>47532</v>
      </c>
      <c r="C129" s="156">
        <f ca="1">'график анн Базова'!D124</f>
        <v>31</v>
      </c>
      <c r="D129" s="47">
        <f ca="1">'график анн Базова'!E124</f>
        <v>1681267.6003334399</v>
      </c>
      <c r="E129" s="47">
        <f ca="1">'график анн Базова'!H124</f>
        <v>23232.527337695603</v>
      </c>
      <c r="F129" s="47">
        <f ca="1">'график анн Базова'!F124</f>
        <v>4816.7902649299576</v>
      </c>
      <c r="G129" s="47">
        <f ca="1">'график анн Базова'!G124</f>
        <v>18415.737072765645</v>
      </c>
      <c r="H129" s="157">
        <f>'график анн Базова'!O124</f>
        <v>0</v>
      </c>
      <c r="I129" s="157" t="str">
        <f>'график анн Базова'!M124</f>
        <v/>
      </c>
      <c r="J129" s="201" t="str">
        <f>'график анн Базова'!N124</f>
        <v/>
      </c>
      <c r="K129" s="157" t="str">
        <f>'график анн Базова'!I124</f>
        <v/>
      </c>
      <c r="L129" s="157" t="str">
        <f>'график анн Базова'!J124</f>
        <v/>
      </c>
      <c r="M129" s="157">
        <f>'график анн Базова'!K124</f>
        <v>0</v>
      </c>
      <c r="N129" s="157" t="str">
        <f>'график анн Базова'!L124</f>
        <v/>
      </c>
      <c r="O129" s="51" t="str">
        <f>'график анн Базова'!P124</f>
        <v/>
      </c>
      <c r="P129" s="147" t="str">
        <f>'график анн Базова'!Q124</f>
        <v/>
      </c>
    </row>
    <row r="130" spans="1:16" x14ac:dyDescent="0.35">
      <c r="A130" s="154">
        <f>'график анн Базова'!A125</f>
        <v>101</v>
      </c>
      <c r="B130" s="155">
        <f ca="1">'график анн Базова'!C125</f>
        <v>47560</v>
      </c>
      <c r="C130" s="156">
        <f ca="1">'график анн Базова'!D125</f>
        <v>28</v>
      </c>
      <c r="D130" s="47">
        <f ca="1">'график анн Базова'!E125</f>
        <v>1674621.123338979</v>
      </c>
      <c r="E130" s="47">
        <f ca="1">'график анн Базова'!H125</f>
        <v>23232.527337695603</v>
      </c>
      <c r="F130" s="47">
        <f ca="1">'график анн Базова'!F125</f>
        <v>6646.4769944609434</v>
      </c>
      <c r="G130" s="47">
        <f ca="1">'график анн Базова'!G125</f>
        <v>16586.05034323466</v>
      </c>
      <c r="H130" s="157">
        <f>'график анн Базова'!O125</f>
        <v>0</v>
      </c>
      <c r="I130" s="157" t="str">
        <f>'график анн Базова'!M125</f>
        <v/>
      </c>
      <c r="J130" s="201" t="str">
        <f>'график анн Базова'!N125</f>
        <v/>
      </c>
      <c r="K130" s="157" t="str">
        <f>'график анн Базова'!I125</f>
        <v/>
      </c>
      <c r="L130" s="157" t="str">
        <f>'график анн Базова'!J125</f>
        <v/>
      </c>
      <c r="M130" s="157">
        <f>'график анн Базова'!K125</f>
        <v>0</v>
      </c>
      <c r="N130" s="157" t="str">
        <f>'график анн Базова'!L125</f>
        <v/>
      </c>
      <c r="O130" s="51" t="str">
        <f>'график анн Базова'!P125</f>
        <v/>
      </c>
      <c r="P130" s="147" t="str">
        <f>'график анн Базова'!Q125</f>
        <v/>
      </c>
    </row>
    <row r="131" spans="1:16" x14ac:dyDescent="0.35">
      <c r="A131" s="154">
        <f>'график анн Базова'!A126</f>
        <v>102</v>
      </c>
      <c r="B131" s="155">
        <f ca="1">'график анн Базова'!C126</f>
        <v>47591</v>
      </c>
      <c r="C131" s="156">
        <f ca="1">'график анн Базова'!D126</f>
        <v>31</v>
      </c>
      <c r="D131" s="47">
        <f ca="1">'график анн Базова'!E126</f>
        <v>1669679.129070607</v>
      </c>
      <c r="E131" s="47">
        <f ca="1">'график анн Базова'!H126</f>
        <v>23232.527337695603</v>
      </c>
      <c r="F131" s="47">
        <f ca="1">'график анн Базова'!F126</f>
        <v>4941.99426837184</v>
      </c>
      <c r="G131" s="47">
        <f ca="1">'график анн Базова'!G126</f>
        <v>18290.533069323763</v>
      </c>
      <c r="H131" s="157">
        <f>'график анн Базова'!O126</f>
        <v>0</v>
      </c>
      <c r="I131" s="157" t="str">
        <f>'график анн Базова'!M126</f>
        <v/>
      </c>
      <c r="J131" s="201" t="str">
        <f>'график анн Базова'!N126</f>
        <v/>
      </c>
      <c r="K131" s="157" t="str">
        <f>'график анн Базова'!I126</f>
        <v/>
      </c>
      <c r="L131" s="157" t="str">
        <f>'график анн Базова'!J126</f>
        <v/>
      </c>
      <c r="M131" s="157">
        <f>'график анн Базова'!K126</f>
        <v>0</v>
      </c>
      <c r="N131" s="157" t="str">
        <f>'график анн Базова'!L126</f>
        <v/>
      </c>
      <c r="O131" s="51" t="str">
        <f>'график анн Базова'!P126</f>
        <v/>
      </c>
      <c r="P131" s="147" t="str">
        <f>'график анн Базова'!Q126</f>
        <v/>
      </c>
    </row>
    <row r="132" spans="1:16" x14ac:dyDescent="0.35">
      <c r="A132" s="154">
        <f>'график анн Базова'!A127</f>
        <v>103</v>
      </c>
      <c r="B132" s="155">
        <f ca="1">'график анн Базова'!C127</f>
        <v>47621</v>
      </c>
      <c r="C132" s="156">
        <f ca="1">'график анн Базова'!D127</f>
        <v>30</v>
      </c>
      <c r="D132" s="47">
        <f ca="1">'график анн Базова'!E127</f>
        <v>1664094.8814040194</v>
      </c>
      <c r="E132" s="47">
        <f ca="1">'график анн Базова'!H127</f>
        <v>23232.527337695603</v>
      </c>
      <c r="F132" s="47">
        <f ca="1">'график анн Базова'!F127</f>
        <v>5584.2476665876529</v>
      </c>
      <c r="G132" s="47">
        <f ca="1">'график анн Базова'!G127</f>
        <v>17648.27967110795</v>
      </c>
      <c r="H132" s="157">
        <f>'график анн Базова'!O127</f>
        <v>0</v>
      </c>
      <c r="I132" s="157" t="str">
        <f>'график анн Базова'!M127</f>
        <v/>
      </c>
      <c r="J132" s="201" t="str">
        <f>'график анн Базова'!N127</f>
        <v/>
      </c>
      <c r="K132" s="157" t="str">
        <f>'график анн Базова'!I127</f>
        <v/>
      </c>
      <c r="L132" s="157" t="str">
        <f>'график анн Базова'!J127</f>
        <v/>
      </c>
      <c r="M132" s="157">
        <f>'график анн Базова'!K127</f>
        <v>0</v>
      </c>
      <c r="N132" s="157" t="str">
        <f>'график анн Базова'!L127</f>
        <v/>
      </c>
      <c r="O132" s="51" t="str">
        <f>'график анн Базова'!P127</f>
        <v/>
      </c>
      <c r="P132" s="147" t="str">
        <f>'график анн Базова'!Q127</f>
        <v/>
      </c>
    </row>
    <row r="133" spans="1:16" x14ac:dyDescent="0.35">
      <c r="A133" s="154">
        <f>'график анн Базова'!A128</f>
        <v>104</v>
      </c>
      <c r="B133" s="155">
        <f ca="1">'график анн Базова'!C128</f>
        <v>47652</v>
      </c>
      <c r="C133" s="156">
        <f ca="1">'график анн Базова'!D128</f>
        <v>31</v>
      </c>
      <c r="D133" s="47">
        <f ca="1">'график анн Базова'!E128</f>
        <v>1659037.9175025027</v>
      </c>
      <c r="E133" s="47">
        <f ca="1">'график анн Базова'!H128</f>
        <v>23232.527337695603</v>
      </c>
      <c r="F133" s="47">
        <f ca="1">'график анн Базова'!F128</f>
        <v>5056.9639015167995</v>
      </c>
      <c r="G133" s="47">
        <f ca="1">'график анн Базова'!G128</f>
        <v>18175.563436178803</v>
      </c>
      <c r="H133" s="157">
        <f>'график анн Базова'!O128</f>
        <v>0</v>
      </c>
      <c r="I133" s="157" t="str">
        <f>'график анн Базова'!M128</f>
        <v/>
      </c>
      <c r="J133" s="201" t="str">
        <f>'график анн Базова'!N128</f>
        <v/>
      </c>
      <c r="K133" s="157" t="str">
        <f>'график анн Базова'!I128</f>
        <v/>
      </c>
      <c r="L133" s="157" t="str">
        <f>'график анн Базова'!J128</f>
        <v/>
      </c>
      <c r="M133" s="157">
        <f>'график анн Базова'!K128</f>
        <v>0</v>
      </c>
      <c r="N133" s="157" t="str">
        <f>'график анн Базова'!L128</f>
        <v/>
      </c>
      <c r="O133" s="51" t="str">
        <f>'график анн Базова'!P128</f>
        <v/>
      </c>
      <c r="P133" s="147" t="str">
        <f>'график анн Базова'!Q128</f>
        <v/>
      </c>
    </row>
    <row r="134" spans="1:16" x14ac:dyDescent="0.35">
      <c r="A134" s="154">
        <f>'график анн Базова'!A129</f>
        <v>105</v>
      </c>
      <c r="B134" s="155">
        <f ca="1">'график анн Базова'!C129</f>
        <v>47682</v>
      </c>
      <c r="C134" s="156">
        <f ca="1">'график анн Базова'!D129</f>
        <v>30</v>
      </c>
      <c r="D134" s="47">
        <f ca="1">'график анн Базова'!E129</f>
        <v>1653341.1936873405</v>
      </c>
      <c r="E134" s="47">
        <f ca="1">'график анн Базова'!H129</f>
        <v>23232.527337695603</v>
      </c>
      <c r="F134" s="47">
        <f ca="1">'график анн Базова'!F129</f>
        <v>5696.7238151623023</v>
      </c>
      <c r="G134" s="47">
        <f ca="1">'график анн Базова'!G129</f>
        <v>17535.803522533301</v>
      </c>
      <c r="H134" s="157">
        <f>'график анн Базова'!O129</f>
        <v>0</v>
      </c>
      <c r="I134" s="157" t="str">
        <f>'график анн Базова'!M129</f>
        <v/>
      </c>
      <c r="J134" s="201" t="str">
        <f>'график анн Базова'!N129</f>
        <v/>
      </c>
      <c r="K134" s="157" t="str">
        <f>'график анн Базова'!I129</f>
        <v/>
      </c>
      <c r="L134" s="157" t="str">
        <f>'график анн Базова'!J129</f>
        <v/>
      </c>
      <c r="M134" s="157">
        <f>'график анн Базова'!K129</f>
        <v>0</v>
      </c>
      <c r="N134" s="157" t="str">
        <f>'график анн Базова'!L129</f>
        <v/>
      </c>
      <c r="O134" s="51" t="str">
        <f>'график анн Базова'!P129</f>
        <v/>
      </c>
      <c r="P134" s="147" t="str">
        <f>'график анн Базова'!Q129</f>
        <v/>
      </c>
    </row>
    <row r="135" spans="1:16" x14ac:dyDescent="0.35">
      <c r="A135" s="154">
        <f>'график анн Базова'!A130</f>
        <v>106</v>
      </c>
      <c r="B135" s="155">
        <f ca="1">'график анн Базова'!C130</f>
        <v>47713</v>
      </c>
      <c r="C135" s="156">
        <f ca="1">'график анн Базова'!D130</f>
        <v>31</v>
      </c>
      <c r="D135" s="47">
        <f ca="1">'график анн Базова'!E130</f>
        <v>1648166.7759462311</v>
      </c>
      <c r="E135" s="47">
        <f ca="1">'график анн Базова'!H130</f>
        <v>23232.527337695603</v>
      </c>
      <c r="F135" s="47">
        <f ca="1">'график анн Базова'!F130</f>
        <v>5174.4177411094352</v>
      </c>
      <c r="G135" s="47">
        <f ca="1">'график анн Базова'!G130</f>
        <v>18058.109596586168</v>
      </c>
      <c r="H135" s="157">
        <f>'график анн Базова'!O130</f>
        <v>0</v>
      </c>
      <c r="I135" s="157" t="str">
        <f>'график анн Базова'!M130</f>
        <v/>
      </c>
      <c r="J135" s="201" t="str">
        <f>'график анн Базова'!N130</f>
        <v/>
      </c>
      <c r="K135" s="157" t="str">
        <f>'график анн Базова'!I130</f>
        <v/>
      </c>
      <c r="L135" s="157" t="str">
        <f>'график анн Базова'!J130</f>
        <v/>
      </c>
      <c r="M135" s="157">
        <f>'график анн Базова'!K130</f>
        <v>0</v>
      </c>
      <c r="N135" s="157" t="str">
        <f>'график анн Базова'!L130</f>
        <v/>
      </c>
      <c r="O135" s="51" t="str">
        <f>'график анн Базова'!P130</f>
        <v/>
      </c>
      <c r="P135" s="147" t="str">
        <f>'график анн Базова'!Q130</f>
        <v/>
      </c>
    </row>
    <row r="136" spans="1:16" x14ac:dyDescent="0.35">
      <c r="A136" s="154">
        <f>'график анн Базова'!A131</f>
        <v>107</v>
      </c>
      <c r="B136" s="155">
        <f ca="1">'график анн Базова'!C131</f>
        <v>47744</v>
      </c>
      <c r="C136" s="156">
        <f ca="1">'график анн Базова'!D131</f>
        <v>31</v>
      </c>
      <c r="D136" s="47">
        <f ca="1">'график анн Базова'!E131</f>
        <v>1642935.8422221991</v>
      </c>
      <c r="E136" s="47">
        <f ca="1">'график анн Базова'!H131</f>
        <v>23232.527337695603</v>
      </c>
      <c r="F136" s="47">
        <f ca="1">'график анн Базова'!F131</f>
        <v>5230.9337240319182</v>
      </c>
      <c r="G136" s="47">
        <f ca="1">'график анн Базова'!G131</f>
        <v>18001.593613663685</v>
      </c>
      <c r="H136" s="157">
        <f>'график анн Базова'!O131</f>
        <v>0</v>
      </c>
      <c r="I136" s="157" t="str">
        <f>'график анн Базова'!M131</f>
        <v/>
      </c>
      <c r="J136" s="201" t="str">
        <f>'график анн Базова'!N131</f>
        <v/>
      </c>
      <c r="K136" s="157" t="str">
        <f>'график анн Базова'!I131</f>
        <v/>
      </c>
      <c r="L136" s="157" t="str">
        <f>'график анн Базова'!J131</f>
        <v/>
      </c>
      <c r="M136" s="157">
        <f>'график анн Базова'!K131</f>
        <v>0</v>
      </c>
      <c r="N136" s="157" t="str">
        <f>'график анн Базова'!L131</f>
        <v/>
      </c>
      <c r="O136" s="51" t="str">
        <f>'график анн Базова'!P131</f>
        <v/>
      </c>
      <c r="P136" s="147" t="str">
        <f>'график анн Базова'!Q131</f>
        <v/>
      </c>
    </row>
    <row r="137" spans="1:16" x14ac:dyDescent="0.35">
      <c r="A137" s="154">
        <f>'график анн Базова'!A132</f>
        <v>108</v>
      </c>
      <c r="B137" s="155">
        <f ca="1">'график анн Базова'!C132</f>
        <v>47774</v>
      </c>
      <c r="C137" s="156">
        <f ca="1">'график анн Базова'!D132</f>
        <v>30</v>
      </c>
      <c r="D137" s="47">
        <f ca="1">'график анн Базова'!E132</f>
        <v>1637068.9216770877</v>
      </c>
      <c r="E137" s="47">
        <f ca="1">'график анн Базова'!H132</f>
        <v>23232.527337695603</v>
      </c>
      <c r="F137" s="47">
        <f ca="1">'график анн Базова'!F132</f>
        <v>5866.9205451113739</v>
      </c>
      <c r="G137" s="47">
        <f ca="1">'график анн Базова'!G132</f>
        <v>17365.606792584229</v>
      </c>
      <c r="H137" s="157">
        <f>'график анн Базова'!O132</f>
        <v>0</v>
      </c>
      <c r="I137" s="157" t="str">
        <f>'график анн Базова'!M132</f>
        <v/>
      </c>
      <c r="J137" s="201" t="str">
        <f>'график анн Базова'!N132</f>
        <v/>
      </c>
      <c r="K137" s="157" t="str">
        <f>'график анн Базова'!I132</f>
        <v/>
      </c>
      <c r="L137" s="157" t="str">
        <f>'график анн Базова'!J132</f>
        <v/>
      </c>
      <c r="M137" s="157">
        <f>'график анн Базова'!K132</f>
        <v>0</v>
      </c>
      <c r="N137" s="157" t="str">
        <f>'график анн Базова'!L132</f>
        <v/>
      </c>
      <c r="O137" s="51" t="str">
        <f>'график анн Базова'!P132</f>
        <v/>
      </c>
      <c r="P137" s="147" t="str">
        <f>'график анн Базова'!Q132</f>
        <v/>
      </c>
    </row>
    <row r="138" spans="1:16" x14ac:dyDescent="0.35">
      <c r="A138" s="154">
        <f>'график анн Базова'!A133</f>
        <v>109</v>
      </c>
      <c r="B138" s="155">
        <f ca="1">'график анн Базова'!C133</f>
        <v>47805</v>
      </c>
      <c r="C138" s="156">
        <f ca="1">'график анн Базова'!D133</f>
        <v>31</v>
      </c>
      <c r="D138" s="47">
        <f ca="1">'график анн Базова'!E133</f>
        <v>1631716.7750603727</v>
      </c>
      <c r="E138" s="47">
        <f ca="1">'график анн Базова'!H133</f>
        <v>23232.527337695603</v>
      </c>
      <c r="F138" s="47">
        <f ca="1">'график анн Базова'!F133</f>
        <v>5352.1466167151157</v>
      </c>
      <c r="G138" s="47">
        <f ca="1">'график анн Базова'!G133</f>
        <v>17880.380720980487</v>
      </c>
      <c r="H138" s="157">
        <f>'график анн Базова'!O133</f>
        <v>0</v>
      </c>
      <c r="I138" s="157" t="str">
        <f>'график анн Базова'!M133</f>
        <v/>
      </c>
      <c r="J138" s="201">
        <f>'график анн Базова'!N133</f>
        <v>0</v>
      </c>
      <c r="K138" s="157" t="str">
        <f>'график анн Базова'!I133</f>
        <v/>
      </c>
      <c r="L138" s="157" t="str">
        <f>'график анн Базова'!J133</f>
        <v/>
      </c>
      <c r="M138" s="201">
        <f>'график анн Базова'!K133</f>
        <v>7500</v>
      </c>
      <c r="N138" s="157" t="str">
        <f>'график анн Базова'!L133</f>
        <v/>
      </c>
      <c r="O138" s="51" t="str">
        <f>'график анн Базова'!P133</f>
        <v/>
      </c>
      <c r="P138" s="147" t="str">
        <f>'график анн Базова'!Q133</f>
        <v/>
      </c>
    </row>
    <row r="139" spans="1:16" x14ac:dyDescent="0.35">
      <c r="A139" s="154">
        <f>'график анн Базова'!A134</f>
        <v>110</v>
      </c>
      <c r="B139" s="155">
        <f ca="1">'график анн Базова'!C134</f>
        <v>47835</v>
      </c>
      <c r="C139" s="156">
        <f ca="1">'график анн Базова'!D134</f>
        <v>30</v>
      </c>
      <c r="D139" s="47">
        <f ca="1">'график анн Базова'!E134</f>
        <v>1625731.2705122193</v>
      </c>
      <c r="E139" s="47">
        <f ca="1">'график анн Базова'!H134</f>
        <v>23232.527337695603</v>
      </c>
      <c r="F139" s="47">
        <f ca="1">'график анн Базова'!F134</f>
        <v>5985.5045481533634</v>
      </c>
      <c r="G139" s="47">
        <f ca="1">'график анн Базова'!G134</f>
        <v>17247.022789542239</v>
      </c>
      <c r="H139" s="157">
        <f>'график анн Базова'!O134</f>
        <v>0</v>
      </c>
      <c r="I139" s="157" t="str">
        <f>'график анн Базова'!M134</f>
        <v/>
      </c>
      <c r="J139" s="201" t="str">
        <f>'график анн Базова'!N134</f>
        <v/>
      </c>
      <c r="K139" s="157" t="str">
        <f>'график анн Базова'!I134</f>
        <v/>
      </c>
      <c r="L139" s="157" t="str">
        <f>'график анн Базова'!J134</f>
        <v/>
      </c>
      <c r="M139" s="157">
        <f>'график анн Базова'!K134</f>
        <v>0</v>
      </c>
      <c r="N139" s="157" t="str">
        <f>'график анн Базова'!L134</f>
        <v/>
      </c>
      <c r="O139" s="51" t="str">
        <f>'график анн Базова'!P134</f>
        <v/>
      </c>
      <c r="P139" s="147" t="str">
        <f>'график анн Базова'!Q134</f>
        <v/>
      </c>
    </row>
    <row r="140" spans="1:16" x14ac:dyDescent="0.35">
      <c r="A140" s="154">
        <f>'график анн Базова'!A135</f>
        <v>111</v>
      </c>
      <c r="B140" s="155">
        <f ca="1">'график анн Базова'!C135</f>
        <v>47866</v>
      </c>
      <c r="C140" s="156">
        <f ca="1">'график анн Базова'!D135</f>
        <v>31</v>
      </c>
      <c r="D140" s="47">
        <f ca="1">'график анн Базова'!E135</f>
        <v>1620255.2918951374</v>
      </c>
      <c r="E140" s="47">
        <f ca="1">'график анн Базова'!H135</f>
        <v>23232.527337695603</v>
      </c>
      <c r="F140" s="47">
        <f ca="1">'график анн Базова'!F135</f>
        <v>5475.9786170818697</v>
      </c>
      <c r="G140" s="47">
        <f ca="1">'график анн Базова'!G135</f>
        <v>17756.548720613733</v>
      </c>
      <c r="H140" s="157">
        <f>'график анн Базова'!O135</f>
        <v>0</v>
      </c>
      <c r="I140" s="157" t="str">
        <f>'график анн Базова'!M135</f>
        <v/>
      </c>
      <c r="J140" s="201" t="str">
        <f>'график анн Базова'!N135</f>
        <v/>
      </c>
      <c r="K140" s="157" t="str">
        <f>'график анн Базова'!I135</f>
        <v/>
      </c>
      <c r="L140" s="157" t="str">
        <f>'график анн Базова'!J135</f>
        <v/>
      </c>
      <c r="M140" s="157">
        <f>'график анн Базова'!K135</f>
        <v>0</v>
      </c>
      <c r="N140" s="157" t="str">
        <f>'график анн Базова'!L135</f>
        <v/>
      </c>
      <c r="O140" s="51" t="str">
        <f>'график анн Базова'!P135</f>
        <v/>
      </c>
      <c r="P140" s="147" t="str">
        <f>'график анн Базова'!Q135</f>
        <v/>
      </c>
    </row>
    <row r="141" spans="1:16" x14ac:dyDescent="0.35">
      <c r="A141" s="154">
        <f>'график анн Базова'!A136</f>
        <v>112</v>
      </c>
      <c r="B141" s="155">
        <f ca="1">'график анн Базова'!C136</f>
        <v>47897</v>
      </c>
      <c r="C141" s="156">
        <f ca="1">'график анн Базова'!D136</f>
        <v>31</v>
      </c>
      <c r="D141" s="47">
        <f ca="1">'график анн Базова'!E136</f>
        <v>1614719.5035894122</v>
      </c>
      <c r="E141" s="47">
        <f ca="1">'график анн Базова'!H136</f>
        <v>23232.527337695603</v>
      </c>
      <c r="F141" s="47">
        <f ca="1">'график анн Базова'!F136</f>
        <v>5535.7883057253166</v>
      </c>
      <c r="G141" s="47">
        <f ca="1">'график анн Базова'!G136</f>
        <v>17696.739031970286</v>
      </c>
      <c r="H141" s="157">
        <f>'график анн Базова'!O136</f>
        <v>0</v>
      </c>
      <c r="I141" s="157" t="str">
        <f>'график анн Базова'!M136</f>
        <v/>
      </c>
      <c r="J141" s="201" t="str">
        <f>'график анн Базова'!N136</f>
        <v/>
      </c>
      <c r="K141" s="157" t="str">
        <f>'график анн Базова'!I136</f>
        <v/>
      </c>
      <c r="L141" s="157" t="str">
        <f>'график анн Базова'!J136</f>
        <v/>
      </c>
      <c r="M141" s="157">
        <f>'график анн Базова'!K136</f>
        <v>0</v>
      </c>
      <c r="N141" s="157" t="str">
        <f>'график анн Базова'!L136</f>
        <v/>
      </c>
      <c r="O141" s="51" t="str">
        <f>'график анн Базова'!P136</f>
        <v/>
      </c>
      <c r="P141" s="147" t="str">
        <f>'график анн Базова'!Q136</f>
        <v/>
      </c>
    </row>
    <row r="142" spans="1:16" x14ac:dyDescent="0.35">
      <c r="A142" s="154">
        <f>'график анн Базова'!A137</f>
        <v>113</v>
      </c>
      <c r="B142" s="155">
        <f ca="1">'график анн Базова'!C137</f>
        <v>47925</v>
      </c>
      <c r="C142" s="156">
        <f ca="1">'график анн Базова'!D137</f>
        <v>28</v>
      </c>
      <c r="D142" s="47">
        <f ca="1">'график анн Базова'!E137</f>
        <v>1607416.5159463049</v>
      </c>
      <c r="E142" s="47">
        <f ca="1">'график анн Базова'!H137</f>
        <v>23232.527337695603</v>
      </c>
      <c r="F142" s="47">
        <f ca="1">'график анн Базова'!F137</f>
        <v>7302.9876431072316</v>
      </c>
      <c r="G142" s="47">
        <f ca="1">'график анн Базова'!G137</f>
        <v>15929.539694588371</v>
      </c>
      <c r="H142" s="157">
        <f>'график анн Базова'!O137</f>
        <v>0</v>
      </c>
      <c r="I142" s="157" t="str">
        <f>'график анн Базова'!M137</f>
        <v/>
      </c>
      <c r="J142" s="201" t="str">
        <f>'график анн Базова'!N137</f>
        <v/>
      </c>
      <c r="K142" s="157" t="str">
        <f>'график анн Базова'!I137</f>
        <v/>
      </c>
      <c r="L142" s="157" t="str">
        <f>'график анн Базова'!J137</f>
        <v/>
      </c>
      <c r="M142" s="157">
        <f>'график анн Базова'!K137</f>
        <v>0</v>
      </c>
      <c r="N142" s="157" t="str">
        <f>'график анн Базова'!L137</f>
        <v/>
      </c>
      <c r="O142" s="51" t="str">
        <f>'график анн Базова'!P137</f>
        <v/>
      </c>
      <c r="P142" s="147" t="str">
        <f>'график анн Базова'!Q137</f>
        <v/>
      </c>
    </row>
    <row r="143" spans="1:16" x14ac:dyDescent="0.35">
      <c r="A143" s="154">
        <f>'график анн Базова'!A138</f>
        <v>114</v>
      </c>
      <c r="B143" s="155">
        <f ca="1">'график анн Базова'!C138</f>
        <v>47956</v>
      </c>
      <c r="C143" s="156">
        <f ca="1">'график анн Базова'!D138</f>
        <v>31</v>
      </c>
      <c r="D143" s="47">
        <f ca="1">'график анн Базова'!E138</f>
        <v>1601740.5000674354</v>
      </c>
      <c r="E143" s="47">
        <f ca="1">'график анн Базова'!H138</f>
        <v>23232.527337695603</v>
      </c>
      <c r="F143" s="47">
        <f ca="1">'график анн Базова'!F138</f>
        <v>5676.015878869468</v>
      </c>
      <c r="G143" s="47">
        <f ca="1">'график анн Базова'!G138</f>
        <v>17556.511458826135</v>
      </c>
      <c r="H143" s="157">
        <f>'график анн Базова'!O138</f>
        <v>0</v>
      </c>
      <c r="I143" s="157" t="str">
        <f>'график анн Базова'!M138</f>
        <v/>
      </c>
      <c r="J143" s="201" t="str">
        <f>'график анн Базова'!N138</f>
        <v/>
      </c>
      <c r="K143" s="157" t="str">
        <f>'график анн Базова'!I138</f>
        <v/>
      </c>
      <c r="L143" s="157" t="str">
        <f>'график анн Базова'!J138</f>
        <v/>
      </c>
      <c r="M143" s="157">
        <f>'график анн Базова'!K138</f>
        <v>0</v>
      </c>
      <c r="N143" s="157" t="str">
        <f>'график анн Базова'!L138</f>
        <v/>
      </c>
      <c r="O143" s="51" t="str">
        <f>'график анн Базова'!P138</f>
        <v/>
      </c>
      <c r="P143" s="147" t="str">
        <f>'график анн Базова'!Q138</f>
        <v/>
      </c>
    </row>
    <row r="144" spans="1:16" x14ac:dyDescent="0.35">
      <c r="A144" s="154">
        <f>'график анн Базова'!A139</f>
        <v>115</v>
      </c>
      <c r="B144" s="155">
        <f ca="1">'график анн Базова'!C139</f>
        <v>47986</v>
      </c>
      <c r="C144" s="156">
        <f ca="1">'график анн Базова'!D139</f>
        <v>30</v>
      </c>
      <c r="D144" s="47">
        <f ca="1">'график анн Базова'!E139</f>
        <v>1595438.1503989457</v>
      </c>
      <c r="E144" s="47">
        <f ca="1">'график анн Базова'!H139</f>
        <v>23232.527337695603</v>
      </c>
      <c r="F144" s="47">
        <f ca="1">'график анн Базова'!F139</f>
        <v>6302.3496684896709</v>
      </c>
      <c r="G144" s="47">
        <f ca="1">'график анн Базова'!G139</f>
        <v>16930.177669205932</v>
      </c>
      <c r="H144" s="157">
        <f>'график анн Базова'!O139</f>
        <v>0</v>
      </c>
      <c r="I144" s="157" t="str">
        <f>'график анн Базова'!M139</f>
        <v/>
      </c>
      <c r="J144" s="201" t="str">
        <f>'график анн Базова'!N139</f>
        <v/>
      </c>
      <c r="K144" s="157" t="str">
        <f>'график анн Базова'!I139</f>
        <v/>
      </c>
      <c r="L144" s="157" t="str">
        <f>'график анн Базова'!J139</f>
        <v/>
      </c>
      <c r="M144" s="157">
        <f>'график анн Базова'!K139</f>
        <v>0</v>
      </c>
      <c r="N144" s="157" t="str">
        <f>'график анн Базова'!L139</f>
        <v/>
      </c>
      <c r="O144" s="51" t="str">
        <f>'график анн Базова'!P139</f>
        <v/>
      </c>
      <c r="P144" s="147" t="str">
        <f>'график анн Базова'!Q139</f>
        <v/>
      </c>
    </row>
    <row r="145" spans="1:16" x14ac:dyDescent="0.35">
      <c r="A145" s="154">
        <f>'график анн Базова'!A140</f>
        <v>116</v>
      </c>
      <c r="B145" s="155">
        <f ca="1">'график анн Базова'!C140</f>
        <v>48017</v>
      </c>
      <c r="C145" s="156">
        <f ca="1">'график анн Базова'!D140</f>
        <v>31</v>
      </c>
      <c r="D145" s="47">
        <f ca="1">'график анн Базова'!E140</f>
        <v>1589631.3045143471</v>
      </c>
      <c r="E145" s="47">
        <f ca="1">'график анн Базова'!H140</f>
        <v>23232.527337695603</v>
      </c>
      <c r="F145" s="47">
        <f ca="1">'график анн Базова'!F140</f>
        <v>5806.8458845985151</v>
      </c>
      <c r="G145" s="47">
        <f ca="1">'график анн Базова'!G140</f>
        <v>17425.681453097088</v>
      </c>
      <c r="H145" s="157">
        <f>'график анн Базова'!O140</f>
        <v>0</v>
      </c>
      <c r="I145" s="157" t="str">
        <f>'график анн Базова'!M140</f>
        <v/>
      </c>
      <c r="J145" s="201" t="str">
        <f>'график анн Базова'!N140</f>
        <v/>
      </c>
      <c r="K145" s="157" t="str">
        <f>'график анн Базова'!I140</f>
        <v/>
      </c>
      <c r="L145" s="157" t="str">
        <f>'график анн Базова'!J140</f>
        <v/>
      </c>
      <c r="M145" s="157">
        <f>'график анн Базова'!K140</f>
        <v>0</v>
      </c>
      <c r="N145" s="157" t="str">
        <f>'график анн Базова'!L140</f>
        <v/>
      </c>
      <c r="O145" s="51" t="str">
        <f>'график анн Базова'!P140</f>
        <v/>
      </c>
      <c r="P145" s="147" t="str">
        <f>'график анн Базова'!Q140</f>
        <v/>
      </c>
    </row>
    <row r="146" spans="1:16" x14ac:dyDescent="0.35">
      <c r="A146" s="154">
        <f>'график анн Базова'!A141</f>
        <v>117</v>
      </c>
      <c r="B146" s="155">
        <f ca="1">'график анн Базова'!C141</f>
        <v>48047</v>
      </c>
      <c r="C146" s="156">
        <f ca="1">'график анн Базова'!D141</f>
        <v>30</v>
      </c>
      <c r="D146" s="47">
        <f ca="1">'график анн Базова'!E141</f>
        <v>1583200.9623076553</v>
      </c>
      <c r="E146" s="47">
        <f ca="1">'график анн Базова'!H141</f>
        <v>23232.527337695603</v>
      </c>
      <c r="F146" s="47">
        <f ca="1">'график анн Базова'!F141</f>
        <v>6430.3422066919047</v>
      </c>
      <c r="G146" s="47">
        <f ca="1">'график анн Базова'!G141</f>
        <v>16802.185131003698</v>
      </c>
      <c r="H146" s="157">
        <f>'график анн Базова'!O141</f>
        <v>0</v>
      </c>
      <c r="I146" s="157" t="str">
        <f>'график анн Базова'!M141</f>
        <v/>
      </c>
      <c r="J146" s="201" t="str">
        <f>'график анн Базова'!N141</f>
        <v/>
      </c>
      <c r="K146" s="157" t="str">
        <f>'график анн Базова'!I141</f>
        <v/>
      </c>
      <c r="L146" s="157" t="str">
        <f>'график анн Базова'!J141</f>
        <v/>
      </c>
      <c r="M146" s="157">
        <f>'график анн Базова'!K141</f>
        <v>0</v>
      </c>
      <c r="N146" s="157" t="str">
        <f>'график анн Базова'!L141</f>
        <v/>
      </c>
      <c r="O146" s="51" t="str">
        <f>'график анн Базова'!P141</f>
        <v/>
      </c>
      <c r="P146" s="147" t="str">
        <f>'график анн Базова'!Q141</f>
        <v/>
      </c>
    </row>
    <row r="147" spans="1:16" x14ac:dyDescent="0.35">
      <c r="A147" s="154">
        <f>'график анн Базова'!A142</f>
        <v>118</v>
      </c>
      <c r="B147" s="155">
        <f ca="1">'график анн Базова'!C142</f>
        <v>48078</v>
      </c>
      <c r="C147" s="156">
        <f ca="1">'график анн Базова'!D142</f>
        <v>31</v>
      </c>
      <c r="D147" s="47">
        <f ca="1">'график анн Базова'!E142</f>
        <v>1577260.4595078656</v>
      </c>
      <c r="E147" s="47">
        <f ca="1">'график анн Базова'!H142</f>
        <v>23232.527337695603</v>
      </c>
      <c r="F147" s="47">
        <f ca="1">'график анн Базова'!F142</f>
        <v>5940.5027997895813</v>
      </c>
      <c r="G147" s="47">
        <f ca="1">'график анн Базова'!G142</f>
        <v>17292.024537906022</v>
      </c>
      <c r="H147" s="157">
        <f>'график анн Базова'!O142</f>
        <v>0</v>
      </c>
      <c r="I147" s="157" t="str">
        <f>'график анн Базова'!M142</f>
        <v/>
      </c>
      <c r="J147" s="201" t="str">
        <f>'график анн Базова'!N142</f>
        <v/>
      </c>
      <c r="K147" s="157" t="str">
        <f>'график анн Базова'!I142</f>
        <v/>
      </c>
      <c r="L147" s="157" t="str">
        <f>'график анн Базова'!J142</f>
        <v/>
      </c>
      <c r="M147" s="157">
        <f>'график анн Базова'!K142</f>
        <v>0</v>
      </c>
      <c r="N147" s="157" t="str">
        <f>'график анн Базова'!L142</f>
        <v/>
      </c>
      <c r="O147" s="51" t="str">
        <f>'график анн Базова'!P142</f>
        <v/>
      </c>
      <c r="P147" s="147" t="str">
        <f>'график анн Базова'!Q142</f>
        <v/>
      </c>
    </row>
    <row r="148" spans="1:16" x14ac:dyDescent="0.35">
      <c r="A148" s="154">
        <f>'график анн Базова'!A143</f>
        <v>119</v>
      </c>
      <c r="B148" s="155">
        <f ca="1">'график анн Базова'!C143</f>
        <v>48109</v>
      </c>
      <c r="C148" s="156">
        <f ca="1">'график анн Базова'!D143</f>
        <v>31</v>
      </c>
      <c r="D148" s="47">
        <f ca="1">'график анн Базова'!E143</f>
        <v>1571255.0733972222</v>
      </c>
      <c r="E148" s="47">
        <f ca="1">'график анн Базова'!H143</f>
        <v>23232.527337695603</v>
      </c>
      <c r="F148" s="47">
        <f ca="1">'график анн Базова'!F143</f>
        <v>6005.3861106433942</v>
      </c>
      <c r="G148" s="47">
        <f ca="1">'график анн Базова'!G143</f>
        <v>17227.141227052209</v>
      </c>
      <c r="H148" s="157">
        <f>'график анн Базова'!O143</f>
        <v>0</v>
      </c>
      <c r="I148" s="157" t="str">
        <f>'график анн Базова'!M143</f>
        <v/>
      </c>
      <c r="J148" s="201" t="str">
        <f>'график анн Базова'!N143</f>
        <v/>
      </c>
      <c r="K148" s="157" t="str">
        <f>'график анн Базова'!I143</f>
        <v/>
      </c>
      <c r="L148" s="157" t="str">
        <f>'график анн Базова'!J143</f>
        <v/>
      </c>
      <c r="M148" s="157">
        <f>'график анн Базова'!K143</f>
        <v>0</v>
      </c>
      <c r="N148" s="157" t="str">
        <f>'график анн Базова'!L143</f>
        <v/>
      </c>
      <c r="O148" s="51" t="str">
        <f>'график анн Базова'!P143</f>
        <v/>
      </c>
      <c r="P148" s="147" t="str">
        <f>'график анн Базова'!Q143</f>
        <v/>
      </c>
    </row>
    <row r="149" spans="1:16" x14ac:dyDescent="0.35">
      <c r="A149" s="154">
        <f>'график анн Базова'!A144</f>
        <v>120</v>
      </c>
      <c r="B149" s="155">
        <f ca="1">'график анн Базова'!C144</f>
        <v>48139</v>
      </c>
      <c r="C149" s="156">
        <f ca="1">'график анн Базова'!D144</f>
        <v>30</v>
      </c>
      <c r="D149" s="47">
        <f ca="1">'график анн Базова'!E144</f>
        <v>1564630.4969449143</v>
      </c>
      <c r="E149" s="47">
        <f ca="1">'график анн Базова'!H144</f>
        <v>23232.527337695603</v>
      </c>
      <c r="F149" s="47">
        <f ca="1">'график анн Базова'!F144</f>
        <v>6624.5764523079779</v>
      </c>
      <c r="G149" s="47">
        <f ca="1">'график анн Базова'!G144</f>
        <v>16607.950885387625</v>
      </c>
      <c r="H149" s="157">
        <f>'график анн Базова'!O144</f>
        <v>0</v>
      </c>
      <c r="I149" s="157" t="str">
        <f>'график анн Базова'!M144</f>
        <v/>
      </c>
      <c r="J149" s="201" t="str">
        <f>'график анн Базова'!N144</f>
        <v/>
      </c>
      <c r="K149" s="157" t="str">
        <f>'график анн Базова'!I144</f>
        <v/>
      </c>
      <c r="L149" s="157" t="str">
        <f>'график анн Базова'!J144</f>
        <v/>
      </c>
      <c r="M149" s="157">
        <f>'график анн Базова'!K144</f>
        <v>0</v>
      </c>
      <c r="N149" s="157" t="str">
        <f>'график анн Базова'!L144</f>
        <v/>
      </c>
      <c r="O149" s="51" t="str">
        <f>'график анн Базова'!P144</f>
        <v/>
      </c>
      <c r="P149" s="147" t="str">
        <f>'график анн Базова'!Q144</f>
        <v/>
      </c>
    </row>
    <row r="150" spans="1:16" x14ac:dyDescent="0.35">
      <c r="A150" s="154">
        <f>'график анн Базова'!A145</f>
        <v>121</v>
      </c>
      <c r="B150" s="155">
        <f ca="1">'график анн Базова'!C145</f>
        <v>48170</v>
      </c>
      <c r="C150" s="156">
        <f ca="1">'график анн Базова'!D145</f>
        <v>31</v>
      </c>
      <c r="D150" s="47">
        <f ca="1">'график анн Базова'!E145</f>
        <v>1558487.1639609737</v>
      </c>
      <c r="E150" s="47">
        <f ca="1">'график анн Базова'!H145</f>
        <v>23232.527337695603</v>
      </c>
      <c r="F150" s="47">
        <f ca="1">'график анн Базова'!F145</f>
        <v>6143.3329839405487</v>
      </c>
      <c r="G150" s="47">
        <f ca="1">'график анн Базова'!G145</f>
        <v>17089.194353755054</v>
      </c>
      <c r="H150" s="157">
        <f>'график анн Базова'!O145</f>
        <v>0</v>
      </c>
      <c r="I150" s="157" t="str">
        <f>'график анн Базова'!M145</f>
        <v/>
      </c>
      <c r="J150" s="201">
        <f>'график анн Базова'!N145</f>
        <v>0</v>
      </c>
      <c r="K150" s="157" t="str">
        <f>'график анн Базова'!I145</f>
        <v/>
      </c>
      <c r="L150" s="157" t="str">
        <f>'график анн Базова'!J145</f>
        <v/>
      </c>
      <c r="M150" s="201">
        <f>'график анн Базова'!K145</f>
        <v>7500</v>
      </c>
      <c r="N150" s="157" t="str">
        <f>'график анн Базова'!L145</f>
        <v/>
      </c>
      <c r="O150" s="51" t="str">
        <f>'график анн Базова'!P145</f>
        <v/>
      </c>
      <c r="P150" s="147" t="str">
        <f>'график анн Базова'!Q145</f>
        <v/>
      </c>
    </row>
    <row r="151" spans="1:16" x14ac:dyDescent="0.35">
      <c r="A151" s="154">
        <f>'график анн Базова'!A146</f>
        <v>122</v>
      </c>
      <c r="B151" s="155">
        <f ca="1">'график анн Базова'!C146</f>
        <v>48200</v>
      </c>
      <c r="C151" s="156">
        <f ca="1">'график анн Базова'!D146</f>
        <v>30</v>
      </c>
      <c r="D151" s="47">
        <f ca="1">'график анн Базова'!E146</f>
        <v>1551727.6324549534</v>
      </c>
      <c r="E151" s="47">
        <f ca="1">'график анн Базова'!H146</f>
        <v>23232.527337695603</v>
      </c>
      <c r="F151" s="47">
        <f ca="1">'график анн Базова'!F146</f>
        <v>6759.5315060204375</v>
      </c>
      <c r="G151" s="47">
        <f ca="1">'график анн Базова'!G146</f>
        <v>16472.995831675165</v>
      </c>
      <c r="H151" s="157">
        <f>'график анн Базова'!O146</f>
        <v>0</v>
      </c>
      <c r="I151" s="157" t="str">
        <f>'график анн Базова'!M146</f>
        <v/>
      </c>
      <c r="J151" s="201" t="str">
        <f>'график анн Базова'!N146</f>
        <v/>
      </c>
      <c r="K151" s="157" t="str">
        <f>'график анн Базова'!I146</f>
        <v/>
      </c>
      <c r="L151" s="157" t="str">
        <f>'график анн Базова'!J146</f>
        <v/>
      </c>
      <c r="M151" s="157">
        <f>'график анн Базова'!K146</f>
        <v>0</v>
      </c>
      <c r="N151" s="157" t="str">
        <f>'график анн Базова'!L146</f>
        <v/>
      </c>
      <c r="O151" s="51" t="str">
        <f>'график анн Базова'!P146</f>
        <v/>
      </c>
      <c r="P151" s="147" t="str">
        <f>'график анн Базова'!Q146</f>
        <v/>
      </c>
    </row>
    <row r="152" spans="1:16" x14ac:dyDescent="0.35">
      <c r="A152" s="154">
        <f>'график анн Базова'!A147</f>
        <v>123</v>
      </c>
      <c r="B152" s="155">
        <f ca="1">'график анн Базова'!C147</f>
        <v>48231</v>
      </c>
      <c r="C152" s="156">
        <f ca="1">'график анн Базова'!D147</f>
        <v>31</v>
      </c>
      <c r="D152" s="47">
        <f ca="1">'график анн Базова'!E147</f>
        <v>1545443.3719105315</v>
      </c>
      <c r="E152" s="47">
        <f ca="1">'график анн Базова'!H147</f>
        <v>23232.527337695603</v>
      </c>
      <c r="F152" s="47">
        <f ca="1">'график анн Базова'!F147</f>
        <v>6284.2605444218607</v>
      </c>
      <c r="G152" s="47">
        <f ca="1">'график анн Базова'!G147</f>
        <v>16948.266793273742</v>
      </c>
      <c r="H152" s="157">
        <f>'график анн Базова'!O147</f>
        <v>0</v>
      </c>
      <c r="I152" s="157" t="str">
        <f>'график анн Базова'!M147</f>
        <v/>
      </c>
      <c r="J152" s="201" t="str">
        <f>'график анн Базова'!N147</f>
        <v/>
      </c>
      <c r="K152" s="157" t="str">
        <f>'график анн Базова'!I147</f>
        <v/>
      </c>
      <c r="L152" s="157" t="str">
        <f>'график анн Базова'!J147</f>
        <v/>
      </c>
      <c r="M152" s="157">
        <f>'график анн Базова'!K147</f>
        <v>0</v>
      </c>
      <c r="N152" s="157" t="str">
        <f>'график анн Базова'!L147</f>
        <v/>
      </c>
      <c r="O152" s="51" t="str">
        <f>'график анн Базова'!P147</f>
        <v/>
      </c>
      <c r="P152" s="147" t="str">
        <f>'график анн Базова'!Q147</f>
        <v/>
      </c>
    </row>
    <row r="153" spans="1:16" x14ac:dyDescent="0.35">
      <c r="A153" s="154">
        <f>'график анн Базова'!A148</f>
        <v>124</v>
      </c>
      <c r="B153" s="155">
        <f ca="1">'график анн Базова'!C148</f>
        <v>48262</v>
      </c>
      <c r="C153" s="156">
        <f ca="1">'график анн Базова'!D148</f>
        <v>31</v>
      </c>
      <c r="D153" s="47">
        <f ca="1">'график анн Базова'!E148</f>
        <v>1539044.3542626132</v>
      </c>
      <c r="E153" s="47">
        <f ca="1">'график анн Базова'!H148</f>
        <v>23232.527337695603</v>
      </c>
      <c r="F153" s="47">
        <f ca="1">'график анн Базова'!F148</f>
        <v>6399.0176479182119</v>
      </c>
      <c r="G153" s="47">
        <f ca="1">'график анн Базова'!G148</f>
        <v>16833.509689777391</v>
      </c>
      <c r="H153" s="157">
        <f>'график анн Базова'!O148</f>
        <v>0</v>
      </c>
      <c r="I153" s="157" t="str">
        <f>'график анн Базова'!M148</f>
        <v/>
      </c>
      <c r="J153" s="201" t="str">
        <f>'график анн Базова'!N148</f>
        <v/>
      </c>
      <c r="K153" s="157" t="str">
        <f>'график анн Базова'!I148</f>
        <v/>
      </c>
      <c r="L153" s="157" t="str">
        <f>'график анн Базова'!J148</f>
        <v/>
      </c>
      <c r="M153" s="157">
        <f>'график анн Базова'!K148</f>
        <v>0</v>
      </c>
      <c r="N153" s="157" t="str">
        <f>'график анн Базова'!L148</f>
        <v/>
      </c>
      <c r="O153" s="51" t="str">
        <f>'график анн Базова'!P148</f>
        <v/>
      </c>
      <c r="P153" s="147" t="str">
        <f>'график анн Базова'!Q148</f>
        <v/>
      </c>
    </row>
    <row r="154" spans="1:16" x14ac:dyDescent="0.35">
      <c r="A154" s="154">
        <f>'график анн Базова'!A149</f>
        <v>125</v>
      </c>
      <c r="B154" s="155">
        <f ca="1">'график анн Базова'!C149</f>
        <v>48291</v>
      </c>
      <c r="C154" s="156">
        <f ca="1">'график анн Базова'!D149</f>
        <v>29</v>
      </c>
      <c r="D154" s="47">
        <f ca="1">'график анн Базова'!E149</f>
        <v>1531494.1001893629</v>
      </c>
      <c r="E154" s="47">
        <f ca="1">'график анн Базова'!H149</f>
        <v>23232.527337695603</v>
      </c>
      <c r="F154" s="47">
        <f ca="1">'график анн Базова'!F149</f>
        <v>7550.2540732502766</v>
      </c>
      <c r="G154" s="47">
        <f ca="1">'график анн Базова'!G149</f>
        <v>15682.273264445326</v>
      </c>
      <c r="H154" s="157">
        <f>'график анн Базова'!O149</f>
        <v>0</v>
      </c>
      <c r="I154" s="157" t="str">
        <f>'график анн Базова'!M149</f>
        <v/>
      </c>
      <c r="J154" s="201" t="str">
        <f>'график анн Базова'!N149</f>
        <v/>
      </c>
      <c r="K154" s="157" t="str">
        <f>'график анн Базова'!I149</f>
        <v/>
      </c>
      <c r="L154" s="157" t="str">
        <f>'график анн Базова'!J149</f>
        <v/>
      </c>
      <c r="M154" s="157">
        <f>'график анн Базова'!K149</f>
        <v>0</v>
      </c>
      <c r="N154" s="157" t="str">
        <f>'график анн Базова'!L149</f>
        <v/>
      </c>
      <c r="O154" s="51" t="str">
        <f>'график анн Базова'!P149</f>
        <v/>
      </c>
      <c r="P154" s="147" t="str">
        <f>'график анн Базова'!Q149</f>
        <v/>
      </c>
    </row>
    <row r="155" spans="1:16" x14ac:dyDescent="0.35">
      <c r="A155" s="154">
        <f>'график анн Базова'!A150</f>
        <v>126</v>
      </c>
      <c r="B155" s="155">
        <f ca="1">'график анн Базова'!C150</f>
        <v>48322</v>
      </c>
      <c r="C155" s="156">
        <f ca="1">'график анн Базова'!D150</f>
        <v>31</v>
      </c>
      <c r="D155" s="47">
        <f ca="1">'график анн Базова'!E150</f>
        <v>1524943.1421954238</v>
      </c>
      <c r="E155" s="47">
        <f ca="1">'график анн Базова'!H150</f>
        <v>23232.527337695603</v>
      </c>
      <c r="F155" s="47">
        <f ca="1">'график анн Базова'!F150</f>
        <v>6550.9579939390096</v>
      </c>
      <c r="G155" s="47">
        <f ca="1">'график анн Базова'!G150</f>
        <v>16681.569343756593</v>
      </c>
      <c r="H155" s="157">
        <f>'график анн Базова'!O150</f>
        <v>0</v>
      </c>
      <c r="I155" s="157" t="str">
        <f>'график анн Базова'!M150</f>
        <v/>
      </c>
      <c r="J155" s="201" t="str">
        <f>'график анн Базова'!N150</f>
        <v/>
      </c>
      <c r="K155" s="157" t="str">
        <f>'график анн Базова'!I150</f>
        <v/>
      </c>
      <c r="L155" s="157" t="str">
        <f>'график анн Базова'!J150</f>
        <v/>
      </c>
      <c r="M155" s="157">
        <f>'график анн Базова'!K150</f>
        <v>0</v>
      </c>
      <c r="N155" s="157" t="str">
        <f>'график анн Базова'!L150</f>
        <v/>
      </c>
      <c r="O155" s="51" t="str">
        <f>'график анн Базова'!P150</f>
        <v/>
      </c>
      <c r="P155" s="147" t="str">
        <f>'график анн Базова'!Q150</f>
        <v/>
      </c>
    </row>
    <row r="156" spans="1:16" x14ac:dyDescent="0.35">
      <c r="A156" s="154">
        <f>'график анн Базова'!A151</f>
        <v>127</v>
      </c>
      <c r="B156" s="155">
        <f ca="1">'график анн Базова'!C151</f>
        <v>48352</v>
      </c>
      <c r="C156" s="156">
        <f ca="1">'график анн Базова'!D151</f>
        <v>30</v>
      </c>
      <c r="D156" s="47">
        <f ca="1">'график анн Базова'!E151</f>
        <v>1517785.0155205424</v>
      </c>
      <c r="E156" s="47">
        <f ca="1">'график анн Базова'!H151</f>
        <v>23232.527337695603</v>
      </c>
      <c r="F156" s="47">
        <f ca="1">'график анн Базова'!F151</f>
        <v>7158.1266748815451</v>
      </c>
      <c r="G156" s="47">
        <f ca="1">'график анн Базова'!G151</f>
        <v>16074.400662814058</v>
      </c>
      <c r="H156" s="157">
        <f>'график анн Базова'!O151</f>
        <v>0</v>
      </c>
      <c r="I156" s="157" t="str">
        <f>'график анн Базова'!M151</f>
        <v/>
      </c>
      <c r="J156" s="201" t="str">
        <f>'график анн Базова'!N151</f>
        <v/>
      </c>
      <c r="K156" s="157" t="str">
        <f>'график анн Базова'!I151</f>
        <v/>
      </c>
      <c r="L156" s="157" t="str">
        <f>'график анн Базова'!J151</f>
        <v/>
      </c>
      <c r="M156" s="157">
        <f>'график анн Базова'!K151</f>
        <v>0</v>
      </c>
      <c r="N156" s="157" t="str">
        <f>'график анн Базова'!L151</f>
        <v/>
      </c>
      <c r="O156" s="51" t="str">
        <f>'график анн Базова'!P151</f>
        <v/>
      </c>
      <c r="P156" s="147" t="str">
        <f>'график анн Базова'!Q151</f>
        <v/>
      </c>
    </row>
    <row r="157" spans="1:16" x14ac:dyDescent="0.35">
      <c r="A157" s="154">
        <f>'график анн Базова'!A152</f>
        <v>128</v>
      </c>
      <c r="B157" s="155">
        <f ca="1">'график анн Базова'!C152</f>
        <v>48383</v>
      </c>
      <c r="C157" s="156">
        <f ca="1">'график анн Базова'!D152</f>
        <v>31</v>
      </c>
      <c r="D157" s="47">
        <f ca="1">'график анн Базова'!E152</f>
        <v>1511084.7333819566</v>
      </c>
      <c r="E157" s="47">
        <f ca="1">'график анн Базова'!H152</f>
        <v>23232.527337695603</v>
      </c>
      <c r="F157" s="47">
        <f ca="1">'график анн Базова'!F152</f>
        <v>6700.2821385857824</v>
      </c>
      <c r="G157" s="47">
        <f ca="1">'график анн Базова'!G152</f>
        <v>16532.245199109821</v>
      </c>
      <c r="H157" s="157">
        <f>'график анн Базова'!O152</f>
        <v>0</v>
      </c>
      <c r="I157" s="157" t="str">
        <f>'график анн Базова'!M152</f>
        <v/>
      </c>
      <c r="J157" s="201" t="str">
        <f>'график анн Базова'!N152</f>
        <v/>
      </c>
      <c r="K157" s="157" t="str">
        <f>'график анн Базова'!I152</f>
        <v/>
      </c>
      <c r="L157" s="157" t="str">
        <f>'график анн Базова'!J152</f>
        <v/>
      </c>
      <c r="M157" s="157">
        <f>'график анн Базова'!K152</f>
        <v>0</v>
      </c>
      <c r="N157" s="157" t="str">
        <f>'график анн Базова'!L152</f>
        <v/>
      </c>
      <c r="O157" s="51" t="str">
        <f>'график анн Базова'!P152</f>
        <v/>
      </c>
      <c r="P157" s="147" t="str">
        <f>'график анн Базова'!Q152</f>
        <v/>
      </c>
    </row>
    <row r="158" spans="1:16" x14ac:dyDescent="0.35">
      <c r="A158" s="154">
        <f>'график анн Базова'!A153</f>
        <v>129</v>
      </c>
      <c r="B158" s="155">
        <f ca="1">'график анн Базова'!C153</f>
        <v>48413</v>
      </c>
      <c r="C158" s="156">
        <f ca="1">'график анн Базова'!D153</f>
        <v>30</v>
      </c>
      <c r="D158" s="47">
        <f ca="1">'график анн Базова'!E153</f>
        <v>1503780.5254469593</v>
      </c>
      <c r="E158" s="47">
        <f ca="1">'график анн Базова'!H153</f>
        <v>23232.527337695603</v>
      </c>
      <c r="F158" s="47">
        <f ca="1">'график анн Базова'!F153</f>
        <v>7304.2079349972755</v>
      </c>
      <c r="G158" s="47">
        <f ca="1">'график анн Базова'!G153</f>
        <v>15928.319402698327</v>
      </c>
      <c r="H158" s="157">
        <f>'график анн Базова'!O153</f>
        <v>0</v>
      </c>
      <c r="I158" s="157" t="str">
        <f>'график анн Базова'!M153</f>
        <v/>
      </c>
      <c r="J158" s="201" t="str">
        <f>'график анн Базова'!N153</f>
        <v/>
      </c>
      <c r="K158" s="157" t="str">
        <f>'график анн Базова'!I153</f>
        <v/>
      </c>
      <c r="L158" s="157" t="str">
        <f>'график анн Базова'!J153</f>
        <v/>
      </c>
      <c r="M158" s="157">
        <f>'график анн Базова'!K153</f>
        <v>0</v>
      </c>
      <c r="N158" s="157" t="str">
        <f>'график анн Базова'!L153</f>
        <v/>
      </c>
      <c r="O158" s="51" t="str">
        <f>'график анн Базова'!P153</f>
        <v/>
      </c>
      <c r="P158" s="147" t="str">
        <f>'график анн Базова'!Q153</f>
        <v/>
      </c>
    </row>
    <row r="159" spans="1:16" x14ac:dyDescent="0.35">
      <c r="A159" s="154">
        <f>'график анн Базова'!A154</f>
        <v>130</v>
      </c>
      <c r="B159" s="155">
        <f ca="1">'график анн Базова'!C154</f>
        <v>48444</v>
      </c>
      <c r="C159" s="156">
        <f ca="1">'график анн Базова'!D154</f>
        <v>31</v>
      </c>
      <c r="D159" s="47">
        <f ca="1">'график анн Базова'!E154</f>
        <v>1496927.7015047469</v>
      </c>
      <c r="E159" s="47">
        <f ca="1">'график анн Базова'!H154</f>
        <v>23232.527337695603</v>
      </c>
      <c r="F159" s="47">
        <f ca="1">'график анн Базова'!F154</f>
        <v>6852.8239422124116</v>
      </c>
      <c r="G159" s="47">
        <f ca="1">'график анн Базова'!G154</f>
        <v>16379.703395483191</v>
      </c>
      <c r="H159" s="157">
        <f>'график анн Базова'!O154</f>
        <v>0</v>
      </c>
      <c r="I159" s="157" t="str">
        <f>'график анн Базова'!M154</f>
        <v/>
      </c>
      <c r="J159" s="201" t="str">
        <f>'график анн Базова'!N154</f>
        <v/>
      </c>
      <c r="K159" s="157" t="str">
        <f>'график анн Базова'!I154</f>
        <v/>
      </c>
      <c r="L159" s="157" t="str">
        <f>'график анн Базова'!J154</f>
        <v/>
      </c>
      <c r="M159" s="157">
        <f>'график анн Базова'!K154</f>
        <v>0</v>
      </c>
      <c r="N159" s="157" t="str">
        <f>'график анн Базова'!L154</f>
        <v/>
      </c>
      <c r="O159" s="51" t="str">
        <f>'график анн Базова'!P154</f>
        <v/>
      </c>
      <c r="P159" s="147" t="str">
        <f>'график анн Базова'!Q154</f>
        <v/>
      </c>
    </row>
    <row r="160" spans="1:16" x14ac:dyDescent="0.35">
      <c r="A160" s="154">
        <f>'график анн Базова'!A155</f>
        <v>131</v>
      </c>
      <c r="B160" s="155">
        <f ca="1">'график анн Базова'!C155</f>
        <v>48475</v>
      </c>
      <c r="C160" s="156">
        <f ca="1">'график анн Базова'!D155</f>
        <v>31</v>
      </c>
      <c r="D160" s="47">
        <f ca="1">'график анн Базова'!E155</f>
        <v>1490000.2342075398</v>
      </c>
      <c r="E160" s="47">
        <f ca="1">'график анн Базова'!H155</f>
        <v>23232.527337695603</v>
      </c>
      <c r="F160" s="47">
        <f ca="1">'график анн Базова'!F155</f>
        <v>6927.467297207013</v>
      </c>
      <c r="G160" s="47">
        <f ca="1">'график анн Базова'!G155</f>
        <v>16305.06004048859</v>
      </c>
      <c r="H160" s="157">
        <f>'график анн Базова'!O155</f>
        <v>0</v>
      </c>
      <c r="I160" s="157" t="str">
        <f>'график анн Базова'!M155</f>
        <v/>
      </c>
      <c r="J160" s="201" t="str">
        <f>'график анн Базова'!N155</f>
        <v/>
      </c>
      <c r="K160" s="157" t="str">
        <f>'график анн Базова'!I155</f>
        <v/>
      </c>
      <c r="L160" s="157" t="str">
        <f>'график анн Базова'!J155</f>
        <v/>
      </c>
      <c r="M160" s="157">
        <f>'график анн Базова'!K155</f>
        <v>0</v>
      </c>
      <c r="N160" s="157" t="str">
        <f>'график анн Базова'!L155</f>
        <v/>
      </c>
      <c r="O160" s="51" t="str">
        <f>'график анн Базова'!P155</f>
        <v/>
      </c>
      <c r="P160" s="147" t="str">
        <f>'график анн Базова'!Q155</f>
        <v/>
      </c>
    </row>
    <row r="161" spans="1:16" x14ac:dyDescent="0.35">
      <c r="A161" s="154">
        <f>'график анн Базова'!A156</f>
        <v>132</v>
      </c>
      <c r="B161" s="155">
        <f ca="1">'график анн Базова'!C156</f>
        <v>48505</v>
      </c>
      <c r="C161" s="156">
        <f ca="1">'график анн Базова'!D156</f>
        <v>30</v>
      </c>
      <c r="D161" s="47">
        <f ca="1">'график анн Базова'!E156</f>
        <v>1482473.7749123925</v>
      </c>
      <c r="E161" s="47">
        <f ca="1">'график анн Базова'!H156</f>
        <v>23232.527337695603</v>
      </c>
      <c r="F161" s="47">
        <f ca="1">'график анн Базова'!F156</f>
        <v>7526.459295147275</v>
      </c>
      <c r="G161" s="47">
        <f ca="1">'график анн Базова'!G156</f>
        <v>15706.068042548328</v>
      </c>
      <c r="H161" s="157">
        <f>'график анн Базова'!O156</f>
        <v>0</v>
      </c>
      <c r="I161" s="157" t="str">
        <f>'график анн Базова'!M156</f>
        <v/>
      </c>
      <c r="J161" s="201" t="str">
        <f>'график анн Базова'!N156</f>
        <v/>
      </c>
      <c r="K161" s="157" t="str">
        <f>'график анн Базова'!I156</f>
        <v/>
      </c>
      <c r="L161" s="157" t="str">
        <f>'график анн Базова'!J156</f>
        <v/>
      </c>
      <c r="M161" s="157">
        <f>'график анн Базова'!K156</f>
        <v>0</v>
      </c>
      <c r="N161" s="157" t="str">
        <f>'график анн Базова'!L156</f>
        <v/>
      </c>
      <c r="O161" s="51" t="str">
        <f>'график анн Базова'!P156</f>
        <v/>
      </c>
      <c r="P161" s="147" t="str">
        <f>'график анн Базова'!Q156</f>
        <v/>
      </c>
    </row>
    <row r="162" spans="1:16" x14ac:dyDescent="0.35">
      <c r="A162" s="154">
        <f>'график анн Базова'!A157</f>
        <v>133</v>
      </c>
      <c r="B162" s="155">
        <f ca="1">'график анн Базова'!C157</f>
        <v>48536</v>
      </c>
      <c r="C162" s="156">
        <f ca="1">'график анн Базова'!D157</f>
        <v>31</v>
      </c>
      <c r="D162" s="47">
        <f ca="1">'график анн Базова'!E157</f>
        <v>1475388.8703918164</v>
      </c>
      <c r="E162" s="47">
        <f ca="1">'график анн Базова'!H157</f>
        <v>23232.527337695603</v>
      </c>
      <c r="F162" s="47">
        <f ca="1">'график анн Базова'!F157</f>
        <v>7084.9045205760849</v>
      </c>
      <c r="G162" s="47">
        <f ca="1">'график анн Базова'!G157</f>
        <v>16147.622817119518</v>
      </c>
      <c r="H162" s="157">
        <f>'график анн Базова'!O157</f>
        <v>0</v>
      </c>
      <c r="I162" s="157" t="str">
        <f>'график анн Базова'!M157</f>
        <v/>
      </c>
      <c r="J162" s="201">
        <f>'график анн Базова'!N157</f>
        <v>0</v>
      </c>
      <c r="K162" s="157" t="str">
        <f>'график анн Базова'!I157</f>
        <v/>
      </c>
      <c r="L162" s="157" t="str">
        <f>'график анн Базова'!J157</f>
        <v/>
      </c>
      <c r="M162" s="201">
        <f>'график анн Базова'!K157</f>
        <v>7500</v>
      </c>
      <c r="N162" s="157" t="str">
        <f>'график анн Базова'!L157</f>
        <v/>
      </c>
      <c r="O162" s="51" t="str">
        <f>'график анн Базова'!P157</f>
        <v/>
      </c>
      <c r="P162" s="147" t="str">
        <f>'график анн Базова'!Q157</f>
        <v/>
      </c>
    </row>
    <row r="163" spans="1:16" x14ac:dyDescent="0.35">
      <c r="A163" s="154">
        <f>'график анн Базова'!A158</f>
        <v>134</v>
      </c>
      <c r="B163" s="155">
        <f ca="1">'график анн Базова'!C158</f>
        <v>48566</v>
      </c>
      <c r="C163" s="156">
        <f ca="1">'график анн Базова'!D158</f>
        <v>30</v>
      </c>
      <c r="D163" s="47">
        <f ca="1">'график анн Базова'!E158</f>
        <v>1467708.3929502182</v>
      </c>
      <c r="E163" s="47">
        <f ca="1">'график анн Базова'!H158</f>
        <v>23232.527337695603</v>
      </c>
      <c r="F163" s="47">
        <f ca="1">'график анн Базова'!F158</f>
        <v>7680.4774415982611</v>
      </c>
      <c r="G163" s="47">
        <f ca="1">'график анн Базова'!G158</f>
        <v>15552.049896097342</v>
      </c>
      <c r="H163" s="157">
        <f>'график анн Базова'!O158</f>
        <v>0</v>
      </c>
      <c r="I163" s="157" t="str">
        <f>'график анн Базова'!M158</f>
        <v/>
      </c>
      <c r="J163" s="201" t="str">
        <f>'график анн Базова'!N158</f>
        <v/>
      </c>
      <c r="K163" s="157" t="str">
        <f>'график анн Базова'!I158</f>
        <v/>
      </c>
      <c r="L163" s="157" t="str">
        <f>'график анн Базова'!J158</f>
        <v/>
      </c>
      <c r="M163" s="157">
        <f>'график анн Базова'!K158</f>
        <v>0</v>
      </c>
      <c r="N163" s="157" t="str">
        <f>'график анн Базова'!L158</f>
        <v/>
      </c>
      <c r="O163" s="51" t="str">
        <f>'график анн Базова'!P158</f>
        <v/>
      </c>
      <c r="P163" s="147" t="str">
        <f>'график анн Базова'!Q158</f>
        <v/>
      </c>
    </row>
    <row r="164" spans="1:16" x14ac:dyDescent="0.35">
      <c r="A164" s="154">
        <f>'график анн Базова'!A159</f>
        <v>135</v>
      </c>
      <c r="B164" s="155">
        <f ca="1">'график анн Базова'!C159</f>
        <v>48597</v>
      </c>
      <c r="C164" s="156">
        <f ca="1">'график анн Базова'!D159</f>
        <v>31</v>
      </c>
      <c r="D164" s="47">
        <f ca="1">'график анн Базова'!E159</f>
        <v>1460462.6587254608</v>
      </c>
      <c r="E164" s="47">
        <f ca="1">'график анн Базова'!H159</f>
        <v>23232.527337695603</v>
      </c>
      <c r="F164" s="47">
        <f ca="1">'график анн Базова'!F159</f>
        <v>7245.7342247575198</v>
      </c>
      <c r="G164" s="47">
        <f ca="1">'график анн Базова'!G159</f>
        <v>15986.793112938083</v>
      </c>
      <c r="H164" s="157">
        <f>'график анн Базова'!O159</f>
        <v>0</v>
      </c>
      <c r="I164" s="157" t="str">
        <f>'график анн Базова'!M159</f>
        <v/>
      </c>
      <c r="J164" s="201" t="str">
        <f>'график анн Базова'!N159</f>
        <v/>
      </c>
      <c r="K164" s="157" t="str">
        <f>'график анн Базова'!I159</f>
        <v/>
      </c>
      <c r="L164" s="157" t="str">
        <f>'график анн Базова'!J159</f>
        <v/>
      </c>
      <c r="M164" s="157">
        <f>'график анн Базова'!K159</f>
        <v>0</v>
      </c>
      <c r="N164" s="157" t="str">
        <f>'график анн Базова'!L159</f>
        <v/>
      </c>
      <c r="O164" s="51" t="str">
        <f>'график анн Базова'!P159</f>
        <v/>
      </c>
      <c r="P164" s="147" t="str">
        <f>'график анн Базова'!Q159</f>
        <v/>
      </c>
    </row>
    <row r="165" spans="1:16" x14ac:dyDescent="0.35">
      <c r="A165" s="154">
        <f>'график анн Базова'!A160</f>
        <v>136</v>
      </c>
      <c r="B165" s="155">
        <f ca="1">'график анн Базова'!C160</f>
        <v>48628</v>
      </c>
      <c r="C165" s="156">
        <f ca="1">'график анн Базова'!D160</f>
        <v>31</v>
      </c>
      <c r="D165" s="47">
        <f ca="1">'график анн Базова'!E160</f>
        <v>1453181.5846350938</v>
      </c>
      <c r="E165" s="47">
        <f ca="1">'график анн Базова'!H160</f>
        <v>23232.527337695603</v>
      </c>
      <c r="F165" s="47">
        <f ca="1">'график анн Базова'!F160</f>
        <v>7281.0740903670521</v>
      </c>
      <c r="G165" s="47">
        <f ca="1">'график анн Базова'!G160</f>
        <v>15951.453247328551</v>
      </c>
      <c r="H165" s="157">
        <f>'график анн Базова'!O160</f>
        <v>0</v>
      </c>
      <c r="I165" s="157" t="str">
        <f>'график анн Базова'!M160</f>
        <v/>
      </c>
      <c r="J165" s="201" t="str">
        <f>'график анн Базова'!N160</f>
        <v/>
      </c>
      <c r="K165" s="157" t="str">
        <f>'график анн Базова'!I160</f>
        <v/>
      </c>
      <c r="L165" s="157" t="str">
        <f>'график анн Базова'!J160</f>
        <v/>
      </c>
      <c r="M165" s="157">
        <f>'график анн Базова'!K160</f>
        <v>0</v>
      </c>
      <c r="N165" s="157" t="str">
        <f>'график анн Базова'!L160</f>
        <v/>
      </c>
      <c r="O165" s="51" t="str">
        <f>'график анн Базова'!P160</f>
        <v/>
      </c>
      <c r="P165" s="147" t="str">
        <f>'график анн Базова'!Q160</f>
        <v/>
      </c>
    </row>
    <row r="166" spans="1:16" x14ac:dyDescent="0.35">
      <c r="A166" s="154">
        <f>'график анн Базова'!A161</f>
        <v>137</v>
      </c>
      <c r="B166" s="155">
        <f ca="1">'график анн Базова'!C161</f>
        <v>48656</v>
      </c>
      <c r="C166" s="156">
        <f ca="1">'график анн Базова'!D161</f>
        <v>28</v>
      </c>
      <c r="D166" s="47">
        <f ca="1">'график анн Базова'!E161</f>
        <v>1444284.9922287792</v>
      </c>
      <c r="E166" s="47">
        <f ca="1">'график анн Базова'!H161</f>
        <v>23232.527337695603</v>
      </c>
      <c r="F166" s="47">
        <f ca="1">'график анн Базова'!F161</f>
        <v>8896.5924063146558</v>
      </c>
      <c r="G166" s="47">
        <f ca="1">'график анн Базова'!G161</f>
        <v>14335.934931380947</v>
      </c>
      <c r="H166" s="157">
        <f>'график анн Базова'!O161</f>
        <v>0</v>
      </c>
      <c r="I166" s="157" t="str">
        <f>'график анн Базова'!M161</f>
        <v/>
      </c>
      <c r="J166" s="201" t="str">
        <f>'график анн Базова'!N161</f>
        <v/>
      </c>
      <c r="K166" s="157" t="str">
        <f>'график анн Базова'!I161</f>
        <v/>
      </c>
      <c r="L166" s="157" t="str">
        <f>'график анн Базова'!J161</f>
        <v/>
      </c>
      <c r="M166" s="157">
        <f>'график анн Базова'!K161</f>
        <v>0</v>
      </c>
      <c r="N166" s="157" t="str">
        <f>'график анн Базова'!L161</f>
        <v/>
      </c>
      <c r="O166" s="51" t="str">
        <f>'график анн Базова'!P161</f>
        <v/>
      </c>
      <c r="P166" s="147" t="str">
        <f>'график анн Базова'!Q161</f>
        <v/>
      </c>
    </row>
    <row r="167" spans="1:16" x14ac:dyDescent="0.35">
      <c r="A167" s="154">
        <f>'график анн Базова'!A162</f>
        <v>138</v>
      </c>
      <c r="B167" s="155">
        <f ca="1">'график анн Базова'!C162</f>
        <v>48687</v>
      </c>
      <c r="C167" s="156">
        <f ca="1">'график анн Базова'!D162</f>
        <v>31</v>
      </c>
      <c r="D167" s="47">
        <f ca="1">'график анн Базова'!E162</f>
        <v>1436827.2225623692</v>
      </c>
      <c r="E167" s="47">
        <f ca="1">'график анн Базова'!H162</f>
        <v>23232.527337695603</v>
      </c>
      <c r="F167" s="47">
        <f ca="1">'график анн Базова'!F162</f>
        <v>7457.769666409984</v>
      </c>
      <c r="G167" s="47">
        <f ca="1">'график анн Базова'!G162</f>
        <v>15774.757671285619</v>
      </c>
      <c r="H167" s="157">
        <f>'график анн Базова'!O162</f>
        <v>0</v>
      </c>
      <c r="I167" s="157" t="str">
        <f>'график анн Базова'!M162</f>
        <v/>
      </c>
      <c r="J167" s="201" t="str">
        <f>'график анн Базова'!N162</f>
        <v/>
      </c>
      <c r="K167" s="157" t="str">
        <f>'график анн Базова'!I162</f>
        <v/>
      </c>
      <c r="L167" s="157" t="str">
        <f>'график анн Базова'!J162</f>
        <v/>
      </c>
      <c r="M167" s="157">
        <f>'график анн Базова'!K162</f>
        <v>0</v>
      </c>
      <c r="N167" s="157" t="str">
        <f>'график анн Базова'!L162</f>
        <v/>
      </c>
      <c r="O167" s="51" t="str">
        <f>'график анн Базова'!P162</f>
        <v/>
      </c>
      <c r="P167" s="147" t="str">
        <f>'график анн Базова'!Q162</f>
        <v/>
      </c>
    </row>
    <row r="168" spans="1:16" x14ac:dyDescent="0.35">
      <c r="A168" s="154">
        <f>'график анн Базова'!A163</f>
        <v>139</v>
      </c>
      <c r="B168" s="155">
        <f ca="1">'график анн Базова'!C163</f>
        <v>48717</v>
      </c>
      <c r="C168" s="156">
        <f ca="1">'график анн Базова'!D163</f>
        <v>30</v>
      </c>
      <c r="D168" s="47">
        <f ca="1">'график анн Базова'!E163</f>
        <v>1428781.7621415108</v>
      </c>
      <c r="E168" s="47">
        <f ca="1">'график анн Базова'!H163</f>
        <v>23232.527337695603</v>
      </c>
      <c r="F168" s="47">
        <f ca="1">'график анн Базова'!F163</f>
        <v>8045.4604208582859</v>
      </c>
      <c r="G168" s="47">
        <f ca="1">'график анн Базова'!G163</f>
        <v>15187.066916837317</v>
      </c>
      <c r="H168" s="157">
        <f>'график анн Базова'!O163</f>
        <v>0</v>
      </c>
      <c r="I168" s="157" t="str">
        <f>'график анн Базова'!M163</f>
        <v/>
      </c>
      <c r="J168" s="201" t="str">
        <f>'график анн Базова'!N163</f>
        <v/>
      </c>
      <c r="K168" s="157" t="str">
        <f>'график анн Базова'!I163</f>
        <v/>
      </c>
      <c r="L168" s="157" t="str">
        <f>'график анн Базова'!J163</f>
        <v/>
      </c>
      <c r="M168" s="157">
        <f>'график анн Базова'!K163</f>
        <v>0</v>
      </c>
      <c r="N168" s="157" t="str">
        <f>'график анн Базова'!L163</f>
        <v/>
      </c>
      <c r="O168" s="51" t="str">
        <f>'график анн Базова'!P163</f>
        <v/>
      </c>
      <c r="P168" s="147" t="str">
        <f>'график анн Базова'!Q163</f>
        <v/>
      </c>
    </row>
    <row r="169" spans="1:16" x14ac:dyDescent="0.35">
      <c r="A169" s="154">
        <f>'график анн Базова'!A164</f>
        <v>140</v>
      </c>
      <c r="B169" s="155">
        <f ca="1">'график анн Базова'!C164</f>
        <v>48748</v>
      </c>
      <c r="C169" s="156">
        <f ca="1">'график анн Базова'!D164</f>
        <v>31</v>
      </c>
      <c r="D169" s="47">
        <f ca="1">'график анн Базова'!E164</f>
        <v>1421154.6632228654</v>
      </c>
      <c r="E169" s="47">
        <f ca="1">'график анн Базова'!H164</f>
        <v>23232.527337695603</v>
      </c>
      <c r="F169" s="47">
        <f ca="1">'график анн Базова'!F164</f>
        <v>7627.0989186453371</v>
      </c>
      <c r="G169" s="47">
        <f ca="1">'график анн Базова'!G164</f>
        <v>15605.428419050266</v>
      </c>
      <c r="H169" s="157">
        <f>'график анн Базова'!O164</f>
        <v>0</v>
      </c>
      <c r="I169" s="157" t="str">
        <f>'график анн Базова'!M164</f>
        <v/>
      </c>
      <c r="J169" s="201" t="str">
        <f>'график анн Базова'!N164</f>
        <v/>
      </c>
      <c r="K169" s="157" t="str">
        <f>'график анн Базова'!I164</f>
        <v/>
      </c>
      <c r="L169" s="157" t="str">
        <f>'график анн Базова'!J164</f>
        <v/>
      </c>
      <c r="M169" s="157">
        <f>'график анн Базова'!K164</f>
        <v>0</v>
      </c>
      <c r="N169" s="157" t="str">
        <f>'график анн Базова'!L164</f>
        <v/>
      </c>
      <c r="O169" s="51" t="str">
        <f>'график анн Базова'!P164</f>
        <v/>
      </c>
      <c r="P169" s="147" t="str">
        <f>'график анн Базова'!Q164</f>
        <v/>
      </c>
    </row>
    <row r="170" spans="1:16" x14ac:dyDescent="0.35">
      <c r="A170" s="154">
        <f>'график анн Базова'!A165</f>
        <v>141</v>
      </c>
      <c r="B170" s="155">
        <f ca="1">'график анн Базова'!C165</f>
        <v>48778</v>
      </c>
      <c r="C170" s="156">
        <f ca="1">'график анн Базова'!D165</f>
        <v>30</v>
      </c>
      <c r="D170" s="47">
        <f ca="1">'график анн Базова'!E165</f>
        <v>1412943.5459967146</v>
      </c>
      <c r="E170" s="47">
        <f ca="1">'график анн Базова'!H165</f>
        <v>23232.527337695603</v>
      </c>
      <c r="F170" s="47">
        <f ca="1">'график анн Базова'!F165</f>
        <v>8211.1172261509055</v>
      </c>
      <c r="G170" s="47">
        <f ca="1">'график анн Базова'!G165</f>
        <v>15021.410111544697</v>
      </c>
      <c r="H170" s="157">
        <f>'график анн Базова'!O165</f>
        <v>0</v>
      </c>
      <c r="I170" s="157" t="str">
        <f>'график анн Базова'!M165</f>
        <v/>
      </c>
      <c r="J170" s="201" t="str">
        <f>'график анн Базова'!N165</f>
        <v/>
      </c>
      <c r="K170" s="157" t="str">
        <f>'график анн Базова'!I165</f>
        <v/>
      </c>
      <c r="L170" s="157" t="str">
        <f>'график анн Базова'!J165</f>
        <v/>
      </c>
      <c r="M170" s="157">
        <f>'график анн Базова'!K165</f>
        <v>0</v>
      </c>
      <c r="N170" s="157" t="str">
        <f>'график анн Базова'!L165</f>
        <v/>
      </c>
      <c r="O170" s="51" t="str">
        <f>'график анн Базова'!P165</f>
        <v/>
      </c>
      <c r="P170" s="147" t="str">
        <f>'график анн Базова'!Q165</f>
        <v/>
      </c>
    </row>
    <row r="171" spans="1:16" x14ac:dyDescent="0.35">
      <c r="A171" s="154">
        <f>'график анн Базова'!A166</f>
        <v>142</v>
      </c>
      <c r="B171" s="155">
        <f ca="1">'график анн Базова'!C166</f>
        <v>48809</v>
      </c>
      <c r="C171" s="156">
        <f ca="1">'график анн Базова'!D166</f>
        <v>31</v>
      </c>
      <c r="D171" s="47">
        <f ca="1">'график анн Базова'!E166</f>
        <v>1405143.4590438697</v>
      </c>
      <c r="E171" s="47">
        <f ca="1">'график анн Базова'!H166</f>
        <v>23232.527337695603</v>
      </c>
      <c r="F171" s="47">
        <f ca="1">'график анн Базова'!F166</f>
        <v>7800.086952844913</v>
      </c>
      <c r="G171" s="47">
        <f ca="1">'график анн Базова'!G166</f>
        <v>15432.44038485069</v>
      </c>
      <c r="H171" s="157">
        <f>'график анн Базова'!O166</f>
        <v>0</v>
      </c>
      <c r="I171" s="157" t="str">
        <f>'график анн Базова'!M166</f>
        <v/>
      </c>
      <c r="J171" s="201" t="str">
        <f>'график анн Базова'!N166</f>
        <v/>
      </c>
      <c r="K171" s="157" t="str">
        <f>'график анн Базова'!I166</f>
        <v/>
      </c>
      <c r="L171" s="157" t="str">
        <f>'график анн Базова'!J166</f>
        <v/>
      </c>
      <c r="M171" s="157">
        <f>'график анн Базова'!K166</f>
        <v>0</v>
      </c>
      <c r="N171" s="157" t="str">
        <f>'график анн Базова'!L166</f>
        <v/>
      </c>
      <c r="O171" s="51" t="str">
        <f>'график анн Базова'!P166</f>
        <v/>
      </c>
      <c r="P171" s="147" t="str">
        <f>'график анн Базова'!Q166</f>
        <v/>
      </c>
    </row>
    <row r="172" spans="1:16" x14ac:dyDescent="0.35">
      <c r="A172" s="154">
        <f>'график анн Базова'!A167</f>
        <v>143</v>
      </c>
      <c r="B172" s="155">
        <f ca="1">'график анн Базова'!C167</f>
        <v>48840</v>
      </c>
      <c r="C172" s="156">
        <f ca="1">'график анн Базова'!D167</f>
        <v>31</v>
      </c>
      <c r="D172" s="47">
        <f ca="1">'график анн Базова'!E167</f>
        <v>1397258.1780454188</v>
      </c>
      <c r="E172" s="47">
        <f ca="1">'график анн Базова'!H167</f>
        <v>23232.527337695603</v>
      </c>
      <c r="F172" s="47">
        <f ca="1">'график анн Базова'!F167</f>
        <v>7885.2809984509695</v>
      </c>
      <c r="G172" s="47">
        <f ca="1">'график анн Базова'!G167</f>
        <v>15347.246339244633</v>
      </c>
      <c r="H172" s="157">
        <f>'график анн Базова'!O167</f>
        <v>0</v>
      </c>
      <c r="I172" s="157" t="str">
        <f>'график анн Базова'!M167</f>
        <v/>
      </c>
      <c r="J172" s="201" t="str">
        <f>'график анн Базова'!N167</f>
        <v/>
      </c>
      <c r="K172" s="157" t="str">
        <f>'график анн Базова'!I167</f>
        <v/>
      </c>
      <c r="L172" s="157" t="str">
        <f>'график анн Базова'!J167</f>
        <v/>
      </c>
      <c r="M172" s="157">
        <f>'график анн Базова'!K167</f>
        <v>0</v>
      </c>
      <c r="N172" s="157" t="str">
        <f>'график анн Базова'!L167</f>
        <v/>
      </c>
      <c r="O172" s="51" t="str">
        <f>'график анн Базова'!P167</f>
        <v/>
      </c>
      <c r="P172" s="147" t="str">
        <f>'график анн Базова'!Q167</f>
        <v/>
      </c>
    </row>
    <row r="173" spans="1:16" x14ac:dyDescent="0.35">
      <c r="A173" s="154">
        <f>'график анн Базова'!A168</f>
        <v>144</v>
      </c>
      <c r="B173" s="155">
        <f ca="1">'график анн Базова'!C168</f>
        <v>48870</v>
      </c>
      <c r="C173" s="156">
        <f ca="1">'график анн Базова'!D168</f>
        <v>30</v>
      </c>
      <c r="D173" s="47">
        <f ca="1">'график анн Базова'!E168</f>
        <v>1388794.4782444334</v>
      </c>
      <c r="E173" s="47">
        <f ca="1">'график анн Базова'!H168</f>
        <v>23232.527337695603</v>
      </c>
      <c r="F173" s="47">
        <f ca="1">'график анн Базова'!F168</f>
        <v>8463.699800985396</v>
      </c>
      <c r="G173" s="47">
        <f ca="1">'график анн Базова'!G168</f>
        <v>14768.827536710207</v>
      </c>
      <c r="H173" s="157">
        <f>'график анн Базова'!O168</f>
        <v>0</v>
      </c>
      <c r="I173" s="157" t="str">
        <f>'график анн Базова'!M168</f>
        <v/>
      </c>
      <c r="J173" s="201" t="str">
        <f>'график анн Базова'!N168</f>
        <v/>
      </c>
      <c r="K173" s="157" t="str">
        <f>'график анн Базова'!I168</f>
        <v/>
      </c>
      <c r="L173" s="157" t="str">
        <f>'график анн Базова'!J168</f>
        <v/>
      </c>
      <c r="M173" s="157">
        <f>'график анн Базова'!K168</f>
        <v>0</v>
      </c>
      <c r="N173" s="157" t="str">
        <f>'график анн Базова'!L168</f>
        <v/>
      </c>
      <c r="O173" s="51" t="str">
        <f>'график анн Базова'!P168</f>
        <v/>
      </c>
      <c r="P173" s="147" t="str">
        <f>'график анн Базова'!Q168</f>
        <v/>
      </c>
    </row>
    <row r="174" spans="1:16" x14ac:dyDescent="0.35">
      <c r="A174" s="154">
        <f>'график анн Базова'!A169</f>
        <v>145</v>
      </c>
      <c r="B174" s="155">
        <f ca="1">'график анн Базова'!C169</f>
        <v>48901</v>
      </c>
      <c r="C174" s="156">
        <f ca="1">'график анн Базова'!D169</f>
        <v>31</v>
      </c>
      <c r="D174" s="47">
        <f ca="1">'график анн Базова'!E169</f>
        <v>1380730.6305422699</v>
      </c>
      <c r="E174" s="47">
        <f ca="1">'график анн Базова'!H169</f>
        <v>23232.527337695603</v>
      </c>
      <c r="F174" s="47">
        <f ca="1">'график анн Базова'!F169</f>
        <v>8063.8477021633898</v>
      </c>
      <c r="G174" s="47">
        <f ca="1">'график анн Базова'!G169</f>
        <v>15168.679635532213</v>
      </c>
      <c r="H174" s="157">
        <f>'график анн Базова'!O169</f>
        <v>0</v>
      </c>
      <c r="I174" s="157" t="str">
        <f>'график анн Базова'!M169</f>
        <v/>
      </c>
      <c r="J174" s="201">
        <f>'график анн Базова'!N169</f>
        <v>0</v>
      </c>
      <c r="K174" s="157" t="str">
        <f>'график анн Базова'!I169</f>
        <v/>
      </c>
      <c r="L174" s="157" t="str">
        <f>'график анн Базова'!J169</f>
        <v/>
      </c>
      <c r="M174" s="201">
        <f>'график анн Базова'!K169</f>
        <v>7500</v>
      </c>
      <c r="N174" s="157" t="str">
        <f>'график анн Базова'!L169</f>
        <v/>
      </c>
      <c r="O174" s="51" t="str">
        <f>'график анн Базова'!P169</f>
        <v/>
      </c>
      <c r="P174" s="147" t="str">
        <f>'график анн Базова'!Q169</f>
        <v/>
      </c>
    </row>
    <row r="175" spans="1:16" x14ac:dyDescent="0.35">
      <c r="A175" s="154">
        <f>'график анн Базова'!A170</f>
        <v>146</v>
      </c>
      <c r="B175" s="155">
        <f ca="1">'график анн Базова'!C170</f>
        <v>48931</v>
      </c>
      <c r="C175" s="156">
        <f ca="1">'график анн Базова'!D170</f>
        <v>30</v>
      </c>
      <c r="D175" s="47">
        <f ca="1">'график анн Базова'!E170</f>
        <v>1372092.2368282238</v>
      </c>
      <c r="E175" s="47">
        <f ca="1">'график анн Базова'!H170</f>
        <v>23232.527337695603</v>
      </c>
      <c r="F175" s="47">
        <f ca="1">'график анн Базова'!F170</f>
        <v>8638.3937140460785</v>
      </c>
      <c r="G175" s="47">
        <f ca="1">'график анн Базова'!G170</f>
        <v>14594.133623649524</v>
      </c>
      <c r="H175" s="157">
        <f>'график анн Базова'!O170</f>
        <v>0</v>
      </c>
      <c r="I175" s="157" t="str">
        <f>'график анн Базова'!M170</f>
        <v/>
      </c>
      <c r="J175" s="201" t="str">
        <f>'график анн Базова'!N170</f>
        <v/>
      </c>
      <c r="K175" s="157" t="str">
        <f>'график анн Базова'!I170</f>
        <v/>
      </c>
      <c r="L175" s="157" t="str">
        <f>'график анн Базова'!J170</f>
        <v/>
      </c>
      <c r="M175" s="157">
        <f>'график анн Базова'!K170</f>
        <v>0</v>
      </c>
      <c r="N175" s="157" t="str">
        <f>'график анн Базова'!L170</f>
        <v/>
      </c>
      <c r="O175" s="51" t="str">
        <f>'график анн Базова'!P170</f>
        <v/>
      </c>
      <c r="P175" s="147" t="str">
        <f>'график анн Базова'!Q170</f>
        <v/>
      </c>
    </row>
    <row r="176" spans="1:16" x14ac:dyDescent="0.35">
      <c r="A176" s="154">
        <f>'график анн Базова'!A171</f>
        <v>147</v>
      </c>
      <c r="B176" s="155">
        <f ca="1">'график анн Базова'!C171</f>
        <v>48962</v>
      </c>
      <c r="C176" s="156">
        <f ca="1">'график анн Базова'!D171</f>
        <v>31</v>
      </c>
      <c r="D176" s="47">
        <f ca="1">'график анн Базова'!E171</f>
        <v>1363845.964042143</v>
      </c>
      <c r="E176" s="47">
        <f ca="1">'график анн Базова'!H171</f>
        <v>23232.527337695603</v>
      </c>
      <c r="F176" s="47">
        <f ca="1">'график анн Базова'!F171</f>
        <v>8246.2727860808172</v>
      </c>
      <c r="G176" s="47">
        <f ca="1">'график анн Базова'!G171</f>
        <v>14986.254551614786</v>
      </c>
      <c r="H176" s="157">
        <f>'график анн Базова'!O171</f>
        <v>0</v>
      </c>
      <c r="I176" s="157" t="str">
        <f>'график анн Базова'!M171</f>
        <v/>
      </c>
      <c r="J176" s="201" t="str">
        <f>'график анн Базова'!N171</f>
        <v/>
      </c>
      <c r="K176" s="157" t="str">
        <f>'график анн Базова'!I171</f>
        <v/>
      </c>
      <c r="L176" s="157" t="str">
        <f>'график анн Базова'!J171</f>
        <v/>
      </c>
      <c r="M176" s="157">
        <f>'график анн Базова'!K171</f>
        <v>0</v>
      </c>
      <c r="N176" s="157" t="str">
        <f>'график анн Базова'!L171</f>
        <v/>
      </c>
      <c r="O176" s="51" t="str">
        <f>'график анн Базова'!P171</f>
        <v/>
      </c>
      <c r="P176" s="147" t="str">
        <f>'график анн Базова'!Q171</f>
        <v/>
      </c>
    </row>
    <row r="177" spans="1:16" x14ac:dyDescent="0.35">
      <c r="A177" s="154">
        <f>'график анн Базова'!A172</f>
        <v>148</v>
      </c>
      <c r="B177" s="155">
        <f ca="1">'график анн Базова'!C172</f>
        <v>48993</v>
      </c>
      <c r="C177" s="156">
        <f ca="1">'график анн Базова'!D172</f>
        <v>31</v>
      </c>
      <c r="D177" s="47">
        <f ca="1">'график анн Базова'!E172</f>
        <v>1355509.6238832157</v>
      </c>
      <c r="E177" s="47">
        <f ca="1">'график анн Базова'!H172</f>
        <v>23232.527337695603</v>
      </c>
      <c r="F177" s="47">
        <f ca="1">'график анн Базова'!F172</f>
        <v>8336.3401589273653</v>
      </c>
      <c r="G177" s="47">
        <f ca="1">'график анн Базова'!G172</f>
        <v>14896.187178768238</v>
      </c>
      <c r="H177" s="157">
        <f>'график анн Базова'!O172</f>
        <v>0</v>
      </c>
      <c r="I177" s="157" t="str">
        <f>'график анн Базова'!M172</f>
        <v/>
      </c>
      <c r="J177" s="201" t="str">
        <f>'график анн Базова'!N172</f>
        <v/>
      </c>
      <c r="K177" s="157" t="str">
        <f>'график анн Базова'!I172</f>
        <v/>
      </c>
      <c r="L177" s="157" t="str">
        <f>'график анн Базова'!J172</f>
        <v/>
      </c>
      <c r="M177" s="157">
        <f>'график анн Базова'!K172</f>
        <v>0</v>
      </c>
      <c r="N177" s="157" t="str">
        <f>'график анн Базова'!L172</f>
        <v/>
      </c>
      <c r="O177" s="51" t="str">
        <f>'график анн Базова'!P172</f>
        <v/>
      </c>
      <c r="P177" s="147" t="str">
        <f>'график анн Базова'!Q172</f>
        <v/>
      </c>
    </row>
    <row r="178" spans="1:16" x14ac:dyDescent="0.35">
      <c r="A178" s="154">
        <f>'график анн Базова'!A173</f>
        <v>149</v>
      </c>
      <c r="B178" s="155">
        <f ca="1">'график анн Базова'!C173</f>
        <v>49021</v>
      </c>
      <c r="C178" s="156">
        <f ca="1">'график анн Базова'!D173</f>
        <v>28</v>
      </c>
      <c r="D178" s="47">
        <f ca="1">'график анн Базова'!E173</f>
        <v>1345649.4775145028</v>
      </c>
      <c r="E178" s="47">
        <f ca="1">'график анн Базова'!H173</f>
        <v>23232.527337695603</v>
      </c>
      <c r="F178" s="47">
        <f ca="1">'график анн Базова'!F173</f>
        <v>9860.146368712909</v>
      </c>
      <c r="G178" s="47">
        <f ca="1">'график анн Базова'!G173</f>
        <v>13372.380968982694</v>
      </c>
      <c r="H178" s="157">
        <f>'график анн Базова'!O173</f>
        <v>0</v>
      </c>
      <c r="I178" s="157" t="str">
        <f>'график анн Базова'!M173</f>
        <v/>
      </c>
      <c r="J178" s="201" t="str">
        <f>'график анн Базова'!N173</f>
        <v/>
      </c>
      <c r="K178" s="157" t="str">
        <f>'график анн Базова'!I173</f>
        <v/>
      </c>
      <c r="L178" s="157" t="str">
        <f>'график анн Базова'!J173</f>
        <v/>
      </c>
      <c r="M178" s="157">
        <f>'график анн Базова'!K173</f>
        <v>0</v>
      </c>
      <c r="N178" s="157" t="str">
        <f>'график анн Базова'!L173</f>
        <v/>
      </c>
      <c r="O178" s="51" t="str">
        <f>'график анн Базова'!P173</f>
        <v/>
      </c>
      <c r="P178" s="147" t="str">
        <f>'график анн Базова'!Q173</f>
        <v/>
      </c>
    </row>
    <row r="179" spans="1:16" x14ac:dyDescent="0.35">
      <c r="A179" s="154">
        <f>'график анн Базова'!A174</f>
        <v>150</v>
      </c>
      <c r="B179" s="155">
        <f ca="1">'график анн Базова'!C174</f>
        <v>49052</v>
      </c>
      <c r="C179" s="156">
        <f ca="1">'график анн Базова'!D174</f>
        <v>31</v>
      </c>
      <c r="D179" s="47">
        <f ca="1">'график анн Базова'!E174</f>
        <v>1337114.3918399834</v>
      </c>
      <c r="E179" s="47">
        <f ca="1">'график анн Базова'!H174</f>
        <v>23232.527337695603</v>
      </c>
      <c r="F179" s="47">
        <f ca="1">'график анн Базова'!F174</f>
        <v>8535.0856745193942</v>
      </c>
      <c r="G179" s="47">
        <f ca="1">'график анн Базова'!G174</f>
        <v>14697.441663176209</v>
      </c>
      <c r="H179" s="157">
        <f>'график анн Базова'!O174</f>
        <v>0</v>
      </c>
      <c r="I179" s="157" t="str">
        <f>'график анн Базова'!M174</f>
        <v/>
      </c>
      <c r="J179" s="201" t="str">
        <f>'график анн Базова'!N174</f>
        <v/>
      </c>
      <c r="K179" s="157" t="str">
        <f>'график анн Базова'!I174</f>
        <v/>
      </c>
      <c r="L179" s="157" t="str">
        <f>'график анн Базова'!J174</f>
        <v/>
      </c>
      <c r="M179" s="157">
        <f>'график анн Базова'!K174</f>
        <v>0</v>
      </c>
      <c r="N179" s="157" t="str">
        <f>'график анн Базова'!L174</f>
        <v/>
      </c>
      <c r="O179" s="51" t="str">
        <f>'график анн Базова'!P174</f>
        <v/>
      </c>
      <c r="P179" s="147" t="str">
        <f>'график анн Базова'!Q174</f>
        <v/>
      </c>
    </row>
    <row r="180" spans="1:16" x14ac:dyDescent="0.35">
      <c r="A180" s="154">
        <f>'график анн Базова'!A175</f>
        <v>151</v>
      </c>
      <c r="B180" s="155">
        <f ca="1">'график анн Базова'!C175</f>
        <v>49082</v>
      </c>
      <c r="C180" s="156">
        <f ca="1">'график анн Базова'!D175</f>
        <v>30</v>
      </c>
      <c r="D180" s="47">
        <f ca="1">'график анн Базова'!E175</f>
        <v>1328014.9804576815</v>
      </c>
      <c r="E180" s="47">
        <f ca="1">'график анн Базова'!H175</f>
        <v>23232.527337695603</v>
      </c>
      <c r="F180" s="47">
        <f ca="1">'график анн Базова'!F175</f>
        <v>9099.4113823020271</v>
      </c>
      <c r="G180" s="47">
        <f ca="1">'график анн Базова'!G175</f>
        <v>14133.115955393576</v>
      </c>
      <c r="H180" s="157">
        <f>'график анн Базова'!O175</f>
        <v>0</v>
      </c>
      <c r="I180" s="157" t="str">
        <f>'график анн Базова'!M175</f>
        <v/>
      </c>
      <c r="J180" s="201" t="str">
        <f>'график анн Базова'!N175</f>
        <v/>
      </c>
      <c r="K180" s="157" t="str">
        <f>'график анн Базова'!I175</f>
        <v/>
      </c>
      <c r="L180" s="157" t="str">
        <f>'график анн Базова'!J175</f>
        <v/>
      </c>
      <c r="M180" s="157">
        <f>'график анн Базова'!K175</f>
        <v>0</v>
      </c>
      <c r="N180" s="157" t="str">
        <f>'график анн Базова'!L175</f>
        <v/>
      </c>
      <c r="O180" s="51" t="str">
        <f>'график анн Базова'!P175</f>
        <v/>
      </c>
      <c r="P180" s="147" t="str">
        <f>'график анн Базова'!Q175</f>
        <v/>
      </c>
    </row>
    <row r="181" spans="1:16" x14ac:dyDescent="0.35">
      <c r="A181" s="154">
        <f>'график анн Базова'!A176</f>
        <v>152</v>
      </c>
      <c r="B181" s="155">
        <f ca="1">'график анн Базова'!C176</f>
        <v>49113</v>
      </c>
      <c r="C181" s="156">
        <f ca="1">'график анн Базова'!D176</f>
        <v>31</v>
      </c>
      <c r="D181" s="47">
        <f ca="1">'график анн Базова'!E176</f>
        <v>1319287.2874243492</v>
      </c>
      <c r="E181" s="47">
        <f ca="1">'график анн Базова'!H176</f>
        <v>23232.527337695603</v>
      </c>
      <c r="F181" s="47">
        <f ca="1">'график анн Базова'!F176</f>
        <v>8727.6930333323344</v>
      </c>
      <c r="G181" s="47">
        <f ca="1">'график анн Базова'!G176</f>
        <v>14504.834304363269</v>
      </c>
      <c r="H181" s="157">
        <f>'график анн Базова'!O176</f>
        <v>0</v>
      </c>
      <c r="I181" s="157" t="str">
        <f>'график анн Базова'!M176</f>
        <v/>
      </c>
      <c r="J181" s="201" t="str">
        <f>'график анн Базова'!N176</f>
        <v/>
      </c>
      <c r="K181" s="157" t="str">
        <f>'график анн Базова'!I176</f>
        <v/>
      </c>
      <c r="L181" s="157" t="str">
        <f>'график анн Базова'!J176</f>
        <v/>
      </c>
      <c r="M181" s="157">
        <f>'график анн Базова'!K176</f>
        <v>0</v>
      </c>
      <c r="N181" s="157" t="str">
        <f>'график анн Базова'!L176</f>
        <v/>
      </c>
      <c r="O181" s="51" t="str">
        <f>'график анн Базова'!P176</f>
        <v/>
      </c>
      <c r="P181" s="147" t="str">
        <f>'график анн Базова'!Q176</f>
        <v/>
      </c>
    </row>
    <row r="182" spans="1:16" x14ac:dyDescent="0.35">
      <c r="A182" s="154">
        <f>'график анн Базова'!A177</f>
        <v>153</v>
      </c>
      <c r="B182" s="155">
        <f ca="1">'график анн Базова'!C177</f>
        <v>49143</v>
      </c>
      <c r="C182" s="156">
        <f ca="1">'график анн Базова'!D177</f>
        <v>30</v>
      </c>
      <c r="D182" s="47">
        <f ca="1">'график анн Базова'!E177</f>
        <v>1309999.445990443</v>
      </c>
      <c r="E182" s="47">
        <f ca="1">'график анн Базова'!H177</f>
        <v>23232.527337695603</v>
      </c>
      <c r="F182" s="47">
        <f ca="1">'график анн Базова'!F177</f>
        <v>9287.8414339061801</v>
      </c>
      <c r="G182" s="47">
        <f ca="1">'график анн Базова'!G177</f>
        <v>13944.685903789423</v>
      </c>
      <c r="H182" s="157">
        <f>'график анн Базова'!O177</f>
        <v>0</v>
      </c>
      <c r="I182" s="157" t="str">
        <f>'график анн Базова'!M177</f>
        <v/>
      </c>
      <c r="J182" s="201" t="str">
        <f>'график анн Базова'!N177</f>
        <v/>
      </c>
      <c r="K182" s="157" t="str">
        <f>'график анн Базова'!I177</f>
        <v/>
      </c>
      <c r="L182" s="157" t="str">
        <f>'график анн Базова'!J177</f>
        <v/>
      </c>
      <c r="M182" s="157">
        <f>'график анн Базова'!K177</f>
        <v>0</v>
      </c>
      <c r="N182" s="157" t="str">
        <f>'график анн Базова'!L177</f>
        <v/>
      </c>
      <c r="O182" s="51" t="str">
        <f>'график анн Базова'!P177</f>
        <v/>
      </c>
      <c r="P182" s="147" t="str">
        <f>'график анн Базова'!Q177</f>
        <v/>
      </c>
    </row>
    <row r="183" spans="1:16" x14ac:dyDescent="0.35">
      <c r="A183" s="154">
        <f>'график анн Базова'!A178</f>
        <v>154</v>
      </c>
      <c r="B183" s="155">
        <f ca="1">'график анн Базова'!C178</f>
        <v>49174</v>
      </c>
      <c r="C183" s="156">
        <f ca="1">'график анн Базова'!D178</f>
        <v>31</v>
      </c>
      <c r="D183" s="47">
        <f ca="1">'график анн Базова'!E178</f>
        <v>1301074.9838346255</v>
      </c>
      <c r="E183" s="47">
        <f ca="1">'график анн Базова'!H178</f>
        <v>23232.527337695603</v>
      </c>
      <c r="F183" s="47">
        <f ca="1">'график анн Базова'!F178</f>
        <v>8924.4621558175222</v>
      </c>
      <c r="G183" s="47">
        <f ca="1">'график анн Базова'!G178</f>
        <v>14308.065181878081</v>
      </c>
      <c r="H183" s="157">
        <f>'график анн Базова'!O178</f>
        <v>0</v>
      </c>
      <c r="I183" s="157" t="str">
        <f>'график анн Базова'!M178</f>
        <v/>
      </c>
      <c r="J183" s="201" t="str">
        <f>'график анн Базова'!N178</f>
        <v/>
      </c>
      <c r="K183" s="157" t="str">
        <f>'график анн Базова'!I178</f>
        <v/>
      </c>
      <c r="L183" s="157" t="str">
        <f>'график анн Базова'!J178</f>
        <v/>
      </c>
      <c r="M183" s="157">
        <f>'график анн Базова'!K178</f>
        <v>0</v>
      </c>
      <c r="N183" s="157" t="str">
        <f>'график анн Базова'!L178</f>
        <v/>
      </c>
      <c r="O183" s="51" t="str">
        <f>'график анн Базова'!P178</f>
        <v/>
      </c>
      <c r="P183" s="147" t="str">
        <f>'график анн Базова'!Q178</f>
        <v/>
      </c>
    </row>
    <row r="184" spans="1:16" x14ac:dyDescent="0.35">
      <c r="A184" s="154">
        <f>'график анн Базова'!A179</f>
        <v>155</v>
      </c>
      <c r="B184" s="155">
        <f ca="1">'график анн Базова'!C179</f>
        <v>49205</v>
      </c>
      <c r="C184" s="156">
        <f ca="1">'график анн Базова'!D179</f>
        <v>31</v>
      </c>
      <c r="D184" s="47">
        <f ca="1">'график анн Базова'!E179</f>
        <v>1292053.0469916014</v>
      </c>
      <c r="E184" s="47">
        <f ca="1">'график анн Базова'!H179</f>
        <v>23232.527337695603</v>
      </c>
      <c r="F184" s="47">
        <f ca="1">'график анн Базова'!F179</f>
        <v>9021.9368430240465</v>
      </c>
      <c r="G184" s="47">
        <f ca="1">'график анн Базова'!G179</f>
        <v>14210.590494671556</v>
      </c>
      <c r="H184" s="157">
        <f>'график анн Базова'!O179</f>
        <v>0</v>
      </c>
      <c r="I184" s="157" t="str">
        <f>'график анн Базова'!M179</f>
        <v/>
      </c>
      <c r="J184" s="201" t="str">
        <f>'график анн Базова'!N179</f>
        <v/>
      </c>
      <c r="K184" s="157" t="str">
        <f>'график анн Базова'!I179</f>
        <v/>
      </c>
      <c r="L184" s="157" t="str">
        <f>'график анн Базова'!J179</f>
        <v/>
      </c>
      <c r="M184" s="157">
        <f>'график анн Базова'!K179</f>
        <v>0</v>
      </c>
      <c r="N184" s="157" t="str">
        <f>'график анн Базова'!L179</f>
        <v/>
      </c>
      <c r="O184" s="51" t="str">
        <f>'график анн Базова'!P179</f>
        <v/>
      </c>
      <c r="P184" s="147" t="str">
        <f>'график анн Базова'!Q179</f>
        <v/>
      </c>
    </row>
    <row r="185" spans="1:16" x14ac:dyDescent="0.35">
      <c r="A185" s="154">
        <f>'график анн Базова'!A180</f>
        <v>156</v>
      </c>
      <c r="B185" s="155">
        <f ca="1">'график анн Базова'!C180</f>
        <v>49235</v>
      </c>
      <c r="C185" s="156">
        <f ca="1">'график анн Базова'!D180</f>
        <v>30</v>
      </c>
      <c r="D185" s="47">
        <f ca="1">'график анн Базова'!E180</f>
        <v>1282477.343367039</v>
      </c>
      <c r="E185" s="47">
        <f ca="1">'график анн Базова'!H180</f>
        <v>23232.527337695603</v>
      </c>
      <c r="F185" s="47">
        <f ca="1">'график анн Базова'!F180</f>
        <v>9575.7036245624586</v>
      </c>
      <c r="G185" s="47">
        <f ca="1">'график анн Базова'!G180</f>
        <v>13656.823713133144</v>
      </c>
      <c r="H185" s="157">
        <f>'график анн Базова'!O180</f>
        <v>0</v>
      </c>
      <c r="I185" s="157" t="str">
        <f>'график анн Базова'!M180</f>
        <v/>
      </c>
      <c r="J185" s="201" t="str">
        <f>'график анн Базова'!N180</f>
        <v/>
      </c>
      <c r="K185" s="157" t="str">
        <f>'график анн Базова'!I180</f>
        <v/>
      </c>
      <c r="L185" s="157" t="str">
        <f>'график анн Базова'!J180</f>
        <v/>
      </c>
      <c r="M185" s="157">
        <f>'график анн Базова'!K180</f>
        <v>0</v>
      </c>
      <c r="N185" s="157" t="str">
        <f>'график анн Базова'!L180</f>
        <v/>
      </c>
      <c r="O185" s="51" t="str">
        <f>'график анн Базова'!P180</f>
        <v/>
      </c>
      <c r="P185" s="147" t="str">
        <f>'график анн Базова'!Q180</f>
        <v/>
      </c>
    </row>
    <row r="186" spans="1:16" x14ac:dyDescent="0.35">
      <c r="A186" s="154">
        <f>'график анн Базова'!A181</f>
        <v>157</v>
      </c>
      <c r="B186" s="155">
        <f ca="1">'график анн Базова'!C181</f>
        <v>49266</v>
      </c>
      <c r="C186" s="156">
        <f ca="1">'график анн Базова'!D181</f>
        <v>31</v>
      </c>
      <c r="D186" s="47">
        <f ca="1">'график анн Базова'!E181</f>
        <v>1273252.2795281571</v>
      </c>
      <c r="E186" s="47">
        <f ca="1">'график анн Базова'!H181</f>
        <v>23232.527337695603</v>
      </c>
      <c r="F186" s="47">
        <f ca="1">'график анн Базова'!F181</f>
        <v>9225.0638388818043</v>
      </c>
      <c r="G186" s="47">
        <f ca="1">'график анн Базова'!G181</f>
        <v>14007.463498813799</v>
      </c>
      <c r="H186" s="157">
        <f>'график анн Базова'!O181</f>
        <v>0</v>
      </c>
      <c r="I186" s="157" t="str">
        <f>'график анн Базова'!M181</f>
        <v/>
      </c>
      <c r="J186" s="201">
        <f>'график анн Базова'!N181</f>
        <v>0</v>
      </c>
      <c r="K186" s="157" t="str">
        <f>'график анн Базова'!I181</f>
        <v/>
      </c>
      <c r="L186" s="157" t="str">
        <f>'график анн Базова'!J181</f>
        <v/>
      </c>
      <c r="M186" s="201">
        <f>'график анн Базова'!K181</f>
        <v>7500</v>
      </c>
      <c r="N186" s="157" t="str">
        <f>'график анн Базова'!L181</f>
        <v/>
      </c>
      <c r="O186" s="51" t="str">
        <f>'график анн Базова'!P181</f>
        <v/>
      </c>
      <c r="P186" s="147" t="str">
        <f>'график анн Базова'!Q181</f>
        <v/>
      </c>
    </row>
    <row r="187" spans="1:16" x14ac:dyDescent="0.35">
      <c r="A187" s="154">
        <f>'график анн Базова'!A182</f>
        <v>158</v>
      </c>
      <c r="B187" s="155">
        <f ca="1">'график анн Базова'!C182</f>
        <v>49296</v>
      </c>
      <c r="C187" s="156">
        <f ca="1">'график анн Базова'!D182</f>
        <v>30</v>
      </c>
      <c r="D187" s="47">
        <f ca="1">'график анн Базова'!E182</f>
        <v>1263477.8543669537</v>
      </c>
      <c r="E187" s="47">
        <f ca="1">'график анн Базова'!H182</f>
        <v>23232.527337695603</v>
      </c>
      <c r="F187" s="47">
        <f ca="1">'график анн Базова'!F182</f>
        <v>9774.4251612034641</v>
      </c>
      <c r="G187" s="47">
        <f ca="1">'график анн Базова'!G182</f>
        <v>13458.102176492139</v>
      </c>
      <c r="H187" s="157">
        <f>'график анн Базова'!O182</f>
        <v>0</v>
      </c>
      <c r="I187" s="157" t="str">
        <f>'график анн Базова'!M182</f>
        <v/>
      </c>
      <c r="J187" s="201" t="str">
        <f>'график анн Базова'!N182</f>
        <v/>
      </c>
      <c r="K187" s="157" t="str">
        <f>'график анн Базова'!I182</f>
        <v/>
      </c>
      <c r="L187" s="157" t="str">
        <f>'график анн Базова'!J182</f>
        <v/>
      </c>
      <c r="M187" s="157">
        <f>'график анн Базова'!K182</f>
        <v>0</v>
      </c>
      <c r="N187" s="157" t="str">
        <f>'график анн Базова'!L182</f>
        <v/>
      </c>
      <c r="O187" s="51" t="str">
        <f>'график анн Базова'!P182</f>
        <v/>
      </c>
      <c r="P187" s="147" t="str">
        <f>'график анн Базова'!Q182</f>
        <v/>
      </c>
    </row>
    <row r="188" spans="1:16" x14ac:dyDescent="0.35">
      <c r="A188" s="154">
        <f>'график анн Базова'!A183</f>
        <v>159</v>
      </c>
      <c r="B188" s="155">
        <f ca="1">'график анн Базова'!C183</f>
        <v>49327</v>
      </c>
      <c r="C188" s="156">
        <f ca="1">'график анн Базова'!D183</f>
        <v>31</v>
      </c>
      <c r="D188" s="47">
        <f ca="1">'график анн Базова'!E183</f>
        <v>1254045.2744654755</v>
      </c>
      <c r="E188" s="47">
        <f ca="1">'график анн Базова'!H183</f>
        <v>23232.527337695603</v>
      </c>
      <c r="F188" s="47">
        <f ca="1">'график анн Базова'!F183</f>
        <v>9432.5799014783479</v>
      </c>
      <c r="G188" s="47">
        <f ca="1">'график анн Базова'!G183</f>
        <v>13799.947436217255</v>
      </c>
      <c r="H188" s="157">
        <f>'график анн Базова'!O183</f>
        <v>0</v>
      </c>
      <c r="I188" s="157" t="str">
        <f>'график анн Базова'!M183</f>
        <v/>
      </c>
      <c r="J188" s="201" t="str">
        <f>'график анн Базова'!N183</f>
        <v/>
      </c>
      <c r="K188" s="157" t="str">
        <f>'график анн Базова'!I183</f>
        <v/>
      </c>
      <c r="L188" s="157" t="str">
        <f>'график анн Базова'!J183</f>
        <v/>
      </c>
      <c r="M188" s="157">
        <f>'график анн Базова'!K183</f>
        <v>0</v>
      </c>
      <c r="N188" s="157" t="str">
        <f>'график анн Базова'!L183</f>
        <v/>
      </c>
      <c r="O188" s="51" t="str">
        <f>'график анн Базова'!P183</f>
        <v/>
      </c>
      <c r="P188" s="147" t="str">
        <f>'график анн Базова'!Q183</f>
        <v/>
      </c>
    </row>
    <row r="189" spans="1:16" x14ac:dyDescent="0.35">
      <c r="A189" s="154">
        <f>'график анн Базова'!A184</f>
        <v>160</v>
      </c>
      <c r="B189" s="155">
        <f ca="1">'график анн Базова'!C184</f>
        <v>49358</v>
      </c>
      <c r="C189" s="156">
        <f ca="1">'график анн Базова'!D184</f>
        <v>31</v>
      </c>
      <c r="D189" s="47">
        <f ca="1">'график анн Базова'!E184</f>
        <v>1244509.6701173251</v>
      </c>
      <c r="E189" s="47">
        <f ca="1">'график анн Базова'!H184</f>
        <v>23232.527337695603</v>
      </c>
      <c r="F189" s="47">
        <f ca="1">'график анн Базова'!F184</f>
        <v>9535.6043481502238</v>
      </c>
      <c r="G189" s="47">
        <f ca="1">'график анн Базова'!G184</f>
        <v>13696.922989545379</v>
      </c>
      <c r="H189" s="157">
        <f>'график анн Базова'!O184</f>
        <v>0</v>
      </c>
      <c r="I189" s="157" t="str">
        <f>'график анн Базова'!M184</f>
        <v/>
      </c>
      <c r="J189" s="201" t="str">
        <f>'график анн Базова'!N184</f>
        <v/>
      </c>
      <c r="K189" s="157" t="str">
        <f>'график анн Базова'!I184</f>
        <v/>
      </c>
      <c r="L189" s="157" t="str">
        <f>'график анн Базова'!J184</f>
        <v/>
      </c>
      <c r="M189" s="157">
        <f>'график анн Базова'!K184</f>
        <v>0</v>
      </c>
      <c r="N189" s="157" t="str">
        <f>'график анн Базова'!L184</f>
        <v/>
      </c>
      <c r="O189" s="51" t="str">
        <f>'график анн Базова'!P184</f>
        <v/>
      </c>
      <c r="P189" s="147" t="str">
        <f>'график анн Базова'!Q184</f>
        <v/>
      </c>
    </row>
    <row r="190" spans="1:16" x14ac:dyDescent="0.35">
      <c r="A190" s="154">
        <f>'график анн Базова'!A185</f>
        <v>161</v>
      </c>
      <c r="B190" s="155">
        <f ca="1">'график анн Базова'!C185</f>
        <v>49386</v>
      </c>
      <c r="C190" s="156">
        <f ca="1">'график анн Базова'!D185</f>
        <v>28</v>
      </c>
      <c r="D190" s="47">
        <f ca="1">'график анн Базова'!E185</f>
        <v>1233554.486396502</v>
      </c>
      <c r="E190" s="47">
        <f ca="1">'график анн Базова'!H185</f>
        <v>23232.527337695603</v>
      </c>
      <c r="F190" s="47">
        <f ca="1">'график анн Базова'!F185</f>
        <v>10955.183720823101</v>
      </c>
      <c r="G190" s="47">
        <f ca="1">'график анн Базова'!G185</f>
        <v>12277.343616872502</v>
      </c>
      <c r="H190" s="157">
        <f>'график анн Базова'!O185</f>
        <v>0</v>
      </c>
      <c r="I190" s="157" t="str">
        <f>'график анн Базова'!M185</f>
        <v/>
      </c>
      <c r="J190" s="201" t="str">
        <f>'график анн Базова'!N185</f>
        <v/>
      </c>
      <c r="K190" s="157" t="str">
        <f>'график анн Базова'!I185</f>
        <v/>
      </c>
      <c r="L190" s="157" t="str">
        <f>'график анн Базова'!J185</f>
        <v/>
      </c>
      <c r="M190" s="157">
        <f>'график анн Базова'!K185</f>
        <v>0</v>
      </c>
      <c r="N190" s="157" t="str">
        <f>'график анн Базова'!L185</f>
        <v/>
      </c>
      <c r="O190" s="51" t="str">
        <f>'график анн Базова'!P185</f>
        <v/>
      </c>
      <c r="P190" s="147" t="str">
        <f>'график анн Базова'!Q185</f>
        <v/>
      </c>
    </row>
    <row r="191" spans="1:16" x14ac:dyDescent="0.35">
      <c r="A191" s="154">
        <f>'график анн Базова'!A186</f>
        <v>162</v>
      </c>
      <c r="B191" s="155">
        <f ca="1">'график анн Базова'!C186</f>
        <v>49417</v>
      </c>
      <c r="C191" s="156">
        <f ca="1">'график анн Базова'!D186</f>
        <v>31</v>
      </c>
      <c r="D191" s="47">
        <f ca="1">'график анн Базова'!E186</f>
        <v>1223795.0777313223</v>
      </c>
      <c r="E191" s="47">
        <f ca="1">'график анн Базова'!H186</f>
        <v>23232.527337695603</v>
      </c>
      <c r="F191" s="47">
        <f ca="1">'график анн Базова'!F186</f>
        <v>9759.4086651797279</v>
      </c>
      <c r="G191" s="47">
        <f ca="1">'график анн Базова'!G186</f>
        <v>13473.118672515875</v>
      </c>
      <c r="H191" s="157">
        <f>'график анн Базова'!O186</f>
        <v>0</v>
      </c>
      <c r="I191" s="157" t="str">
        <f>'график анн Базова'!M186</f>
        <v/>
      </c>
      <c r="J191" s="201" t="str">
        <f>'график анн Базова'!N186</f>
        <v/>
      </c>
      <c r="K191" s="157" t="str">
        <f>'график анн Базова'!I186</f>
        <v/>
      </c>
      <c r="L191" s="157" t="str">
        <f>'график анн Базова'!J186</f>
        <v/>
      </c>
      <c r="M191" s="157">
        <f>'график анн Базова'!K186</f>
        <v>0</v>
      </c>
      <c r="N191" s="157" t="str">
        <f>'график анн Базова'!L186</f>
        <v/>
      </c>
      <c r="O191" s="51" t="str">
        <f>'график анн Базова'!P186</f>
        <v/>
      </c>
      <c r="P191" s="147" t="str">
        <f>'график анн Базова'!Q186</f>
        <v/>
      </c>
    </row>
    <row r="192" spans="1:16" x14ac:dyDescent="0.35">
      <c r="A192" s="154">
        <f>'график анн Базова'!A187</f>
        <v>163</v>
      </c>
      <c r="B192" s="155">
        <f ca="1">'график анн Базова'!C187</f>
        <v>49447</v>
      </c>
      <c r="C192" s="156">
        <f ca="1">'график анн Базова'!D187</f>
        <v>30</v>
      </c>
      <c r="D192" s="47">
        <f ca="1">'график анн Базова'!E187</f>
        <v>1213497.8967220853</v>
      </c>
      <c r="E192" s="47">
        <f ca="1">'график анн Базова'!H187</f>
        <v>23232.527337695603</v>
      </c>
      <c r="F192" s="47">
        <f ca="1">'график анн Базова'!F187</f>
        <v>10297.181009236861</v>
      </c>
      <c r="G192" s="47">
        <f ca="1">'график анн Базова'!G187</f>
        <v>12935.346328458741</v>
      </c>
      <c r="H192" s="157">
        <f>'график анн Базова'!O187</f>
        <v>0</v>
      </c>
      <c r="I192" s="157" t="str">
        <f>'график анн Базова'!M187</f>
        <v/>
      </c>
      <c r="J192" s="201" t="str">
        <f>'график анн Базова'!N187</f>
        <v/>
      </c>
      <c r="K192" s="157" t="str">
        <f>'график анн Базова'!I187</f>
        <v/>
      </c>
      <c r="L192" s="157" t="str">
        <f>'график анн Базова'!J187</f>
        <v/>
      </c>
      <c r="M192" s="157">
        <f>'график анн Базова'!K187</f>
        <v>0</v>
      </c>
      <c r="N192" s="157" t="str">
        <f>'график анн Базова'!L187</f>
        <v/>
      </c>
      <c r="O192" s="51" t="str">
        <f>'график анн Базова'!P187</f>
        <v/>
      </c>
      <c r="P192" s="147" t="str">
        <f>'график анн Базова'!Q187</f>
        <v/>
      </c>
    </row>
    <row r="193" spans="1:16" x14ac:dyDescent="0.35">
      <c r="A193" s="154">
        <f>'график анн Базова'!A188</f>
        <v>164</v>
      </c>
      <c r="B193" s="155">
        <f ca="1">'график анн Базова'!C188</f>
        <v>49478</v>
      </c>
      <c r="C193" s="156">
        <f ca="1">'график анн Базова'!D188</f>
        <v>31</v>
      </c>
      <c r="D193" s="47">
        <f ca="1">'график анн Базова'!E188</f>
        <v>1203519.4261380124</v>
      </c>
      <c r="E193" s="47">
        <f ca="1">'график анн Базова'!H188</f>
        <v>23232.527337695603</v>
      </c>
      <c r="F193" s="47">
        <f ca="1">'график анн Базова'!F188</f>
        <v>9978.4705840729603</v>
      </c>
      <c r="G193" s="47">
        <f ca="1">'график анн Базова'!G188</f>
        <v>13254.056753622643</v>
      </c>
      <c r="H193" s="157">
        <f>'график анн Базова'!O188</f>
        <v>0</v>
      </c>
      <c r="I193" s="157" t="str">
        <f>'график анн Базова'!M188</f>
        <v/>
      </c>
      <c r="J193" s="201" t="str">
        <f>'график анн Базова'!N188</f>
        <v/>
      </c>
      <c r="K193" s="157" t="str">
        <f>'график анн Базова'!I188</f>
        <v/>
      </c>
      <c r="L193" s="157" t="str">
        <f>'график анн Базова'!J188</f>
        <v/>
      </c>
      <c r="M193" s="157">
        <f>'график анн Базова'!K188</f>
        <v>0</v>
      </c>
      <c r="N193" s="157" t="str">
        <f>'график анн Базова'!L188</f>
        <v/>
      </c>
      <c r="O193" s="51" t="str">
        <f>'график анн Базова'!P188</f>
        <v/>
      </c>
      <c r="P193" s="147" t="str">
        <f>'график анн Базова'!Q188</f>
        <v/>
      </c>
    </row>
    <row r="194" spans="1:16" x14ac:dyDescent="0.35">
      <c r="A194" s="154">
        <f>'график анн Базова'!A189</f>
        <v>165</v>
      </c>
      <c r="B194" s="155">
        <f ca="1">'график анн Базова'!C189</f>
        <v>49508</v>
      </c>
      <c r="C194" s="156">
        <f ca="1">'график анн Базова'!D189</f>
        <v>30</v>
      </c>
      <c r="D194" s="47">
        <f ca="1">'график анн Базова'!E189</f>
        <v>1193007.9342689209</v>
      </c>
      <c r="E194" s="47">
        <f ca="1">'график анн Базова'!H189</f>
        <v>23232.527337695603</v>
      </c>
      <c r="F194" s="47">
        <f ca="1">'график анн Базова'!F189</f>
        <v>10511.491869091626</v>
      </c>
      <c r="G194" s="47">
        <f ca="1">'график анн Базова'!G189</f>
        <v>12721.035468603977</v>
      </c>
      <c r="H194" s="157">
        <f>'график анн Базова'!O189</f>
        <v>0</v>
      </c>
      <c r="I194" s="157" t="str">
        <f>'график анн Базова'!M189</f>
        <v/>
      </c>
      <c r="J194" s="201" t="str">
        <f>'график анн Базова'!N189</f>
        <v/>
      </c>
      <c r="K194" s="157" t="str">
        <f>'график анн Базова'!I189</f>
        <v/>
      </c>
      <c r="L194" s="157" t="str">
        <f>'график анн Базова'!J189</f>
        <v/>
      </c>
      <c r="M194" s="157">
        <f>'график анн Базова'!K189</f>
        <v>0</v>
      </c>
      <c r="N194" s="157" t="str">
        <f>'график анн Базова'!L189</f>
        <v/>
      </c>
      <c r="O194" s="51" t="str">
        <f>'график анн Базова'!P189</f>
        <v/>
      </c>
      <c r="P194" s="147" t="str">
        <f>'график анн Базова'!Q189</f>
        <v/>
      </c>
    </row>
    <row r="195" spans="1:16" x14ac:dyDescent="0.35">
      <c r="A195" s="154">
        <f>'график анн Базова'!A190</f>
        <v>166</v>
      </c>
      <c r="B195" s="155">
        <f ca="1">'график анн Базова'!C190</f>
        <v>49539</v>
      </c>
      <c r="C195" s="156">
        <f ca="1">'график анн Базова'!D190</f>
        <v>31</v>
      </c>
      <c r="D195" s="47">
        <f ca="1">'график анн Базова'!E190</f>
        <v>1182805.6683853527</v>
      </c>
      <c r="E195" s="47">
        <f ca="1">'график анн Базова'!H190</f>
        <v>23232.527337695603</v>
      </c>
      <c r="F195" s="47">
        <f ca="1">'график анн Базова'!F190</f>
        <v>10202.265883568261</v>
      </c>
      <c r="G195" s="47">
        <f ca="1">'график анн Базова'!G190</f>
        <v>13030.261454127341</v>
      </c>
      <c r="H195" s="157">
        <f>'график анн Базова'!O190</f>
        <v>0</v>
      </c>
      <c r="I195" s="157" t="str">
        <f>'график анн Базова'!M190</f>
        <v/>
      </c>
      <c r="J195" s="201" t="str">
        <f>'график анн Базова'!N190</f>
        <v/>
      </c>
      <c r="K195" s="157" t="str">
        <f>'график анн Базова'!I190</f>
        <v/>
      </c>
      <c r="L195" s="157" t="str">
        <f>'график анн Базова'!J190</f>
        <v/>
      </c>
      <c r="M195" s="157">
        <f>'график анн Базова'!K190</f>
        <v>0</v>
      </c>
      <c r="N195" s="157" t="str">
        <f>'график анн Базова'!L190</f>
        <v/>
      </c>
      <c r="O195" s="51" t="str">
        <f>'график анн Базова'!P190</f>
        <v/>
      </c>
      <c r="P195" s="147" t="str">
        <f>'график анн Базова'!Q190</f>
        <v/>
      </c>
    </row>
    <row r="196" spans="1:16" x14ac:dyDescent="0.35">
      <c r="A196" s="154">
        <f>'график анн Базова'!A191</f>
        <v>167</v>
      </c>
      <c r="B196" s="155">
        <f ca="1">'график анн Базова'!C191</f>
        <v>49570</v>
      </c>
      <c r="C196" s="156">
        <f ca="1">'график анн Базова'!D191</f>
        <v>31</v>
      </c>
      <c r="D196" s="47">
        <f ca="1">'график анн Базова'!E191</f>
        <v>1172491.9713972053</v>
      </c>
      <c r="E196" s="47">
        <f ca="1">'график анн Базова'!H191</f>
        <v>23232.527337695603</v>
      </c>
      <c r="F196" s="47">
        <f ca="1">'график анн Базова'!F191</f>
        <v>10313.696988147529</v>
      </c>
      <c r="G196" s="47">
        <f ca="1">'график анн Базова'!G191</f>
        <v>12918.830349548074</v>
      </c>
      <c r="H196" s="157">
        <f>'график анн Базова'!O191</f>
        <v>0</v>
      </c>
      <c r="I196" s="157" t="str">
        <f>'график анн Базова'!M191</f>
        <v/>
      </c>
      <c r="J196" s="201" t="str">
        <f>'график анн Базова'!N191</f>
        <v/>
      </c>
      <c r="K196" s="157" t="str">
        <f>'график анн Базова'!I191</f>
        <v/>
      </c>
      <c r="L196" s="157" t="str">
        <f>'график анн Базова'!J191</f>
        <v/>
      </c>
      <c r="M196" s="157">
        <f>'график анн Базова'!K191</f>
        <v>0</v>
      </c>
      <c r="N196" s="157" t="str">
        <f>'график анн Базова'!L191</f>
        <v/>
      </c>
      <c r="O196" s="51" t="str">
        <f>'график анн Базова'!P191</f>
        <v/>
      </c>
      <c r="P196" s="147" t="str">
        <f>'график анн Базова'!Q191</f>
        <v/>
      </c>
    </row>
    <row r="197" spans="1:16" x14ac:dyDescent="0.35">
      <c r="A197" s="154">
        <f>'график анн Базова'!A192</f>
        <v>168</v>
      </c>
      <c r="B197" s="155">
        <f ca="1">'график анн Базова'!C192</f>
        <v>49600</v>
      </c>
      <c r="C197" s="156">
        <f ca="1">'график анн Базова'!D192</f>
        <v>30</v>
      </c>
      <c r="D197" s="47">
        <f ca="1">'график анн Базова'!E192</f>
        <v>1161652.5235818396</v>
      </c>
      <c r="E197" s="47">
        <f ca="1">'график анн Базова'!H192</f>
        <v>23232.527337695603</v>
      </c>
      <c r="F197" s="47">
        <f ca="1">'график анн Базова'!F192</f>
        <v>10839.447815365693</v>
      </c>
      <c r="G197" s="47">
        <f ca="1">'график анн Базова'!G192</f>
        <v>12393.07952232991</v>
      </c>
      <c r="H197" s="157">
        <f>'график анн Базова'!O192</f>
        <v>0</v>
      </c>
      <c r="I197" s="157" t="str">
        <f>'график анн Базова'!M192</f>
        <v/>
      </c>
      <c r="J197" s="201" t="str">
        <f>'график анн Базова'!N192</f>
        <v/>
      </c>
      <c r="K197" s="157" t="str">
        <f>'график анн Базова'!I192</f>
        <v/>
      </c>
      <c r="L197" s="157" t="str">
        <f>'график анн Базова'!J192</f>
        <v/>
      </c>
      <c r="M197" s="157">
        <f>'график анн Базова'!K192</f>
        <v>0</v>
      </c>
      <c r="N197" s="157" t="str">
        <f>'график анн Базова'!L192</f>
        <v/>
      </c>
      <c r="O197" s="51" t="str">
        <f>'график анн Базова'!P192</f>
        <v/>
      </c>
      <c r="P197" s="147" t="str">
        <f>'график анн Базова'!Q192</f>
        <v/>
      </c>
    </row>
    <row r="198" spans="1:16" x14ac:dyDescent="0.35">
      <c r="A198" s="154">
        <f>'график анн Базова'!A193</f>
        <v>169</v>
      </c>
      <c r="B198" s="155">
        <f ca="1">'график анн Базова'!C193</f>
        <v>49631</v>
      </c>
      <c r="C198" s="156">
        <f ca="1">'график анн Базова'!D193</f>
        <v>31</v>
      </c>
      <c r="D198" s="47">
        <f ca="1">'график анн Базова'!E193</f>
        <v>1151107.7878893807</v>
      </c>
      <c r="E198" s="47">
        <f ca="1">'график анн Базова'!H193</f>
        <v>23232.527337695603</v>
      </c>
      <c r="F198" s="47">
        <f ca="1">'график анн Базова'!F193</f>
        <v>10544.735692458997</v>
      </c>
      <c r="G198" s="47">
        <f ca="1">'график анн Базова'!G193</f>
        <v>12687.791645236606</v>
      </c>
      <c r="H198" s="157">
        <f>'график анн Базова'!O193</f>
        <v>0</v>
      </c>
      <c r="I198" s="157" t="str">
        <f>'график анн Базова'!M193</f>
        <v/>
      </c>
      <c r="J198" s="201">
        <f>'график анн Базова'!N193</f>
        <v>0</v>
      </c>
      <c r="K198" s="157" t="str">
        <f>'график анн Базова'!I193</f>
        <v/>
      </c>
      <c r="L198" s="157" t="str">
        <f>'график анн Базова'!J193</f>
        <v/>
      </c>
      <c r="M198" s="201">
        <f>'график анн Базова'!K193</f>
        <v>7500</v>
      </c>
      <c r="N198" s="157" t="str">
        <f>'график анн Базова'!L193</f>
        <v/>
      </c>
      <c r="O198" s="51" t="str">
        <f>'график анн Базова'!P193</f>
        <v/>
      </c>
      <c r="P198" s="147" t="str">
        <f>'график анн Базова'!Q193</f>
        <v/>
      </c>
    </row>
    <row r="199" spans="1:16" x14ac:dyDescent="0.35">
      <c r="A199" s="154">
        <f>'график анн Базова'!A194</f>
        <v>170</v>
      </c>
      <c r="B199" s="155">
        <f ca="1">'график анн Базова'!C194</f>
        <v>49661</v>
      </c>
      <c r="C199" s="156">
        <f ca="1">'график анн Базова'!D194</f>
        <v>30</v>
      </c>
      <c r="D199" s="47">
        <f ca="1">'график анн Базова'!E194</f>
        <v>1140042.3121836775</v>
      </c>
      <c r="E199" s="47">
        <f ca="1">'график анн Базова'!H194</f>
        <v>23232.527337695603</v>
      </c>
      <c r="F199" s="47">
        <f ca="1">'график анн Базова'!F194</f>
        <v>11065.475705703191</v>
      </c>
      <c r="G199" s="47">
        <f ca="1">'график анн Базова'!G194</f>
        <v>12167.051631992412</v>
      </c>
      <c r="H199" s="157">
        <f>'график анн Базова'!O194</f>
        <v>0</v>
      </c>
      <c r="I199" s="157" t="str">
        <f>'график анн Базова'!M194</f>
        <v/>
      </c>
      <c r="J199" s="201" t="str">
        <f>'график анн Базова'!N194</f>
        <v/>
      </c>
      <c r="K199" s="157" t="str">
        <f>'график анн Базова'!I194</f>
        <v/>
      </c>
      <c r="L199" s="157" t="str">
        <f>'график анн Базова'!J194</f>
        <v/>
      </c>
      <c r="M199" s="157">
        <f>'график анн Базова'!K194</f>
        <v>0</v>
      </c>
      <c r="N199" s="157" t="str">
        <f>'график анн Базова'!L194</f>
        <v/>
      </c>
      <c r="O199" s="51" t="str">
        <f>'график анн Базова'!P194</f>
        <v/>
      </c>
      <c r="P199" s="147" t="str">
        <f>'график анн Базова'!Q194</f>
        <v/>
      </c>
    </row>
    <row r="200" spans="1:16" x14ac:dyDescent="0.35">
      <c r="A200" s="154">
        <f>'график анн Базова'!A195</f>
        <v>171</v>
      </c>
      <c r="B200" s="155">
        <f ca="1">'график анн Базова'!C195</f>
        <v>49692</v>
      </c>
      <c r="C200" s="156">
        <f ca="1">'график анн Базова'!D195</f>
        <v>31</v>
      </c>
      <c r="D200" s="47">
        <f ca="1">'график анн Базова'!E195</f>
        <v>1129261.5456179036</v>
      </c>
      <c r="E200" s="47">
        <f ca="1">'график анн Базова'!H195</f>
        <v>23232.527337695603</v>
      </c>
      <c r="F200" s="47">
        <f ca="1">'график анн Базова'!F195</f>
        <v>10780.766565773829</v>
      </c>
      <c r="G200" s="47">
        <f ca="1">'график анн Базова'!G195</f>
        <v>12451.760771921774</v>
      </c>
      <c r="H200" s="157">
        <f>'график анн Базова'!O195</f>
        <v>0</v>
      </c>
      <c r="I200" s="157" t="str">
        <f>'график анн Базова'!M195</f>
        <v/>
      </c>
      <c r="J200" s="201" t="str">
        <f>'график анн Базова'!N195</f>
        <v/>
      </c>
      <c r="K200" s="157" t="str">
        <f>'график анн Базова'!I195</f>
        <v/>
      </c>
      <c r="L200" s="157" t="str">
        <f>'график анн Базова'!J195</f>
        <v/>
      </c>
      <c r="M200" s="157">
        <f>'график анн Базова'!K195</f>
        <v>0</v>
      </c>
      <c r="N200" s="157" t="str">
        <f>'график анн Базова'!L195</f>
        <v/>
      </c>
      <c r="O200" s="51" t="str">
        <f>'график анн Базова'!P195</f>
        <v/>
      </c>
      <c r="P200" s="147" t="str">
        <f>'график анн Базова'!Q195</f>
        <v/>
      </c>
    </row>
    <row r="201" spans="1:16" x14ac:dyDescent="0.35">
      <c r="A201" s="154">
        <f>'график анн Базова'!A196</f>
        <v>172</v>
      </c>
      <c r="B201" s="155">
        <f ca="1">'график анн Базова'!C196</f>
        <v>49723</v>
      </c>
      <c r="C201" s="156">
        <f ca="1">'график анн Базова'!D196</f>
        <v>31</v>
      </c>
      <c r="D201" s="47">
        <f ca="1">'график анн Базова'!E196</f>
        <v>1118329.3299680778</v>
      </c>
      <c r="E201" s="47">
        <f ca="1">'график анн Базова'!H196</f>
        <v>23232.527337695603</v>
      </c>
      <c r="F201" s="47">
        <f ca="1">'график анн Базова'!F196</f>
        <v>10932.215649825837</v>
      </c>
      <c r="G201" s="47">
        <f ca="1">'график анн Базова'!G196</f>
        <v>12300.311687869766</v>
      </c>
      <c r="H201" s="157">
        <f>'график анн Базова'!O196</f>
        <v>0</v>
      </c>
      <c r="I201" s="157" t="str">
        <f>'график анн Базова'!M196</f>
        <v/>
      </c>
      <c r="J201" s="201" t="str">
        <f>'график анн Базова'!N196</f>
        <v/>
      </c>
      <c r="K201" s="157" t="str">
        <f>'график анн Базова'!I196</f>
        <v/>
      </c>
      <c r="L201" s="157" t="str">
        <f>'график анн Базова'!J196</f>
        <v/>
      </c>
      <c r="M201" s="157">
        <f>'график анн Базова'!K196</f>
        <v>0</v>
      </c>
      <c r="N201" s="157" t="str">
        <f>'график анн Базова'!L196</f>
        <v/>
      </c>
      <c r="O201" s="51" t="str">
        <f>'график анн Базова'!P196</f>
        <v/>
      </c>
      <c r="P201" s="147" t="str">
        <f>'график анн Базова'!Q196</f>
        <v/>
      </c>
    </row>
    <row r="202" spans="1:16" x14ac:dyDescent="0.35">
      <c r="A202" s="154">
        <f>'график анн Базова'!A197</f>
        <v>173</v>
      </c>
      <c r="B202" s="155">
        <f ca="1">'график анн Базова'!C197</f>
        <v>49752</v>
      </c>
      <c r="C202" s="156">
        <f ca="1">'график анн Базова'!D197</f>
        <v>29</v>
      </c>
      <c r="D202" s="47">
        <f ca="1">'график анн Базова'!E197</f>
        <v>1106492.1507265104</v>
      </c>
      <c r="E202" s="47">
        <f ca="1">'график анн Базова'!H197</f>
        <v>23232.527337695603</v>
      </c>
      <c r="F202" s="47">
        <f ca="1">'график анн Базова'!F197</f>
        <v>11837.179241567326</v>
      </c>
      <c r="G202" s="47">
        <f ca="1">'график анн Базова'!G197</f>
        <v>11395.348096128277</v>
      </c>
      <c r="H202" s="157">
        <f>'график анн Базова'!O197</f>
        <v>0</v>
      </c>
      <c r="I202" s="157" t="str">
        <f>'график анн Базова'!M197</f>
        <v/>
      </c>
      <c r="J202" s="201" t="str">
        <f>'график анн Базова'!N197</f>
        <v/>
      </c>
      <c r="K202" s="157" t="str">
        <f>'график анн Базова'!I197</f>
        <v/>
      </c>
      <c r="L202" s="157" t="str">
        <f>'график анн Базова'!J197</f>
        <v/>
      </c>
      <c r="M202" s="157">
        <f>'график анн Базова'!K197</f>
        <v>0</v>
      </c>
      <c r="N202" s="157" t="str">
        <f>'график анн Базова'!L197</f>
        <v/>
      </c>
      <c r="O202" s="51" t="str">
        <f>'график анн Базова'!P197</f>
        <v/>
      </c>
      <c r="P202" s="147" t="str">
        <f>'график анн Базова'!Q197</f>
        <v/>
      </c>
    </row>
    <row r="203" spans="1:16" x14ac:dyDescent="0.35">
      <c r="A203" s="154">
        <f>'график анн Базова'!A198</f>
        <v>174</v>
      </c>
      <c r="B203" s="155">
        <f ca="1">'график анн Базова'!C198</f>
        <v>49783</v>
      </c>
      <c r="C203" s="156">
        <f ca="1">'график анн Базова'!D198</f>
        <v>31</v>
      </c>
      <c r="D203" s="47">
        <f ca="1">'график анн Базова'!E198</f>
        <v>1095311.9228644604</v>
      </c>
      <c r="E203" s="47">
        <f ca="1">'график анн Базова'!H198</f>
        <v>23232.527337695603</v>
      </c>
      <c r="F203" s="47">
        <f ca="1">'график анн Базова'!F198</f>
        <v>11180.227862049958</v>
      </c>
      <c r="G203" s="47">
        <f ca="1">'график анн Базова'!G198</f>
        <v>12052.299475645645</v>
      </c>
      <c r="H203" s="157">
        <f>'график анн Базова'!O198</f>
        <v>0</v>
      </c>
      <c r="I203" s="157" t="str">
        <f>'график анн Базова'!M198</f>
        <v/>
      </c>
      <c r="J203" s="201" t="str">
        <f>'график анн Базова'!N198</f>
        <v/>
      </c>
      <c r="K203" s="157" t="str">
        <f>'график анн Базова'!I198</f>
        <v/>
      </c>
      <c r="L203" s="157" t="str">
        <f>'график анн Базова'!J198</f>
        <v/>
      </c>
      <c r="M203" s="157">
        <f>'график анн Базова'!K198</f>
        <v>0</v>
      </c>
      <c r="N203" s="157" t="str">
        <f>'график анн Базова'!L198</f>
        <v/>
      </c>
      <c r="O203" s="51" t="str">
        <f>'график анн Базова'!P198</f>
        <v/>
      </c>
      <c r="P203" s="147" t="str">
        <f>'график анн Базова'!Q198</f>
        <v/>
      </c>
    </row>
    <row r="204" spans="1:16" x14ac:dyDescent="0.35">
      <c r="A204" s="154">
        <f>'график анн Базова'!A199</f>
        <v>175</v>
      </c>
      <c r="B204" s="155">
        <f ca="1">'график анн Базова'!C199</f>
        <v>49813</v>
      </c>
      <c r="C204" s="156">
        <f ca="1">'график анн Базова'!D199</f>
        <v>30</v>
      </c>
      <c r="D204" s="47">
        <f ca="1">'график анн Базова'!E199</f>
        <v>1083625.0605497458</v>
      </c>
      <c r="E204" s="47">
        <f ca="1">'график анн Базова'!H199</f>
        <v>23232.527337695603</v>
      </c>
      <c r="F204" s="47">
        <f ca="1">'график анн Базова'!F199</f>
        <v>11686.862314714488</v>
      </c>
      <c r="G204" s="47">
        <f ca="1">'график анн Базова'!G199</f>
        <v>11545.665022981115</v>
      </c>
      <c r="H204" s="157">
        <f>'график анн Базова'!O199</f>
        <v>0</v>
      </c>
      <c r="I204" s="157" t="str">
        <f>'график анн Базова'!M199</f>
        <v/>
      </c>
      <c r="J204" s="201" t="str">
        <f>'график анн Базова'!N199</f>
        <v/>
      </c>
      <c r="K204" s="157" t="str">
        <f>'график анн Базова'!I199</f>
        <v/>
      </c>
      <c r="L204" s="157" t="str">
        <f>'график анн Базова'!J199</f>
        <v/>
      </c>
      <c r="M204" s="157">
        <f>'график анн Базова'!K199</f>
        <v>0</v>
      </c>
      <c r="N204" s="157" t="str">
        <f>'график анн Базова'!L199</f>
        <v/>
      </c>
      <c r="O204" s="51" t="str">
        <f>'график анн Базова'!P199</f>
        <v/>
      </c>
      <c r="P204" s="147" t="str">
        <f>'график анн Базова'!Q199</f>
        <v/>
      </c>
    </row>
    <row r="205" spans="1:16" x14ac:dyDescent="0.35">
      <c r="A205" s="154">
        <f>'график анн Базова'!A200</f>
        <v>176</v>
      </c>
      <c r="B205" s="155">
        <f ca="1">'график анн Базова'!C200</f>
        <v>49844</v>
      </c>
      <c r="C205" s="156">
        <f ca="1">'график анн Базова'!D200</f>
        <v>31</v>
      </c>
      <c r="D205" s="47">
        <f ca="1">'график анн Базова'!E200</f>
        <v>1072195.7563442567</v>
      </c>
      <c r="E205" s="47">
        <f ca="1">'график анн Базова'!H200</f>
        <v>23232.527337695603</v>
      </c>
      <c r="F205" s="47">
        <f ca="1">'график анн Базова'!F200</f>
        <v>11429.304205488999</v>
      </c>
      <c r="G205" s="47">
        <f ca="1">'график анн Базова'!G200</f>
        <v>11803.223132206604</v>
      </c>
      <c r="H205" s="157">
        <f>'график анн Базова'!O200</f>
        <v>0</v>
      </c>
      <c r="I205" s="157" t="str">
        <f>'график анн Базова'!M200</f>
        <v/>
      </c>
      <c r="J205" s="201" t="str">
        <f>'график анн Базова'!N200</f>
        <v/>
      </c>
      <c r="K205" s="157" t="str">
        <f>'график анн Базова'!I200</f>
        <v/>
      </c>
      <c r="L205" s="157" t="str">
        <f>'график анн Базова'!J200</f>
        <v/>
      </c>
      <c r="M205" s="157">
        <f>'график анн Базова'!K200</f>
        <v>0</v>
      </c>
      <c r="N205" s="157" t="str">
        <f>'график анн Базова'!L200</f>
        <v/>
      </c>
      <c r="O205" s="51" t="str">
        <f>'график анн Базова'!P200</f>
        <v/>
      </c>
      <c r="P205" s="147" t="str">
        <f>'график анн Базова'!Q200</f>
        <v/>
      </c>
    </row>
    <row r="206" spans="1:16" x14ac:dyDescent="0.35">
      <c r="A206" s="154">
        <f>'график анн Базова'!A201</f>
        <v>177</v>
      </c>
      <c r="B206" s="155">
        <f ca="1">'график анн Базова'!C201</f>
        <v>49874</v>
      </c>
      <c r="C206" s="156">
        <f ca="1">'график анн Базова'!D201</f>
        <v>30</v>
      </c>
      <c r="D206" s="47">
        <f ca="1">'график анн Базова'!E201</f>
        <v>1060265.2268972064</v>
      </c>
      <c r="E206" s="47">
        <f ca="1">'график анн Базова'!H201</f>
        <v>23232.527337695603</v>
      </c>
      <c r="F206" s="47">
        <f ca="1">'график анн Базова'!F201</f>
        <v>11930.529447050407</v>
      </c>
      <c r="G206" s="47">
        <f ca="1">'график анн Базова'!G201</f>
        <v>11301.997890645196</v>
      </c>
      <c r="H206" s="157">
        <f>'график анн Базова'!O201</f>
        <v>0</v>
      </c>
      <c r="I206" s="157" t="str">
        <f>'график анн Базова'!M201</f>
        <v/>
      </c>
      <c r="J206" s="201" t="str">
        <f>'график анн Базова'!N201</f>
        <v/>
      </c>
      <c r="K206" s="157" t="str">
        <f>'график анн Базова'!I201</f>
        <v/>
      </c>
      <c r="L206" s="157" t="str">
        <f>'график анн Базова'!J201</f>
        <v/>
      </c>
      <c r="M206" s="157">
        <f>'график анн Базова'!K201</f>
        <v>0</v>
      </c>
      <c r="N206" s="157" t="str">
        <f>'график анн Базова'!L201</f>
        <v/>
      </c>
      <c r="O206" s="51" t="str">
        <f>'график анн Базова'!P201</f>
        <v/>
      </c>
      <c r="P206" s="147" t="str">
        <f>'график анн Базова'!Q201</f>
        <v/>
      </c>
    </row>
    <row r="207" spans="1:16" x14ac:dyDescent="0.35">
      <c r="A207" s="154">
        <f>'график анн Базова'!A202</f>
        <v>178</v>
      </c>
      <c r="B207" s="155">
        <f ca="1">'график анн Базова'!C202</f>
        <v>49905</v>
      </c>
      <c r="C207" s="156">
        <f ca="1">'график анн Базова'!D202</f>
        <v>31</v>
      </c>
      <c r="D207" s="47">
        <f ca="1">'график анн Базова'!E202</f>
        <v>1048581.4792140147</v>
      </c>
      <c r="E207" s="47">
        <f ca="1">'график анн Базова'!H202</f>
        <v>23232.527337695603</v>
      </c>
      <c r="F207" s="47">
        <f ca="1">'график анн Базова'!F202</f>
        <v>11683.74768319177</v>
      </c>
      <c r="G207" s="47">
        <f ca="1">'график анн Базова'!G202</f>
        <v>11548.779654503833</v>
      </c>
      <c r="H207" s="157">
        <f>'график анн Базова'!O202</f>
        <v>0</v>
      </c>
      <c r="I207" s="157" t="str">
        <f>'график анн Базова'!M202</f>
        <v/>
      </c>
      <c r="J207" s="201" t="str">
        <f>'график анн Базова'!N202</f>
        <v/>
      </c>
      <c r="K207" s="157" t="str">
        <f>'график анн Базова'!I202</f>
        <v/>
      </c>
      <c r="L207" s="157" t="str">
        <f>'график анн Базова'!J202</f>
        <v/>
      </c>
      <c r="M207" s="157">
        <f>'график анн Базова'!K202</f>
        <v>0</v>
      </c>
      <c r="N207" s="157" t="str">
        <f>'график анн Базова'!L202</f>
        <v/>
      </c>
      <c r="O207" s="51" t="str">
        <f>'график анн Базова'!P202</f>
        <v/>
      </c>
      <c r="P207" s="147" t="str">
        <f>'график анн Базова'!Q202</f>
        <v/>
      </c>
    </row>
    <row r="208" spans="1:16" x14ac:dyDescent="0.35">
      <c r="A208" s="154">
        <f>'график анн Базова'!A203</f>
        <v>179</v>
      </c>
      <c r="B208" s="155">
        <f ca="1">'график анн Базова'!C203</f>
        <v>49936</v>
      </c>
      <c r="C208" s="156">
        <f ca="1">'график анн Базова'!D203</f>
        <v>31</v>
      </c>
      <c r="D208" s="47">
        <f ca="1">'график анн Базова'!E203</f>
        <v>1036770.4680649382</v>
      </c>
      <c r="E208" s="47">
        <f ca="1">'график анн Базова'!H203</f>
        <v>23232.527337695603</v>
      </c>
      <c r="F208" s="47">
        <f ca="1">'график анн Базова'!F203</f>
        <v>11811.011149076503</v>
      </c>
      <c r="G208" s="47">
        <f ca="1">'график анн Базова'!G203</f>
        <v>11421.5161886191</v>
      </c>
      <c r="H208" s="157">
        <f>'график анн Базова'!O203</f>
        <v>0</v>
      </c>
      <c r="I208" s="157" t="str">
        <f>'график анн Базова'!M203</f>
        <v/>
      </c>
      <c r="J208" s="201" t="str">
        <f>'график анн Базова'!N203</f>
        <v/>
      </c>
      <c r="K208" s="157" t="str">
        <f>'график анн Базова'!I203</f>
        <v/>
      </c>
      <c r="L208" s="157" t="str">
        <f>'график анн Базова'!J203</f>
        <v/>
      </c>
      <c r="M208" s="157">
        <f>'график анн Базова'!K203</f>
        <v>0</v>
      </c>
      <c r="N208" s="157" t="str">
        <f>'график анн Базова'!L203</f>
        <v/>
      </c>
      <c r="O208" s="51" t="str">
        <f>'график анн Базова'!P203</f>
        <v/>
      </c>
      <c r="P208" s="147" t="str">
        <f>'график анн Базова'!Q203</f>
        <v/>
      </c>
    </row>
    <row r="209" spans="1:16" x14ac:dyDescent="0.35">
      <c r="A209" s="154">
        <f>'график анн Базова'!A204</f>
        <v>180</v>
      </c>
      <c r="B209" s="155">
        <f ca="1">'график анн Базова'!C204</f>
        <v>49966</v>
      </c>
      <c r="C209" s="156">
        <f ca="1">'график анн Базова'!D204</f>
        <v>30</v>
      </c>
      <c r="D209" s="47">
        <f ca="1">'график анн Базова'!E204</f>
        <v>1024466.521234878</v>
      </c>
      <c r="E209" s="47">
        <f ca="1">'график анн Базова'!H204</f>
        <v>23232.527337695603</v>
      </c>
      <c r="F209" s="47">
        <f ca="1">'график анн Базова'!F204</f>
        <v>12303.946830060271</v>
      </c>
      <c r="G209" s="47">
        <f ca="1">'график анн Базова'!G204</f>
        <v>10928.580507635332</v>
      </c>
      <c r="H209" s="157">
        <f>'график анн Базова'!O204</f>
        <v>0</v>
      </c>
      <c r="I209" s="157" t="str">
        <f>'график анн Базова'!M204</f>
        <v/>
      </c>
      <c r="J209" s="201" t="str">
        <f>'график анн Базова'!N204</f>
        <v/>
      </c>
      <c r="K209" s="157" t="str">
        <f>'график анн Базова'!I204</f>
        <v/>
      </c>
      <c r="L209" s="157" t="str">
        <f>'график анн Базова'!J204</f>
        <v/>
      </c>
      <c r="M209" s="157">
        <f>'график анн Базова'!K204</f>
        <v>0</v>
      </c>
      <c r="N209" s="157" t="str">
        <f>'график анн Базова'!L204</f>
        <v/>
      </c>
      <c r="O209" s="51" t="str">
        <f>'график анн Базова'!P204</f>
        <v/>
      </c>
      <c r="P209" s="147" t="str">
        <f>'график анн Базова'!Q204</f>
        <v/>
      </c>
    </row>
    <row r="210" spans="1:16" x14ac:dyDescent="0.35">
      <c r="A210" s="154">
        <f>'график анн Базова'!A205</f>
        <v>181</v>
      </c>
      <c r="B210" s="155">
        <f ca="1">'график анн Базова'!C205</f>
        <v>49997</v>
      </c>
      <c r="C210" s="156">
        <f ca="1">'график анн Базова'!D205</f>
        <v>31</v>
      </c>
      <c r="D210" s="47">
        <f ca="1">'график анн Базова'!E205</f>
        <v>1012392.8415298462</v>
      </c>
      <c r="E210" s="47">
        <f ca="1">'график анн Базова'!H205</f>
        <v>23232.527337695603</v>
      </c>
      <c r="F210" s="47">
        <f ca="1">'график анн Базова'!F205</f>
        <v>12073.679705031765</v>
      </c>
      <c r="G210" s="47">
        <f ca="1">'график анн Базова'!G205</f>
        <v>11158.847632663837</v>
      </c>
      <c r="H210" s="157">
        <f>'график анн Базова'!O205</f>
        <v>0</v>
      </c>
      <c r="I210" s="157" t="str">
        <f>'график анн Базова'!M205</f>
        <v/>
      </c>
      <c r="J210" s="201">
        <f>'график анн Базова'!N205</f>
        <v>0</v>
      </c>
      <c r="K210" s="157" t="str">
        <f>'график анн Базова'!I205</f>
        <v/>
      </c>
      <c r="L210" s="157" t="str">
        <f>'график анн Базова'!J205</f>
        <v/>
      </c>
      <c r="M210" s="201">
        <f>'график анн Базова'!K205</f>
        <v>7500</v>
      </c>
      <c r="N210" s="157" t="str">
        <f>'график анн Базова'!L205</f>
        <v/>
      </c>
      <c r="O210" s="51" t="str">
        <f>'график анн Базова'!P205</f>
        <v/>
      </c>
      <c r="P210" s="147" t="str">
        <f>'график анн Базова'!Q205</f>
        <v/>
      </c>
    </row>
    <row r="211" spans="1:16" x14ac:dyDescent="0.35">
      <c r="A211" s="154">
        <f>'график анн Базова'!A206</f>
        <v>182</v>
      </c>
      <c r="B211" s="155">
        <f ca="1">'график анн Базова'!C206</f>
        <v>50027</v>
      </c>
      <c r="C211" s="156">
        <f ca="1">'график анн Базова'!D206</f>
        <v>30</v>
      </c>
      <c r="D211" s="47">
        <f ca="1">'график анн Базова'!E206</f>
        <v>999831.93053811276</v>
      </c>
      <c r="E211" s="47">
        <f ca="1">'график анн Базова'!H206</f>
        <v>23232.527337695603</v>
      </c>
      <c r="F211" s="47">
        <f ca="1">'график анн Базова'!F206</f>
        <v>12560.910991733455</v>
      </c>
      <c r="G211" s="47">
        <f ca="1">'график анн Базова'!G206</f>
        <v>10671.616345962148</v>
      </c>
      <c r="H211" s="157">
        <f>'график анн Базова'!O206</f>
        <v>0</v>
      </c>
      <c r="I211" s="157" t="str">
        <f>'график анн Базова'!M206</f>
        <v/>
      </c>
      <c r="J211" s="201" t="str">
        <f>'график анн Базова'!N206</f>
        <v/>
      </c>
      <c r="K211" s="157" t="str">
        <f>'график анн Базова'!I206</f>
        <v/>
      </c>
      <c r="L211" s="157" t="str">
        <f>'график анн Базова'!J206</f>
        <v/>
      </c>
      <c r="M211" s="157">
        <f>'график анн Базова'!K206</f>
        <v>0</v>
      </c>
      <c r="N211" s="157" t="str">
        <f>'график анн Базова'!L206</f>
        <v/>
      </c>
      <c r="O211" s="51" t="str">
        <f>'график анн Базова'!P206</f>
        <v/>
      </c>
      <c r="P211" s="147" t="str">
        <f>'график анн Базова'!Q206</f>
        <v/>
      </c>
    </row>
    <row r="212" spans="1:16" x14ac:dyDescent="0.35">
      <c r="A212" s="154">
        <f>'график анн Базова'!A207</f>
        <v>183</v>
      </c>
      <c r="B212" s="155">
        <f ca="1">'график анн Базова'!C207</f>
        <v>50058</v>
      </c>
      <c r="C212" s="156">
        <f ca="1">'график анн Базова'!D207</f>
        <v>31</v>
      </c>
      <c r="D212" s="47">
        <f ca="1">'график анн Базова'!E207</f>
        <v>987489.92225583585</v>
      </c>
      <c r="E212" s="47">
        <f ca="1">'график анн Базова'!H207</f>
        <v>23232.527337695603</v>
      </c>
      <c r="F212" s="47">
        <f ca="1">'график анн Базова'!F207</f>
        <v>12342.008282276915</v>
      </c>
      <c r="G212" s="47">
        <f ca="1">'график анн Базова'!G207</f>
        <v>10890.519055418688</v>
      </c>
      <c r="H212" s="157">
        <f>'график анн Базова'!O207</f>
        <v>0</v>
      </c>
      <c r="I212" s="157" t="str">
        <f>'график анн Базова'!M207</f>
        <v/>
      </c>
      <c r="J212" s="201" t="str">
        <f>'график анн Базова'!N207</f>
        <v/>
      </c>
      <c r="K212" s="157" t="str">
        <f>'график анн Базова'!I207</f>
        <v/>
      </c>
      <c r="L212" s="157" t="str">
        <f>'график анн Базова'!J207</f>
        <v/>
      </c>
      <c r="M212" s="157">
        <f>'график анн Базова'!K207</f>
        <v>0</v>
      </c>
      <c r="N212" s="157" t="str">
        <f>'график анн Базова'!L207</f>
        <v/>
      </c>
      <c r="O212" s="51" t="str">
        <f>'график анн Базова'!P207</f>
        <v/>
      </c>
      <c r="P212" s="147" t="str">
        <f>'график анн Базова'!Q207</f>
        <v/>
      </c>
    </row>
    <row r="213" spans="1:16" x14ac:dyDescent="0.35">
      <c r="A213" s="154">
        <f>'график анн Базова'!A208</f>
        <v>184</v>
      </c>
      <c r="B213" s="155">
        <f ca="1">'график анн Базова'!C208</f>
        <v>50089</v>
      </c>
      <c r="C213" s="156">
        <f ca="1">'график анн Базова'!D208</f>
        <v>31</v>
      </c>
      <c r="D213" s="47">
        <f ca="1">'график анн Базова'!E208</f>
        <v>975042.94923064741</v>
      </c>
      <c r="E213" s="47">
        <f ca="1">'график анн Базова'!H208</f>
        <v>23232.527337695603</v>
      </c>
      <c r="F213" s="47">
        <f ca="1">'график анн Базова'!F208</f>
        <v>12446.973025188439</v>
      </c>
      <c r="G213" s="47">
        <f ca="1">'график анн Базова'!G208</f>
        <v>10785.554312507164</v>
      </c>
      <c r="H213" s="157">
        <f>'график анн Базова'!O208</f>
        <v>0</v>
      </c>
      <c r="I213" s="157" t="str">
        <f>'график анн Базова'!M208</f>
        <v/>
      </c>
      <c r="J213" s="201" t="str">
        <f>'график анн Базова'!N208</f>
        <v/>
      </c>
      <c r="K213" s="157" t="str">
        <f>'график анн Базова'!I208</f>
        <v/>
      </c>
      <c r="L213" s="157" t="str">
        <f>'график анн Базова'!J208</f>
        <v/>
      </c>
      <c r="M213" s="157">
        <f>'график анн Базова'!K208</f>
        <v>0</v>
      </c>
      <c r="N213" s="157" t="str">
        <f>'график анн Базова'!L208</f>
        <v/>
      </c>
      <c r="O213" s="51" t="str">
        <f>'график анн Базова'!P208</f>
        <v/>
      </c>
      <c r="P213" s="147" t="str">
        <f>'график анн Базова'!Q208</f>
        <v/>
      </c>
    </row>
    <row r="214" spans="1:16" x14ac:dyDescent="0.35">
      <c r="A214" s="154">
        <f>'график анн Базова'!A209</f>
        <v>185</v>
      </c>
      <c r="B214" s="155">
        <f ca="1">'график анн Базова'!C209</f>
        <v>50117</v>
      </c>
      <c r="C214" s="156">
        <f ca="1">'график анн Базова'!D209</f>
        <v>28</v>
      </c>
      <c r="D214" s="47">
        <f ca="1">'график анн Базова'!E209</f>
        <v>961429.42093840311</v>
      </c>
      <c r="E214" s="47">
        <f ca="1">'график анн Базова'!H209</f>
        <v>23232.527337695603</v>
      </c>
      <c r="F214" s="47">
        <f ca="1">'график анн Базова'!F209</f>
        <v>13613.528292244329</v>
      </c>
      <c r="G214" s="47">
        <f ca="1">'график анн Базова'!G209</f>
        <v>9618.9990454512736</v>
      </c>
      <c r="H214" s="157">
        <f>'график анн Базова'!O209</f>
        <v>0</v>
      </c>
      <c r="I214" s="157" t="str">
        <f>'график анн Базова'!M209</f>
        <v/>
      </c>
      <c r="J214" s="201" t="str">
        <f>'график анн Базова'!N209</f>
        <v/>
      </c>
      <c r="K214" s="157" t="str">
        <f>'график анн Базова'!I209</f>
        <v/>
      </c>
      <c r="L214" s="157" t="str">
        <f>'график анн Базова'!J209</f>
        <v/>
      </c>
      <c r="M214" s="157">
        <f>'график анн Базова'!K209</f>
        <v>0</v>
      </c>
      <c r="N214" s="157" t="str">
        <f>'график анн Базова'!L209</f>
        <v/>
      </c>
      <c r="O214" s="51" t="str">
        <f>'график анн Базова'!P209</f>
        <v/>
      </c>
      <c r="P214" s="147" t="str">
        <f>'график анн Базова'!Q209</f>
        <v/>
      </c>
    </row>
    <row r="215" spans="1:16" x14ac:dyDescent="0.35">
      <c r="A215" s="154">
        <f>'график анн Базова'!A210</f>
        <v>186</v>
      </c>
      <c r="B215" s="155">
        <f ca="1">'график анн Базова'!C210</f>
        <v>50148</v>
      </c>
      <c r="C215" s="156">
        <f ca="1">'график анн Базова'!D210</f>
        <v>31</v>
      </c>
      <c r="D215" s="47">
        <f ca="1">'график анн Базова'!E210</f>
        <v>948697.81011992134</v>
      </c>
      <c r="E215" s="47">
        <f ca="1">'график анн Базова'!H210</f>
        <v>23232.527337695603</v>
      </c>
      <c r="F215" s="47">
        <f ca="1">'график анн Базова'!F210</f>
        <v>12731.6108184818</v>
      </c>
      <c r="G215" s="47">
        <f ca="1">'график анн Базова'!G210</f>
        <v>10500.916519213803</v>
      </c>
      <c r="H215" s="157">
        <f>'график анн Базова'!O210</f>
        <v>0</v>
      </c>
      <c r="I215" s="157" t="str">
        <f>'график анн Базова'!M210</f>
        <v/>
      </c>
      <c r="J215" s="201" t="str">
        <f>'график анн Базова'!N210</f>
        <v/>
      </c>
      <c r="K215" s="157" t="str">
        <f>'график анн Базова'!I210</f>
        <v/>
      </c>
      <c r="L215" s="157" t="str">
        <f>'график анн Базова'!J210</f>
        <v/>
      </c>
      <c r="M215" s="157">
        <f>'график анн Базова'!K210</f>
        <v>0</v>
      </c>
      <c r="N215" s="157" t="str">
        <f>'график анн Базова'!L210</f>
        <v/>
      </c>
      <c r="O215" s="51" t="str">
        <f>'график анн Базова'!P210</f>
        <v/>
      </c>
      <c r="P215" s="147" t="str">
        <f>'график анн Базова'!Q210</f>
        <v/>
      </c>
    </row>
    <row r="216" spans="1:16" x14ac:dyDescent="0.35">
      <c r="A216" s="154">
        <f>'график анн Базова'!A211</f>
        <v>187</v>
      </c>
      <c r="B216" s="155">
        <f ca="1">'график анн Базова'!C211</f>
        <v>50178</v>
      </c>
      <c r="C216" s="156">
        <f ca="1">'график анн Базова'!D211</f>
        <v>30</v>
      </c>
      <c r="D216" s="47">
        <f ca="1">'график анн Базова'!E211</f>
        <v>935492.88867658912</v>
      </c>
      <c r="E216" s="47">
        <f ca="1">'график анн Базова'!H211</f>
        <v>23232.527337695603</v>
      </c>
      <c r="F216" s="47">
        <f ca="1">'график анн Базова'!F211</f>
        <v>13204.921443332161</v>
      </c>
      <c r="G216" s="47">
        <f ca="1">'график анн Базова'!G211</f>
        <v>10027.605894363442</v>
      </c>
      <c r="H216" s="157">
        <f>'график анн Базова'!O211</f>
        <v>0</v>
      </c>
      <c r="I216" s="157" t="str">
        <f>'график анн Базова'!M211</f>
        <v/>
      </c>
      <c r="J216" s="201" t="str">
        <f>'график анн Базова'!N211</f>
        <v/>
      </c>
      <c r="K216" s="157" t="str">
        <f>'график анн Базова'!I211</f>
        <v/>
      </c>
      <c r="L216" s="157" t="str">
        <f>'график анн Базова'!J211</f>
        <v/>
      </c>
      <c r="M216" s="157">
        <f>'график анн Базова'!K211</f>
        <v>0</v>
      </c>
      <c r="N216" s="157" t="str">
        <f>'график анн Базова'!L211</f>
        <v/>
      </c>
      <c r="O216" s="51" t="str">
        <f>'график анн Базова'!P211</f>
        <v/>
      </c>
      <c r="P216" s="147" t="str">
        <f>'график анн Базова'!Q211</f>
        <v/>
      </c>
    </row>
    <row r="217" spans="1:16" x14ac:dyDescent="0.35">
      <c r="A217" s="154">
        <f>'график анн Базова'!A212</f>
        <v>188</v>
      </c>
      <c r="B217" s="155">
        <f ca="1">'график анн Базова'!C212</f>
        <v>50209</v>
      </c>
      <c r="C217" s="156">
        <f ca="1">'график анн Базова'!D212</f>
        <v>31</v>
      </c>
      <c r="D217" s="47">
        <f ca="1">'график анн Базова'!E212</f>
        <v>922477.99407861428</v>
      </c>
      <c r="E217" s="47">
        <f ca="1">'график анн Базова'!H212</f>
        <v>23232.527337695603</v>
      </c>
      <c r="F217" s="47">
        <f ca="1">'график анн Базова'!F212</f>
        <v>13014.894597974808</v>
      </c>
      <c r="G217" s="47">
        <f ca="1">'график анн Базова'!G212</f>
        <v>10217.632739720795</v>
      </c>
      <c r="H217" s="157">
        <f>'график анн Базова'!O212</f>
        <v>0</v>
      </c>
      <c r="I217" s="157" t="str">
        <f>'график анн Базова'!M212</f>
        <v/>
      </c>
      <c r="J217" s="201" t="str">
        <f>'график анн Базова'!N212</f>
        <v/>
      </c>
      <c r="K217" s="157" t="str">
        <f>'график анн Базова'!I212</f>
        <v/>
      </c>
      <c r="L217" s="157" t="str">
        <f>'график анн Базова'!J212</f>
        <v/>
      </c>
      <c r="M217" s="157">
        <f>'график анн Базова'!K212</f>
        <v>0</v>
      </c>
      <c r="N217" s="157" t="str">
        <f>'график анн Базова'!L212</f>
        <v/>
      </c>
      <c r="O217" s="51" t="str">
        <f>'график анн Базова'!P212</f>
        <v/>
      </c>
      <c r="P217" s="147" t="str">
        <f>'график анн Базова'!Q212</f>
        <v/>
      </c>
    </row>
    <row r="218" spans="1:16" x14ac:dyDescent="0.35">
      <c r="A218" s="154">
        <f>'график анн Базова'!A213</f>
        <v>189</v>
      </c>
      <c r="B218" s="155">
        <f ca="1">'график анн Базова'!C213</f>
        <v>50239</v>
      </c>
      <c r="C218" s="156">
        <f ca="1">'график анн Базова'!D213</f>
        <v>30</v>
      </c>
      <c r="D218" s="47">
        <f ca="1">'график анн Базова'!E213</f>
        <v>908995.93277148111</v>
      </c>
      <c r="E218" s="47">
        <f ca="1">'график анн Базова'!H213</f>
        <v>23232.527337695603</v>
      </c>
      <c r="F218" s="47">
        <f ca="1">'график анн Базова'!F213</f>
        <v>13482.061307133155</v>
      </c>
      <c r="G218" s="47">
        <f ca="1">'график анн Базова'!G213</f>
        <v>9750.4660305624475</v>
      </c>
      <c r="H218" s="157">
        <f>'график анн Базова'!O213</f>
        <v>0</v>
      </c>
      <c r="I218" s="157" t="str">
        <f>'график анн Базова'!M213</f>
        <v/>
      </c>
      <c r="J218" s="201" t="str">
        <f>'график анн Базова'!N213</f>
        <v/>
      </c>
      <c r="K218" s="157" t="str">
        <f>'график анн Базова'!I213</f>
        <v/>
      </c>
      <c r="L218" s="157" t="str">
        <f>'график анн Базова'!J213</f>
        <v/>
      </c>
      <c r="M218" s="157">
        <f>'график анн Базова'!K213</f>
        <v>0</v>
      </c>
      <c r="N218" s="157" t="str">
        <f>'график анн Базова'!L213</f>
        <v/>
      </c>
      <c r="O218" s="51" t="str">
        <f>'график анн Базова'!P213</f>
        <v/>
      </c>
      <c r="P218" s="147" t="str">
        <f>'график анн Базова'!Q213</f>
        <v/>
      </c>
    </row>
    <row r="219" spans="1:16" x14ac:dyDescent="0.35">
      <c r="A219" s="154">
        <f>'график анн Базова'!A214</f>
        <v>190</v>
      </c>
      <c r="B219" s="155">
        <f ca="1">'график анн Базова'!C214</f>
        <v>50270</v>
      </c>
      <c r="C219" s="156">
        <f ca="1">'график анн Базова'!D214</f>
        <v>31</v>
      </c>
      <c r="D219" s="47">
        <f ca="1">'график анн Базова'!E214</f>
        <v>895691.63333950273</v>
      </c>
      <c r="E219" s="47">
        <f ca="1">'график анн Базова'!H214</f>
        <v>23232.527337695603</v>
      </c>
      <c r="F219" s="47">
        <f ca="1">'график анн Базова'!F214</f>
        <v>13304.299431978379</v>
      </c>
      <c r="G219" s="47">
        <f ca="1">'график анн Базова'!G214</f>
        <v>9928.2279057172236</v>
      </c>
      <c r="H219" s="157">
        <f>'график анн Базова'!O214</f>
        <v>0</v>
      </c>
      <c r="I219" s="157" t="str">
        <f>'график анн Базова'!M214</f>
        <v/>
      </c>
      <c r="J219" s="201" t="str">
        <f>'график анн Базова'!N214</f>
        <v/>
      </c>
      <c r="K219" s="157" t="str">
        <f>'график анн Базова'!I214</f>
        <v/>
      </c>
      <c r="L219" s="157" t="str">
        <f>'график анн Базова'!J214</f>
        <v/>
      </c>
      <c r="M219" s="157">
        <f>'график анн Базова'!K214</f>
        <v>0</v>
      </c>
      <c r="N219" s="157" t="str">
        <f>'график анн Базова'!L214</f>
        <v/>
      </c>
      <c r="O219" s="51" t="str">
        <f>'график анн Базова'!P214</f>
        <v/>
      </c>
      <c r="P219" s="147" t="str">
        <f>'график анн Базова'!Q214</f>
        <v/>
      </c>
    </row>
    <row r="220" spans="1:16" x14ac:dyDescent="0.35">
      <c r="A220" s="154">
        <f>'график анн Базова'!A215</f>
        <v>191</v>
      </c>
      <c r="B220" s="155">
        <f ca="1">'график анн Базова'!C215</f>
        <v>50301</v>
      </c>
      <c r="C220" s="156">
        <f ca="1">'график анн Базова'!D215</f>
        <v>31</v>
      </c>
      <c r="D220" s="47">
        <f ca="1">'график анн Базова'!E215</f>
        <v>882242.02179761883</v>
      </c>
      <c r="E220" s="47">
        <f ca="1">'график анн Базова'!H215</f>
        <v>23232.527337695603</v>
      </c>
      <c r="F220" s="47">
        <f ca="1">'график анн Базова'!F215</f>
        <v>13449.611541883927</v>
      </c>
      <c r="G220" s="47">
        <f ca="1">'график анн Базова'!G215</f>
        <v>9782.9157958116757</v>
      </c>
      <c r="H220" s="157">
        <f>'график анн Базова'!O215</f>
        <v>0</v>
      </c>
      <c r="I220" s="157" t="str">
        <f>'график анн Базова'!M215</f>
        <v/>
      </c>
      <c r="J220" s="201" t="str">
        <f>'график анн Базова'!N215</f>
        <v/>
      </c>
      <c r="K220" s="157" t="str">
        <f>'график анн Базова'!I215</f>
        <v/>
      </c>
      <c r="L220" s="157" t="str">
        <f>'график анн Базова'!J215</f>
        <v/>
      </c>
      <c r="M220" s="157">
        <f>'график анн Базова'!K215</f>
        <v>0</v>
      </c>
      <c r="N220" s="157" t="str">
        <f>'график анн Базова'!L215</f>
        <v/>
      </c>
      <c r="O220" s="51" t="str">
        <f>'график анн Базова'!P215</f>
        <v/>
      </c>
      <c r="P220" s="147" t="str">
        <f>'график анн Базова'!Q215</f>
        <v/>
      </c>
    </row>
    <row r="221" spans="1:16" x14ac:dyDescent="0.35">
      <c r="A221" s="154">
        <f>'график анн Базова'!A216</f>
        <v>192</v>
      </c>
      <c r="B221" s="155">
        <f ca="1">'график анн Базова'!C216</f>
        <v>50331</v>
      </c>
      <c r="C221" s="156">
        <f ca="1">'график анн Базова'!D216</f>
        <v>30</v>
      </c>
      <c r="D221" s="47">
        <f ca="1">'график анн Базова'!E216</f>
        <v>868334.67177525256</v>
      </c>
      <c r="E221" s="47">
        <f ca="1">'график анн Базова'!H216</f>
        <v>23232.527337695603</v>
      </c>
      <c r="F221" s="47">
        <f ca="1">'график анн Базова'!F216</f>
        <v>13907.350022366252</v>
      </c>
      <c r="G221" s="47">
        <f ca="1">'график анн Базова'!G216</f>
        <v>9325.1773153293507</v>
      </c>
      <c r="H221" s="157">
        <f>'график анн Базова'!O216</f>
        <v>0</v>
      </c>
      <c r="I221" s="157" t="str">
        <f>'график анн Базова'!M216</f>
        <v/>
      </c>
      <c r="J221" s="201" t="str">
        <f>'график анн Базова'!N216</f>
        <v/>
      </c>
      <c r="K221" s="157" t="str">
        <f>'график анн Базова'!I216</f>
        <v/>
      </c>
      <c r="L221" s="157" t="str">
        <f>'график анн Базова'!J216</f>
        <v/>
      </c>
      <c r="M221" s="157">
        <f>'график анн Базова'!K216</f>
        <v>0</v>
      </c>
      <c r="N221" s="157" t="str">
        <f>'график анн Базова'!L216</f>
        <v/>
      </c>
      <c r="O221" s="51" t="str">
        <f>'график анн Базова'!P216</f>
        <v/>
      </c>
      <c r="P221" s="147" t="str">
        <f>'график анн Базова'!Q216</f>
        <v/>
      </c>
    </row>
    <row r="222" spans="1:16" x14ac:dyDescent="0.35">
      <c r="A222" s="154">
        <f>'график анн Базова'!A217</f>
        <v>193</v>
      </c>
      <c r="B222" s="155">
        <f ca="1">'график анн Базова'!C217</f>
        <v>50362</v>
      </c>
      <c r="C222" s="156">
        <f ca="1">'график анн Базова'!D217</f>
        <v>31</v>
      </c>
      <c r="D222" s="47">
        <f ca="1">'график анн Базова'!E217</f>
        <v>854586.26225262333</v>
      </c>
      <c r="E222" s="47">
        <f ca="1">'график анн Базова'!H217</f>
        <v>23232.527337695603</v>
      </c>
      <c r="F222" s="47">
        <f ca="1">'график анн Базова'!F217</f>
        <v>13748.409522629241</v>
      </c>
      <c r="G222" s="47">
        <f ca="1">'график анн Базова'!G217</f>
        <v>9484.1178150663618</v>
      </c>
      <c r="H222" s="157">
        <f>'график анн Базова'!O217</f>
        <v>0</v>
      </c>
      <c r="I222" s="157" t="str">
        <f>'график анн Базова'!M217</f>
        <v/>
      </c>
      <c r="J222" s="201">
        <f>'график анн Базова'!N217</f>
        <v>0</v>
      </c>
      <c r="K222" s="157" t="str">
        <f>'график анн Базова'!I217</f>
        <v/>
      </c>
      <c r="L222" s="157" t="str">
        <f>'график анн Базова'!J217</f>
        <v/>
      </c>
      <c r="M222" s="201">
        <f>'график анн Базова'!K217</f>
        <v>7500</v>
      </c>
      <c r="N222" s="157" t="str">
        <f>'график анн Базова'!L217</f>
        <v/>
      </c>
      <c r="O222" s="51" t="str">
        <f>'график анн Базова'!P217</f>
        <v/>
      </c>
      <c r="P222" s="147" t="str">
        <f>'график анн Базова'!Q217</f>
        <v/>
      </c>
    </row>
    <row r="223" spans="1:16" x14ac:dyDescent="0.35">
      <c r="A223" s="154">
        <f>'график анн Базова'!A218</f>
        <v>194</v>
      </c>
      <c r="B223" s="155">
        <f ca="1">'график анн Базова'!C218</f>
        <v>50392</v>
      </c>
      <c r="C223" s="156">
        <f ca="1">'график анн Базова'!D218</f>
        <v>30</v>
      </c>
      <c r="D223" s="47">
        <f ca="1">'график анн Базова'!E218</f>
        <v>840386.59464032669</v>
      </c>
      <c r="E223" s="47">
        <f ca="1">'график анн Базова'!H218</f>
        <v>23232.527337695603</v>
      </c>
      <c r="F223" s="47">
        <f ca="1">'график анн Базова'!F218</f>
        <v>14199.667612296642</v>
      </c>
      <c r="G223" s="47">
        <f ca="1">'график анн Базова'!G218</f>
        <v>9032.859725398961</v>
      </c>
      <c r="H223" s="157">
        <f>'график анн Базова'!O218</f>
        <v>0</v>
      </c>
      <c r="I223" s="157" t="str">
        <f>'график анн Базова'!M218</f>
        <v/>
      </c>
      <c r="J223" s="201" t="str">
        <f>'график анн Базова'!N218</f>
        <v/>
      </c>
      <c r="K223" s="157" t="str">
        <f>'график анн Базова'!I218</f>
        <v/>
      </c>
      <c r="L223" s="157" t="str">
        <f>'график анн Базова'!J218</f>
        <v/>
      </c>
      <c r="M223" s="157">
        <f>'график анн Базова'!K218</f>
        <v>0</v>
      </c>
      <c r="N223" s="157" t="str">
        <f>'график анн Базова'!L218</f>
        <v/>
      </c>
      <c r="O223" s="51" t="str">
        <f>'график анн Базова'!P218</f>
        <v/>
      </c>
      <c r="P223" s="147" t="str">
        <f>'график анн Базова'!Q218</f>
        <v/>
      </c>
    </row>
    <row r="224" spans="1:16" x14ac:dyDescent="0.35">
      <c r="A224" s="154">
        <f>'график анн Базова'!A219</f>
        <v>195</v>
      </c>
      <c r="B224" s="155">
        <f ca="1">'график анн Базова'!C219</f>
        <v>50423</v>
      </c>
      <c r="C224" s="156">
        <f ca="1">'график анн Базова'!D219</f>
        <v>31</v>
      </c>
      <c r="D224" s="47">
        <f ca="1">'график анн Базова'!E219</f>
        <v>826332.93085932452</v>
      </c>
      <c r="E224" s="47">
        <f ca="1">'график анн Базова'!H219</f>
        <v>23232.527337695603</v>
      </c>
      <c r="F224" s="47">
        <f ca="1">'график анн Базова'!F219</f>
        <v>14053.663781002106</v>
      </c>
      <c r="G224" s="47">
        <f ca="1">'график анн Базова'!G219</f>
        <v>9178.8635566934972</v>
      </c>
      <c r="H224" s="157">
        <f>'график анн Базова'!O219</f>
        <v>0</v>
      </c>
      <c r="I224" s="157" t="str">
        <f>'график анн Базова'!M219</f>
        <v/>
      </c>
      <c r="J224" s="201" t="str">
        <f>'график анн Базова'!N219</f>
        <v/>
      </c>
      <c r="K224" s="157" t="str">
        <f>'график анн Базова'!I219</f>
        <v/>
      </c>
      <c r="L224" s="157" t="str">
        <f>'график анн Базова'!J219</f>
        <v/>
      </c>
      <c r="M224" s="157">
        <f>'график анн Базова'!K219</f>
        <v>0</v>
      </c>
      <c r="N224" s="157" t="str">
        <f>'график анн Базова'!L219</f>
        <v/>
      </c>
      <c r="O224" s="51" t="str">
        <f>'график анн Базова'!P219</f>
        <v/>
      </c>
      <c r="P224" s="147" t="str">
        <f>'график анн Базова'!Q219</f>
        <v/>
      </c>
    </row>
    <row r="225" spans="1:16" x14ac:dyDescent="0.35">
      <c r="A225" s="154">
        <f>'график анн Базова'!A220</f>
        <v>196</v>
      </c>
      <c r="B225" s="155">
        <f ca="1">'график анн Базова'!C220</f>
        <v>50454</v>
      </c>
      <c r="C225" s="156">
        <f ca="1">'график анн Базова'!D220</f>
        <v>31</v>
      </c>
      <c r="D225" s="47">
        <f ca="1">'график анн Базова'!E220</f>
        <v>812125.77026728308</v>
      </c>
      <c r="E225" s="47">
        <f ca="1">'график анн Базова'!H220</f>
        <v>23232.527337695603</v>
      </c>
      <c r="F225" s="47">
        <f ca="1">'график анн Базова'!F220</f>
        <v>14207.160592041402</v>
      </c>
      <c r="G225" s="47">
        <f ca="1">'график анн Базова'!G220</f>
        <v>9025.3667456542007</v>
      </c>
      <c r="H225" s="157">
        <f>'график анн Базова'!O220</f>
        <v>0</v>
      </c>
      <c r="I225" s="157" t="str">
        <f>'график анн Базова'!M220</f>
        <v/>
      </c>
      <c r="J225" s="201" t="str">
        <f>'график анн Базова'!N220</f>
        <v/>
      </c>
      <c r="K225" s="157" t="str">
        <f>'график анн Базова'!I220</f>
        <v/>
      </c>
      <c r="L225" s="157" t="str">
        <f>'график анн Базова'!J220</f>
        <v/>
      </c>
      <c r="M225" s="157">
        <f>'график анн Базова'!K220</f>
        <v>0</v>
      </c>
      <c r="N225" s="157" t="str">
        <f>'график анн Базова'!L220</f>
        <v/>
      </c>
      <c r="O225" s="51" t="str">
        <f>'график анн Базова'!P220</f>
        <v/>
      </c>
      <c r="P225" s="147" t="str">
        <f>'график анн Базова'!Q220</f>
        <v/>
      </c>
    </row>
    <row r="226" spans="1:16" x14ac:dyDescent="0.35">
      <c r="A226" s="154">
        <f>'график анн Базова'!A221</f>
        <v>197</v>
      </c>
      <c r="B226" s="155">
        <f ca="1">'график анн Базова'!C221</f>
        <v>50482</v>
      </c>
      <c r="C226" s="156">
        <f ca="1">'график анн Базова'!D221</f>
        <v>28</v>
      </c>
      <c r="D226" s="47">
        <f ca="1">'график анн Базова'!E221</f>
        <v>796905.03052843246</v>
      </c>
      <c r="E226" s="47">
        <f ca="1">'график анн Базова'!H221</f>
        <v>23232.527337695603</v>
      </c>
      <c r="F226" s="47">
        <f ca="1">'график анн Базова'!F221</f>
        <v>15220.739738850581</v>
      </c>
      <c r="G226" s="47">
        <f ca="1">'график анн Базова'!G221</f>
        <v>8011.7875988450205</v>
      </c>
      <c r="H226" s="157">
        <f>'график анн Базова'!O221</f>
        <v>0</v>
      </c>
      <c r="I226" s="157" t="str">
        <f>'график анн Базова'!M221</f>
        <v/>
      </c>
      <c r="J226" s="201" t="str">
        <f>'график анн Базова'!N221</f>
        <v/>
      </c>
      <c r="K226" s="157" t="str">
        <f>'график анн Базова'!I221</f>
        <v/>
      </c>
      <c r="L226" s="157" t="str">
        <f>'график анн Базова'!J221</f>
        <v/>
      </c>
      <c r="M226" s="157">
        <f>'график анн Базова'!K221</f>
        <v>0</v>
      </c>
      <c r="N226" s="157" t="str">
        <f>'график анн Базова'!L221</f>
        <v/>
      </c>
      <c r="O226" s="51" t="str">
        <f>'график анн Базова'!P221</f>
        <v/>
      </c>
      <c r="P226" s="147" t="str">
        <f>'график анн Базова'!Q221</f>
        <v/>
      </c>
    </row>
    <row r="227" spans="1:16" x14ac:dyDescent="0.35">
      <c r="A227" s="154">
        <f>'график анн Базова'!A222</f>
        <v>198</v>
      </c>
      <c r="B227" s="155">
        <f ca="1">'график анн Базова'!C222</f>
        <v>50513</v>
      </c>
      <c r="C227" s="156">
        <f ca="1">'график анн Базова'!D222</f>
        <v>31</v>
      </c>
      <c r="D227" s="47">
        <f ca="1">'график анн Базова'!E222</f>
        <v>782376.45276527014</v>
      </c>
      <c r="E227" s="47">
        <f ca="1">'график анн Базова'!H222</f>
        <v>23232.527337695603</v>
      </c>
      <c r="F227" s="47">
        <f ca="1">'график анн Базова'!F222</f>
        <v>14528.577763162319</v>
      </c>
      <c r="G227" s="47">
        <f ca="1">'график анн Базова'!G222</f>
        <v>8703.9495745332842</v>
      </c>
      <c r="H227" s="157">
        <f>'график анн Базова'!O222</f>
        <v>0</v>
      </c>
      <c r="I227" s="157" t="str">
        <f>'график анн Базова'!M222</f>
        <v/>
      </c>
      <c r="J227" s="201" t="str">
        <f>'график анн Базова'!N222</f>
        <v/>
      </c>
      <c r="K227" s="157" t="str">
        <f>'график анн Базова'!I222</f>
        <v/>
      </c>
      <c r="L227" s="157" t="str">
        <f>'график анн Базова'!J222</f>
        <v/>
      </c>
      <c r="M227" s="157">
        <f>'график анн Базова'!K222</f>
        <v>0</v>
      </c>
      <c r="N227" s="157" t="str">
        <f>'график анн Базова'!L222</f>
        <v/>
      </c>
      <c r="O227" s="51" t="str">
        <f>'график анн Базова'!P222</f>
        <v/>
      </c>
      <c r="P227" s="147" t="str">
        <f>'график анн Базова'!Q222</f>
        <v/>
      </c>
    </row>
    <row r="228" spans="1:16" x14ac:dyDescent="0.35">
      <c r="A228" s="154">
        <f>'график анн Базова'!A223</f>
        <v>199</v>
      </c>
      <c r="B228" s="155">
        <f ca="1">'график анн Базова'!C223</f>
        <v>50543</v>
      </c>
      <c r="C228" s="156">
        <f ca="1">'график анн Базова'!D223</f>
        <v>30</v>
      </c>
      <c r="D228" s="47">
        <f ca="1">'график анн Базова'!E223</f>
        <v>767413.53735844686</v>
      </c>
      <c r="E228" s="47">
        <f ca="1">'график анн Базова'!H223</f>
        <v>23232.527337695603</v>
      </c>
      <c r="F228" s="47">
        <f ca="1">'график анн Базова'!F223</f>
        <v>14962.915406823242</v>
      </c>
      <c r="G228" s="47">
        <f ca="1">'график анн Базова'!G223</f>
        <v>8269.611930872361</v>
      </c>
      <c r="H228" s="157">
        <f>'график анн Базова'!O223</f>
        <v>0</v>
      </c>
      <c r="I228" s="157" t="str">
        <f>'график анн Базова'!M223</f>
        <v/>
      </c>
      <c r="J228" s="201" t="str">
        <f>'график анн Базова'!N223</f>
        <v/>
      </c>
      <c r="K228" s="157" t="str">
        <f>'график анн Базова'!I223</f>
        <v/>
      </c>
      <c r="L228" s="157" t="str">
        <f>'график анн Базова'!J223</f>
        <v/>
      </c>
      <c r="M228" s="157">
        <f>'график анн Базова'!K223</f>
        <v>0</v>
      </c>
      <c r="N228" s="157" t="str">
        <f>'график анн Базова'!L223</f>
        <v/>
      </c>
      <c r="O228" s="51" t="str">
        <f>'график анн Базова'!P223</f>
        <v/>
      </c>
      <c r="P228" s="147" t="str">
        <f>'график анн Базова'!Q223</f>
        <v/>
      </c>
    </row>
    <row r="229" spans="1:16" x14ac:dyDescent="0.35">
      <c r="A229" s="154">
        <f>'график анн Базова'!A224</f>
        <v>200</v>
      </c>
      <c r="B229" s="155">
        <f ca="1">'график анн Базова'!C224</f>
        <v>50574</v>
      </c>
      <c r="C229" s="156">
        <f ca="1">'график анн Базова'!D224</f>
        <v>31</v>
      </c>
      <c r="D229" s="47">
        <f ca="1">'график анн Базова'!E224</f>
        <v>752562.84785097919</v>
      </c>
      <c r="E229" s="47">
        <f ca="1">'график анн Базова'!H224</f>
        <v>23232.527337695603</v>
      </c>
      <c r="F229" s="47">
        <f ca="1">'график анн Базова'!F224</f>
        <v>14850.689507467701</v>
      </c>
      <c r="G229" s="47">
        <f ca="1">'график анн Базова'!G224</f>
        <v>8381.8378302279016</v>
      </c>
      <c r="H229" s="157">
        <f>'график анн Базова'!O224</f>
        <v>0</v>
      </c>
      <c r="I229" s="157" t="str">
        <f>'график анн Базова'!M224</f>
        <v/>
      </c>
      <c r="J229" s="201" t="str">
        <f>'график анн Базова'!N224</f>
        <v/>
      </c>
      <c r="K229" s="157" t="str">
        <f>'график анн Базова'!I224</f>
        <v/>
      </c>
      <c r="L229" s="157" t="str">
        <f>'график анн Базова'!J224</f>
        <v/>
      </c>
      <c r="M229" s="157">
        <f>'график анн Базова'!K224</f>
        <v>0</v>
      </c>
      <c r="N229" s="157" t="str">
        <f>'график анн Базова'!L224</f>
        <v/>
      </c>
      <c r="O229" s="51" t="str">
        <f>'график анн Базова'!P224</f>
        <v/>
      </c>
      <c r="P229" s="147" t="str">
        <f>'график анн Базова'!Q224</f>
        <v/>
      </c>
    </row>
    <row r="230" spans="1:16" x14ac:dyDescent="0.35">
      <c r="A230" s="154">
        <f>'график анн Базова'!A225</f>
        <v>201</v>
      </c>
      <c r="B230" s="155">
        <f ca="1">'график анн Базова'!C225</f>
        <v>50604</v>
      </c>
      <c r="C230" s="156">
        <f ca="1">'график анн Базова'!D225</f>
        <v>30</v>
      </c>
      <c r="D230" s="47">
        <f ca="1">'график анн Базова'!E225</f>
        <v>737284.80672426731</v>
      </c>
      <c r="E230" s="47">
        <f ca="1">'график анн Базова'!H225</f>
        <v>23232.527337695603</v>
      </c>
      <c r="F230" s="47">
        <f ca="1">'график анн Базова'!F225</f>
        <v>15278.041126711829</v>
      </c>
      <c r="G230" s="47">
        <f ca="1">'график анн Базова'!G225</f>
        <v>7954.486210983775</v>
      </c>
      <c r="H230" s="157">
        <f>'график анн Базова'!O225</f>
        <v>0</v>
      </c>
      <c r="I230" s="157" t="str">
        <f>'график анн Базова'!M225</f>
        <v/>
      </c>
      <c r="J230" s="201" t="str">
        <f>'график анн Базова'!N225</f>
        <v/>
      </c>
      <c r="K230" s="157" t="str">
        <f>'график анн Базова'!I225</f>
        <v/>
      </c>
      <c r="L230" s="157" t="str">
        <f>'график анн Базова'!J225</f>
        <v/>
      </c>
      <c r="M230" s="157">
        <f>'график анн Базова'!K225</f>
        <v>0</v>
      </c>
      <c r="N230" s="157" t="str">
        <f>'график анн Базова'!L225</f>
        <v/>
      </c>
      <c r="O230" s="51" t="str">
        <f>'график анн Базова'!P225</f>
        <v/>
      </c>
      <c r="P230" s="147" t="str">
        <f>'график анн Базова'!Q225</f>
        <v/>
      </c>
    </row>
    <row r="231" spans="1:16" x14ac:dyDescent="0.35">
      <c r="A231" s="154">
        <f>'график анн Базова'!A226</f>
        <v>202</v>
      </c>
      <c r="B231" s="155">
        <f ca="1">'график анн Базова'!C226</f>
        <v>50635</v>
      </c>
      <c r="C231" s="156">
        <f ca="1">'график анн Базова'!D226</f>
        <v>31</v>
      </c>
      <c r="D231" s="47">
        <f ca="1">'график анн Базова'!E226</f>
        <v>722105.04544270039</v>
      </c>
      <c r="E231" s="47">
        <f ca="1">'график анн Базова'!H226</f>
        <v>23232.527337695603</v>
      </c>
      <c r="F231" s="47">
        <f ca="1">'график анн Базова'!F226</f>
        <v>15179.761281566934</v>
      </c>
      <c r="G231" s="47">
        <f ca="1">'график анн Базова'!G226</f>
        <v>8052.7660561286675</v>
      </c>
      <c r="H231" s="157">
        <f>'график анн Базова'!O226</f>
        <v>0</v>
      </c>
      <c r="I231" s="157" t="str">
        <f>'график анн Базова'!M226</f>
        <v/>
      </c>
      <c r="J231" s="201" t="str">
        <f>'график анн Базова'!N226</f>
        <v/>
      </c>
      <c r="K231" s="157" t="str">
        <f>'график анн Базова'!I226</f>
        <v/>
      </c>
      <c r="L231" s="157" t="str">
        <f>'график анн Базова'!J226</f>
        <v/>
      </c>
      <c r="M231" s="157">
        <f>'график анн Базова'!K226</f>
        <v>0</v>
      </c>
      <c r="N231" s="157" t="str">
        <f>'график анн Базова'!L226</f>
        <v/>
      </c>
      <c r="O231" s="51" t="str">
        <f>'график анн Базова'!P226</f>
        <v/>
      </c>
      <c r="P231" s="147" t="str">
        <f>'график анн Базова'!Q226</f>
        <v/>
      </c>
    </row>
    <row r="232" spans="1:16" x14ac:dyDescent="0.35">
      <c r="A232" s="154">
        <f>'график анн Базова'!A227</f>
        <v>203</v>
      </c>
      <c r="B232" s="155">
        <f ca="1">'график анн Базова'!C227</f>
        <v>50666</v>
      </c>
      <c r="C232" s="156">
        <f ca="1">'график анн Базова'!D227</f>
        <v>31</v>
      </c>
      <c r="D232" s="47">
        <f ca="1">'график анн Базова'!E227</f>
        <v>706759.48789722903</v>
      </c>
      <c r="E232" s="47">
        <f ca="1">'график анн Базова'!H227</f>
        <v>23232.527337695603</v>
      </c>
      <c r="F232" s="47">
        <f ca="1">'график анн Базова'!F227</f>
        <v>15345.557545471303</v>
      </c>
      <c r="G232" s="47">
        <f ca="1">'график анн Базова'!G227</f>
        <v>7886.9697922242995</v>
      </c>
      <c r="H232" s="157">
        <f>'график анн Базова'!O227</f>
        <v>0</v>
      </c>
      <c r="I232" s="157" t="str">
        <f>'график анн Базова'!M227</f>
        <v/>
      </c>
      <c r="J232" s="201" t="str">
        <f>'график анн Базова'!N227</f>
        <v/>
      </c>
      <c r="K232" s="157" t="str">
        <f>'график анн Базова'!I227</f>
        <v/>
      </c>
      <c r="L232" s="157" t="str">
        <f>'график анн Базова'!J227</f>
        <v/>
      </c>
      <c r="M232" s="157">
        <f>'график анн Базова'!K227</f>
        <v>0</v>
      </c>
      <c r="N232" s="157" t="str">
        <f>'график анн Базова'!L227</f>
        <v/>
      </c>
      <c r="O232" s="51" t="str">
        <f>'график анн Базова'!P227</f>
        <v/>
      </c>
      <c r="P232" s="147" t="str">
        <f>'график анн Базова'!Q227</f>
        <v/>
      </c>
    </row>
    <row r="233" spans="1:16" x14ac:dyDescent="0.35">
      <c r="A233" s="154">
        <f>'график анн Базова'!A228</f>
        <v>204</v>
      </c>
      <c r="B233" s="155">
        <f ca="1">'график анн Базова'!C228</f>
        <v>50696</v>
      </c>
      <c r="C233" s="156">
        <f ca="1">'график анн Базова'!D228</f>
        <v>30</v>
      </c>
      <c r="D233" s="47">
        <f ca="1">'график анн Базова'!E228</f>
        <v>690997.31153023895</v>
      </c>
      <c r="E233" s="47">
        <f ca="1">'график анн Базова'!H228</f>
        <v>23232.527337695603</v>
      </c>
      <c r="F233" s="47">
        <f ca="1">'график анн Базова'!F228</f>
        <v>15762.176366990097</v>
      </c>
      <c r="G233" s="47">
        <f ca="1">'график анн Базова'!G228</f>
        <v>7470.3509707055055</v>
      </c>
      <c r="H233" s="157">
        <f>'график анн Базова'!O228</f>
        <v>0</v>
      </c>
      <c r="I233" s="157" t="str">
        <f>'график анн Базова'!M228</f>
        <v/>
      </c>
      <c r="J233" s="201" t="str">
        <f>'график анн Базова'!N228</f>
        <v/>
      </c>
      <c r="K233" s="157" t="str">
        <f>'график анн Базова'!I228</f>
        <v/>
      </c>
      <c r="L233" s="157" t="str">
        <f>'график анн Базова'!J228</f>
        <v/>
      </c>
      <c r="M233" s="157">
        <f>'график анн Базова'!K228</f>
        <v>0</v>
      </c>
      <c r="N233" s="157" t="str">
        <f>'график анн Базова'!L228</f>
        <v/>
      </c>
      <c r="O233" s="51" t="str">
        <f>'график анн Базова'!P228</f>
        <v/>
      </c>
      <c r="P233" s="147" t="str">
        <f>'график анн Базова'!Q228</f>
        <v/>
      </c>
    </row>
    <row r="234" spans="1:16" x14ac:dyDescent="0.35">
      <c r="A234" s="154">
        <f>'график анн Базова'!A229</f>
        <v>205</v>
      </c>
      <c r="B234" s="155">
        <f ca="1">'график анн Базова'!C229</f>
        <v>50727</v>
      </c>
      <c r="C234" s="156">
        <f ca="1">'график анн Базова'!D229</f>
        <v>31</v>
      </c>
      <c r="D234" s="47">
        <f ca="1">'график анн Базова'!E229</f>
        <v>675311.989349109</v>
      </c>
      <c r="E234" s="47">
        <f ca="1">'график анн Базова'!H229</f>
        <v>23232.527337695603</v>
      </c>
      <c r="F234" s="47">
        <f ca="1">'график анн Базова'!F229</f>
        <v>15685.322181129985</v>
      </c>
      <c r="G234" s="47">
        <f ca="1">'график анн Базова'!G229</f>
        <v>7547.2051565656175</v>
      </c>
      <c r="H234" s="157">
        <f>'график анн Базова'!O229</f>
        <v>0</v>
      </c>
      <c r="I234" s="157" t="str">
        <f>'график анн Базова'!M229</f>
        <v/>
      </c>
      <c r="J234" s="201">
        <f>'график анн Базова'!N229</f>
        <v>0</v>
      </c>
      <c r="K234" s="157" t="str">
        <f>'график анн Базова'!I229</f>
        <v/>
      </c>
      <c r="L234" s="157" t="str">
        <f>'график анн Базова'!J229</f>
        <v/>
      </c>
      <c r="M234" s="201">
        <f>'график анн Базова'!K229</f>
        <v>7500</v>
      </c>
      <c r="N234" s="157" t="str">
        <f>'график анн Базова'!L229</f>
        <v/>
      </c>
      <c r="O234" s="51" t="str">
        <f>'график анн Базова'!P229</f>
        <v/>
      </c>
      <c r="P234" s="147" t="str">
        <f>'график анн Базова'!Q229</f>
        <v/>
      </c>
    </row>
    <row r="235" spans="1:16" x14ac:dyDescent="0.35">
      <c r="A235" s="154">
        <f>'график анн Базова'!A230</f>
        <v>206</v>
      </c>
      <c r="B235" s="155">
        <f ca="1">'график анн Базова'!C230</f>
        <v>50757</v>
      </c>
      <c r="C235" s="156">
        <f ca="1">'график анн Базова'!D230</f>
        <v>30</v>
      </c>
      <c r="D235" s="47">
        <f ca="1">'график анн Базова'!E230</f>
        <v>659217.41723034182</v>
      </c>
      <c r="E235" s="47">
        <f ca="1">'график анн Базова'!H230</f>
        <v>23232.527337695603</v>
      </c>
      <c r="F235" s="47">
        <f ca="1">'график анн Базова'!F230</f>
        <v>16094.572118767213</v>
      </c>
      <c r="G235" s="47">
        <f ca="1">'график анн Базова'!G230</f>
        <v>7137.9552189283904</v>
      </c>
      <c r="H235" s="157">
        <f>'график анн Базова'!O230</f>
        <v>0</v>
      </c>
      <c r="I235" s="157" t="str">
        <f>'график анн Базова'!M230</f>
        <v/>
      </c>
      <c r="J235" s="201" t="str">
        <f>'график анн Базова'!N230</f>
        <v/>
      </c>
      <c r="K235" s="157" t="str">
        <f>'график анн Базова'!I230</f>
        <v/>
      </c>
      <c r="L235" s="157" t="str">
        <f>'график анн Базова'!J230</f>
        <v/>
      </c>
      <c r="M235" s="157">
        <f>'график анн Базова'!K230</f>
        <v>0</v>
      </c>
      <c r="N235" s="157" t="str">
        <f>'график анн Базова'!L230</f>
        <v/>
      </c>
      <c r="O235" s="51" t="str">
        <f>'график анн Базова'!P230</f>
        <v/>
      </c>
      <c r="P235" s="147" t="str">
        <f>'график анн Базова'!Q230</f>
        <v/>
      </c>
    </row>
    <row r="236" spans="1:16" x14ac:dyDescent="0.35">
      <c r="A236" s="154">
        <f>'график анн Базова'!A231</f>
        <v>207</v>
      </c>
      <c r="B236" s="155">
        <f ca="1">'график анн Базова'!C231</f>
        <v>50788</v>
      </c>
      <c r="C236" s="156">
        <f ca="1">'график анн Базова'!D231</f>
        <v>31</v>
      </c>
      <c r="D236" s="47">
        <f ca="1">'график анн Базова'!E231</f>
        <v>643184.98894889408</v>
      </c>
      <c r="E236" s="47">
        <f ca="1">'график анн Базова'!H231</f>
        <v>23232.527337695603</v>
      </c>
      <c r="F236" s="47">
        <f ca="1">'график анн Базова'!F231</f>
        <v>16032.428281447712</v>
      </c>
      <c r="G236" s="47">
        <f ca="1">'график анн Базова'!G231</f>
        <v>7200.0990562478919</v>
      </c>
      <c r="H236" s="157">
        <f>'график анн Базова'!O231</f>
        <v>0</v>
      </c>
      <c r="I236" s="157" t="str">
        <f>'график анн Базова'!M231</f>
        <v/>
      </c>
      <c r="J236" s="201" t="str">
        <f>'график анн Базова'!N231</f>
        <v/>
      </c>
      <c r="K236" s="157" t="str">
        <f>'график анн Базова'!I231</f>
        <v/>
      </c>
      <c r="L236" s="157" t="str">
        <f>'график анн Базова'!J231</f>
        <v/>
      </c>
      <c r="M236" s="157">
        <f>'график анн Базова'!K231</f>
        <v>0</v>
      </c>
      <c r="N236" s="157" t="str">
        <f>'график анн Базова'!L231</f>
        <v/>
      </c>
      <c r="O236" s="51" t="str">
        <f>'график анн Базова'!P231</f>
        <v/>
      </c>
      <c r="P236" s="147" t="str">
        <f>'график анн Базова'!Q231</f>
        <v/>
      </c>
    </row>
    <row r="237" spans="1:16" x14ac:dyDescent="0.35">
      <c r="A237" s="154">
        <f>'график анн Базова'!A232</f>
        <v>208</v>
      </c>
      <c r="B237" s="155">
        <f ca="1">'график анн Базова'!C232</f>
        <v>50819</v>
      </c>
      <c r="C237" s="156">
        <f ca="1">'график анн Базова'!D232</f>
        <v>31</v>
      </c>
      <c r="D237" s="47">
        <f ca="1">'график анн Базова'!E232</f>
        <v>626977.45141104411</v>
      </c>
      <c r="E237" s="47">
        <f ca="1">'график анн Базова'!H232</f>
        <v>23232.527337695603</v>
      </c>
      <c r="F237" s="47">
        <f ca="1">'график анн Базова'!F232</f>
        <v>16207.537537849956</v>
      </c>
      <c r="G237" s="47">
        <f ca="1">'график анн Базова'!G232</f>
        <v>7024.9897998456472</v>
      </c>
      <c r="H237" s="157">
        <f>'график анн Базова'!O232</f>
        <v>0</v>
      </c>
      <c r="I237" s="157" t="str">
        <f>'график анн Базова'!M232</f>
        <v/>
      </c>
      <c r="J237" s="201" t="str">
        <f>'график анн Базова'!N232</f>
        <v/>
      </c>
      <c r="K237" s="157" t="str">
        <f>'график анн Базова'!I232</f>
        <v/>
      </c>
      <c r="L237" s="157" t="str">
        <f>'график анн Базова'!J232</f>
        <v/>
      </c>
      <c r="M237" s="157">
        <f>'график анн Базова'!K232</f>
        <v>0</v>
      </c>
      <c r="N237" s="157" t="str">
        <f>'график анн Базова'!L232</f>
        <v/>
      </c>
      <c r="O237" s="51" t="str">
        <f>'график анн Базова'!P232</f>
        <v/>
      </c>
      <c r="P237" s="147" t="str">
        <f>'график анн Базова'!Q232</f>
        <v/>
      </c>
    </row>
    <row r="238" spans="1:16" x14ac:dyDescent="0.35">
      <c r="A238" s="154">
        <f>'график анн Базова'!A233</f>
        <v>209</v>
      </c>
      <c r="B238" s="155">
        <f ca="1">'график анн Базова'!C233</f>
        <v>50847</v>
      </c>
      <c r="C238" s="156">
        <f ca="1">'график анн Базова'!D233</f>
        <v>28</v>
      </c>
      <c r="D238" s="47">
        <f ca="1">'график анн Базова'!E233</f>
        <v>609930.1854625016</v>
      </c>
      <c r="E238" s="47">
        <f ca="1">'график анн Базова'!H233</f>
        <v>23232.527337695603</v>
      </c>
      <c r="F238" s="47">
        <f ca="1">'график анн Базова'!F233</f>
        <v>17047.265948542488</v>
      </c>
      <c r="G238" s="47">
        <f ca="1">'график анн Базова'!G233</f>
        <v>6185.2613891531164</v>
      </c>
      <c r="H238" s="157">
        <f>'график анн Базова'!O233</f>
        <v>0</v>
      </c>
      <c r="I238" s="157" t="str">
        <f>'график анн Базова'!M233</f>
        <v/>
      </c>
      <c r="J238" s="201" t="str">
        <f>'график анн Базова'!N233</f>
        <v/>
      </c>
      <c r="K238" s="157" t="str">
        <f>'график анн Базова'!I233</f>
        <v/>
      </c>
      <c r="L238" s="157" t="str">
        <f>'график анн Базова'!J233</f>
        <v/>
      </c>
      <c r="M238" s="157">
        <f>'график анн Базова'!K233</f>
        <v>0</v>
      </c>
      <c r="N238" s="157" t="str">
        <f>'график анн Базова'!L233</f>
        <v/>
      </c>
      <c r="O238" s="51" t="str">
        <f>'график анн Базова'!P233</f>
        <v/>
      </c>
      <c r="P238" s="147" t="str">
        <f>'график анн Базова'!Q233</f>
        <v/>
      </c>
    </row>
    <row r="239" spans="1:16" x14ac:dyDescent="0.35">
      <c r="A239" s="154">
        <f>'график анн Базова'!A234</f>
        <v>210</v>
      </c>
      <c r="B239" s="155">
        <f ca="1">'график анн Базова'!C234</f>
        <v>50878</v>
      </c>
      <c r="C239" s="156">
        <f ca="1">'график анн Базова'!D234</f>
        <v>31</v>
      </c>
      <c r="D239" s="47">
        <f ca="1">'график анн Базова'!E234</f>
        <v>593359.43258333975</v>
      </c>
      <c r="E239" s="47">
        <f ca="1">'график анн Базова'!H234</f>
        <v>23232.527337695603</v>
      </c>
      <c r="F239" s="47">
        <f ca="1">'график анн Базова'!F234</f>
        <v>16570.752879161879</v>
      </c>
      <c r="G239" s="47">
        <f ca="1">'график анн Базова'!G234</f>
        <v>6661.7744585337232</v>
      </c>
      <c r="H239" s="157">
        <f>'график анн Базова'!O234</f>
        <v>0</v>
      </c>
      <c r="I239" s="157" t="str">
        <f>'график анн Базова'!M234</f>
        <v/>
      </c>
      <c r="J239" s="201" t="str">
        <f>'график анн Базова'!N234</f>
        <v/>
      </c>
      <c r="K239" s="157" t="str">
        <f>'график анн Базова'!I234</f>
        <v/>
      </c>
      <c r="L239" s="157" t="str">
        <f>'график анн Базова'!J234</f>
        <v/>
      </c>
      <c r="M239" s="157">
        <f>'график анн Базова'!K234</f>
        <v>0</v>
      </c>
      <c r="N239" s="157" t="str">
        <f>'график анн Базова'!L234</f>
        <v/>
      </c>
      <c r="O239" s="51" t="str">
        <f>'график анн Базова'!P234</f>
        <v/>
      </c>
      <c r="P239" s="147" t="str">
        <f>'график анн Базова'!Q234</f>
        <v/>
      </c>
    </row>
    <row r="240" spans="1:16" x14ac:dyDescent="0.35">
      <c r="A240" s="154">
        <f>'график анн Базова'!A235</f>
        <v>211</v>
      </c>
      <c r="B240" s="155">
        <f ca="1">'график анн Базова'!C235</f>
        <v>50908</v>
      </c>
      <c r="C240" s="156">
        <f ca="1">'график анн Базова'!D235</f>
        <v>30</v>
      </c>
      <c r="D240" s="47">
        <f ca="1">'график анн Базова'!E235</f>
        <v>576398.63316593599</v>
      </c>
      <c r="E240" s="47">
        <f ca="1">'график анн Базова'!H235</f>
        <v>23232.527337695603</v>
      </c>
      <c r="F240" s="47">
        <f ca="1">'график анн Базова'!F235</f>
        <v>16960.799417403756</v>
      </c>
      <c r="G240" s="47">
        <f ca="1">'график анн Базова'!G235</f>
        <v>6271.727920291848</v>
      </c>
      <c r="H240" s="157">
        <f>'график анн Базова'!O235</f>
        <v>0</v>
      </c>
      <c r="I240" s="157" t="str">
        <f>'график анн Базова'!M235</f>
        <v/>
      </c>
      <c r="J240" s="201" t="str">
        <f>'график анн Базова'!N235</f>
        <v/>
      </c>
      <c r="K240" s="157" t="str">
        <f>'график анн Базова'!I235</f>
        <v/>
      </c>
      <c r="L240" s="157" t="str">
        <f>'график анн Базова'!J235</f>
        <v/>
      </c>
      <c r="M240" s="157">
        <f>'график анн Базова'!K235</f>
        <v>0</v>
      </c>
      <c r="N240" s="157" t="str">
        <f>'график анн Базова'!L235</f>
        <v/>
      </c>
      <c r="O240" s="51" t="str">
        <f>'график анн Базова'!P235</f>
        <v/>
      </c>
      <c r="P240" s="147" t="str">
        <f>'график анн Базова'!Q235</f>
        <v/>
      </c>
    </row>
    <row r="241" spans="1:16" x14ac:dyDescent="0.35">
      <c r="A241" s="154">
        <f>'график анн Базова'!A236</f>
        <v>212</v>
      </c>
      <c r="B241" s="155">
        <f ca="1">'график анн Базова'!C236</f>
        <v>50939</v>
      </c>
      <c r="C241" s="156">
        <f ca="1">'график анн Базова'!D236</f>
        <v>31</v>
      </c>
      <c r="D241" s="47">
        <f ca="1">'график анн Базова'!E236</f>
        <v>559461.64224188239</v>
      </c>
      <c r="E241" s="47">
        <f ca="1">'график анн Базова'!H236</f>
        <v>23232.527337695603</v>
      </c>
      <c r="F241" s="47">
        <f ca="1">'график анн Базова'!F236</f>
        <v>16936.990924053629</v>
      </c>
      <c r="G241" s="47">
        <f ca="1">'график анн Базова'!G236</f>
        <v>6295.536413641973</v>
      </c>
      <c r="H241" s="157">
        <f>'график анн Базова'!O236</f>
        <v>0</v>
      </c>
      <c r="I241" s="157" t="str">
        <f>'график анн Базова'!M236</f>
        <v/>
      </c>
      <c r="J241" s="201" t="str">
        <f>'график анн Базова'!N236</f>
        <v/>
      </c>
      <c r="K241" s="157" t="str">
        <f>'график анн Базова'!I236</f>
        <v/>
      </c>
      <c r="L241" s="157" t="str">
        <f>'график анн Базова'!J236</f>
        <v/>
      </c>
      <c r="M241" s="157">
        <f>'график анн Базова'!K236</f>
        <v>0</v>
      </c>
      <c r="N241" s="157" t="str">
        <f>'график анн Базова'!L236</f>
        <v/>
      </c>
      <c r="O241" s="51" t="str">
        <f>'график анн Базова'!P236</f>
        <v/>
      </c>
      <c r="P241" s="147" t="str">
        <f>'график анн Базова'!Q236</f>
        <v/>
      </c>
    </row>
    <row r="242" spans="1:16" x14ac:dyDescent="0.35">
      <c r="A242" s="154">
        <f>'график анн Базова'!A237</f>
        <v>213</v>
      </c>
      <c r="B242" s="155">
        <f ca="1">'график анн Базова'!C237</f>
        <v>50969</v>
      </c>
      <c r="C242" s="156">
        <f ca="1">'график анн Базова'!D237</f>
        <v>30</v>
      </c>
      <c r="D242" s="47">
        <f ca="1">'график анн Базова'!E237</f>
        <v>542142.54782410234</v>
      </c>
      <c r="E242" s="47">
        <f ca="1">'график анн Базова'!H237</f>
        <v>23232.527337695603</v>
      </c>
      <c r="F242" s="47">
        <f ca="1">'график анн Базова'!F237</f>
        <v>17319.094417780034</v>
      </c>
      <c r="G242" s="47">
        <f ca="1">'график анн Базова'!G237</f>
        <v>5913.4329199155682</v>
      </c>
      <c r="H242" s="157">
        <f>'график анн Базова'!O237</f>
        <v>0</v>
      </c>
      <c r="I242" s="157" t="str">
        <f>'график анн Базова'!M237</f>
        <v/>
      </c>
      <c r="J242" s="201" t="str">
        <f>'график анн Базова'!N237</f>
        <v/>
      </c>
      <c r="K242" s="157" t="str">
        <f>'график анн Базова'!I237</f>
        <v/>
      </c>
      <c r="L242" s="157" t="str">
        <f>'график анн Базова'!J237</f>
        <v/>
      </c>
      <c r="M242" s="157">
        <f>'график анн Базова'!K237</f>
        <v>0</v>
      </c>
      <c r="N242" s="157" t="str">
        <f>'график анн Базова'!L237</f>
        <v/>
      </c>
      <c r="O242" s="51" t="str">
        <f>'график анн Базова'!P237</f>
        <v/>
      </c>
      <c r="P242" s="147" t="str">
        <f>'график анн Базова'!Q237</f>
        <v/>
      </c>
    </row>
    <row r="243" spans="1:16" x14ac:dyDescent="0.35">
      <c r="A243" s="154">
        <f>'график анн Базова'!A238</f>
        <v>214</v>
      </c>
      <c r="B243" s="155">
        <f ca="1">'график анн Базова'!C238</f>
        <v>51000</v>
      </c>
      <c r="C243" s="156">
        <f ca="1">'график анн Базова'!D238</f>
        <v>31</v>
      </c>
      <c r="D243" s="47">
        <f ca="1">'график анн Базова'!E238</f>
        <v>524831.40536628501</v>
      </c>
      <c r="E243" s="47">
        <f ca="1">'график анн Базова'!H238</f>
        <v>23232.527337695603</v>
      </c>
      <c r="F243" s="47">
        <f ca="1">'график анн Базова'!F238</f>
        <v>17311.142457817339</v>
      </c>
      <c r="G243" s="47">
        <f ca="1">'график анн Базова'!G238</f>
        <v>5921.3848798782628</v>
      </c>
      <c r="H243" s="157">
        <f>'график анн Базова'!O238</f>
        <v>0</v>
      </c>
      <c r="I243" s="157" t="str">
        <f>'график анн Базова'!M238</f>
        <v/>
      </c>
      <c r="J243" s="201" t="str">
        <f>'график анн Базова'!N238</f>
        <v/>
      </c>
      <c r="K243" s="157" t="str">
        <f>'график анн Базова'!I238</f>
        <v/>
      </c>
      <c r="L243" s="157" t="str">
        <f>'график анн Базова'!J238</f>
        <v/>
      </c>
      <c r="M243" s="157">
        <f>'график анн Базова'!K238</f>
        <v>0</v>
      </c>
      <c r="N243" s="157" t="str">
        <f>'график анн Базова'!L238</f>
        <v/>
      </c>
      <c r="O243" s="51" t="str">
        <f>'график анн Базова'!P238</f>
        <v/>
      </c>
      <c r="P243" s="147" t="str">
        <f>'график анн Базова'!Q238</f>
        <v/>
      </c>
    </row>
    <row r="244" spans="1:16" x14ac:dyDescent="0.35">
      <c r="A244" s="154">
        <f>'график анн Базова'!A239</f>
        <v>215</v>
      </c>
      <c r="B244" s="155">
        <f ca="1">'график анн Базова'!C239</f>
        <v>51031</v>
      </c>
      <c r="C244" s="156">
        <f ca="1">'график анн Базова'!D239</f>
        <v>31</v>
      </c>
      <c r="D244" s="47">
        <f ca="1">'график анн Базова'!E239</f>
        <v>507331.18729059823</v>
      </c>
      <c r="E244" s="47">
        <f ca="1">'график анн Базова'!H239</f>
        <v>23232.527337695603</v>
      </c>
      <c r="F244" s="47">
        <f ca="1">'график анн Базова'!F239</f>
        <v>17500.218075686749</v>
      </c>
      <c r="G244" s="47">
        <f ca="1">'график анн Базова'!G239</f>
        <v>5732.3092620088537</v>
      </c>
      <c r="H244" s="157">
        <f>'график анн Базова'!O239</f>
        <v>0</v>
      </c>
      <c r="I244" s="157" t="str">
        <f>'график анн Базова'!M239</f>
        <v/>
      </c>
      <c r="J244" s="201" t="str">
        <f>'график анн Базова'!N239</f>
        <v/>
      </c>
      <c r="K244" s="157" t="str">
        <f>'график анн Базова'!I239</f>
        <v/>
      </c>
      <c r="L244" s="157" t="str">
        <f>'график анн Базова'!J239</f>
        <v/>
      </c>
      <c r="M244" s="157">
        <f>'график анн Базова'!K239</f>
        <v>0</v>
      </c>
      <c r="N244" s="157" t="str">
        <f>'график анн Базова'!L239</f>
        <v/>
      </c>
      <c r="O244" s="51" t="str">
        <f>'график анн Базова'!P239</f>
        <v/>
      </c>
      <c r="P244" s="147" t="str">
        <f>'график анн Базова'!Q239</f>
        <v/>
      </c>
    </row>
    <row r="245" spans="1:16" x14ac:dyDescent="0.35">
      <c r="A245" s="154">
        <f>'график анн Базова'!A240</f>
        <v>216</v>
      </c>
      <c r="B245" s="155">
        <f ca="1">'график анн Базова'!C240</f>
        <v>51061</v>
      </c>
      <c r="C245" s="156">
        <f ca="1">'график анн Базова'!D240</f>
        <v>30</v>
      </c>
      <c r="D245" s="47">
        <f ca="1">'график анн Базова'!E240</f>
        <v>489461.08110514132</v>
      </c>
      <c r="E245" s="47">
        <f ca="1">'график анн Базова'!H240</f>
        <v>23232.527337695603</v>
      </c>
      <c r="F245" s="47">
        <f ca="1">'график анн Базова'!F240</f>
        <v>17870.106185456898</v>
      </c>
      <c r="G245" s="47">
        <f ca="1">'график анн Базова'!G240</f>
        <v>5362.4211522387059</v>
      </c>
      <c r="H245" s="157">
        <f>'график анн Базова'!O240</f>
        <v>0</v>
      </c>
      <c r="I245" s="157" t="str">
        <f>'график анн Базова'!M240</f>
        <v/>
      </c>
      <c r="J245" s="201" t="str">
        <f>'график анн Базова'!N240</f>
        <v/>
      </c>
      <c r="K245" s="157" t="str">
        <f>'график анн Базова'!I240</f>
        <v/>
      </c>
      <c r="L245" s="157" t="str">
        <f>'график анн Базова'!J240</f>
        <v/>
      </c>
      <c r="M245" s="157">
        <f>'график анн Базова'!K240</f>
        <v>0</v>
      </c>
      <c r="N245" s="157" t="str">
        <f>'график анн Базова'!L240</f>
        <v/>
      </c>
      <c r="O245" s="51" t="str">
        <f>'график анн Базова'!P240</f>
        <v/>
      </c>
      <c r="P245" s="147" t="str">
        <f>'график анн Базова'!Q240</f>
        <v/>
      </c>
    </row>
    <row r="246" spans="1:16" x14ac:dyDescent="0.35">
      <c r="A246" s="154">
        <f>'график анн Базова'!A241</f>
        <v>217</v>
      </c>
      <c r="B246" s="155">
        <f ca="1">'график анн Базова'!C241</f>
        <v>51092</v>
      </c>
      <c r="C246" s="156">
        <f ca="1">'график анн Базова'!D241</f>
        <v>31</v>
      </c>
      <c r="D246" s="47">
        <f ca="1">'график анн Базова'!E241</f>
        <v>471574.54156452452</v>
      </c>
      <c r="E246" s="47">
        <f ca="1">'график анн Базова'!H241</f>
        <v>23232.527337695603</v>
      </c>
      <c r="F246" s="47">
        <f ca="1">'график анн Базова'!F241</f>
        <v>17886.539540616817</v>
      </c>
      <c r="G246" s="47">
        <f ca="1">'график анн Базова'!G241</f>
        <v>5345.9877970787848</v>
      </c>
      <c r="H246" s="157">
        <f>'график анн Базова'!O241</f>
        <v>0</v>
      </c>
      <c r="I246" s="157" t="str">
        <f>'график анн Базова'!M241</f>
        <v/>
      </c>
      <c r="J246" s="201">
        <f>'график анн Базова'!N241</f>
        <v>0</v>
      </c>
      <c r="K246" s="157" t="str">
        <f>'график анн Базова'!I241</f>
        <v/>
      </c>
      <c r="L246" s="157" t="str">
        <f>'график анн Базова'!J241</f>
        <v/>
      </c>
      <c r="M246" s="201">
        <f>'график анн Базова'!K241</f>
        <v>7500</v>
      </c>
      <c r="N246" s="157" t="str">
        <f>'график анн Базова'!L241</f>
        <v/>
      </c>
      <c r="O246" s="51" t="str">
        <f>'график анн Базова'!P241</f>
        <v/>
      </c>
      <c r="P246" s="147" t="str">
        <f>'график анн Базова'!Q241</f>
        <v/>
      </c>
    </row>
    <row r="247" spans="1:16" x14ac:dyDescent="0.35">
      <c r="A247" s="154">
        <f>'график анн Базова'!A242</f>
        <v>218</v>
      </c>
      <c r="B247" s="155">
        <f ca="1">'график анн Базова'!C242</f>
        <v>51122</v>
      </c>
      <c r="C247" s="156">
        <f ca="1">'график анн Базова'!D242</f>
        <v>30</v>
      </c>
      <c r="D247" s="47">
        <f ca="1">'график анн Базова'!E242</f>
        <v>453326.49253191368</v>
      </c>
      <c r="E247" s="47">
        <f ca="1">'график анн Базова'!H242</f>
        <v>23232.527337695603</v>
      </c>
      <c r="F247" s="47">
        <f ca="1">'график анн Базова'!F242</f>
        <v>18248.049032610848</v>
      </c>
      <c r="G247" s="47">
        <f ca="1">'график анн Базова'!G242</f>
        <v>4984.4783050847554</v>
      </c>
      <c r="H247" s="157">
        <f>'график анн Базова'!O242</f>
        <v>0</v>
      </c>
      <c r="I247" s="157" t="str">
        <f>'график анн Базова'!M242</f>
        <v/>
      </c>
      <c r="J247" s="201" t="str">
        <f>'график анн Базова'!N242</f>
        <v/>
      </c>
      <c r="K247" s="157" t="str">
        <f>'график анн Базова'!I242</f>
        <v/>
      </c>
      <c r="L247" s="157" t="str">
        <f>'график анн Базова'!J242</f>
        <v/>
      </c>
      <c r="M247" s="157">
        <f>'график анн Базова'!K242</f>
        <v>0</v>
      </c>
      <c r="N247" s="157" t="str">
        <f>'график анн Базова'!L242</f>
        <v/>
      </c>
      <c r="O247" s="51" t="str">
        <f>'график анн Базова'!P242</f>
        <v/>
      </c>
      <c r="P247" s="147" t="str">
        <f>'график анн Базова'!Q242</f>
        <v/>
      </c>
    </row>
    <row r="248" spans="1:16" x14ac:dyDescent="0.35">
      <c r="A248" s="154">
        <f>'график анн Базова'!A243</f>
        <v>219</v>
      </c>
      <c r="B248" s="155">
        <f ca="1">'график анн Базова'!C243</f>
        <v>51153</v>
      </c>
      <c r="C248" s="156">
        <f ca="1">'график анн Базова'!D243</f>
        <v>31</v>
      </c>
      <c r="D248" s="47">
        <f ca="1">'график анн Базова'!E243</f>
        <v>435045.28408497898</v>
      </c>
      <c r="E248" s="47">
        <f ca="1">'график анн Базова'!H243</f>
        <v>23232.527337695603</v>
      </c>
      <c r="F248" s="47">
        <f ca="1">'график анн Базова'!F243</f>
        <v>18281.208446934706</v>
      </c>
      <c r="G248" s="47">
        <f ca="1">'график анн Базова'!G243</f>
        <v>4951.3188907608956</v>
      </c>
      <c r="H248" s="157">
        <f>'график анн Базова'!O243</f>
        <v>0</v>
      </c>
      <c r="I248" s="157" t="str">
        <f>'график анн Базова'!M243</f>
        <v/>
      </c>
      <c r="J248" s="201" t="str">
        <f>'график анн Базова'!N243</f>
        <v/>
      </c>
      <c r="K248" s="157" t="str">
        <f>'график анн Базова'!I243</f>
        <v/>
      </c>
      <c r="L248" s="157" t="str">
        <f>'график анн Базова'!J243</f>
        <v/>
      </c>
      <c r="M248" s="157">
        <f>'график анн Базова'!K243</f>
        <v>0</v>
      </c>
      <c r="N248" s="157" t="str">
        <f>'график анн Базова'!L243</f>
        <v/>
      </c>
      <c r="O248" s="51" t="str">
        <f>'график анн Базова'!P243</f>
        <v/>
      </c>
      <c r="P248" s="147" t="str">
        <f>'график анн Базова'!Q243</f>
        <v/>
      </c>
    </row>
    <row r="249" spans="1:16" x14ac:dyDescent="0.35">
      <c r="A249" s="154">
        <f>'график анн Базова'!A244</f>
        <v>220</v>
      </c>
      <c r="B249" s="155">
        <f ca="1">'график анн Базова'!C244</f>
        <v>51184</v>
      </c>
      <c r="C249" s="156">
        <f ca="1">'график анн Базова'!D244</f>
        <v>31</v>
      </c>
      <c r="D249" s="47">
        <f ca="1">'график анн Базова'!E244</f>
        <v>416551.42212852155</v>
      </c>
      <c r="E249" s="47">
        <f ca="1">'график анн Базова'!H244</f>
        <v>23232.527337695603</v>
      </c>
      <c r="F249" s="47">
        <f ca="1">'график анн Базова'!F244</f>
        <v>18493.861956457415</v>
      </c>
      <c r="G249" s="47">
        <f ca="1">'график анн Базова'!G244</f>
        <v>4738.6653812381883</v>
      </c>
      <c r="H249" s="157">
        <f>'график анн Базова'!O244</f>
        <v>0</v>
      </c>
      <c r="I249" s="157" t="str">
        <f>'график анн Базова'!M244</f>
        <v/>
      </c>
      <c r="J249" s="201" t="str">
        <f>'график анн Базова'!N244</f>
        <v/>
      </c>
      <c r="K249" s="157" t="str">
        <f>'график анн Базова'!I244</f>
        <v/>
      </c>
      <c r="L249" s="157" t="str">
        <f>'график анн Базова'!J244</f>
        <v/>
      </c>
      <c r="M249" s="157">
        <f>'график анн Базова'!K244</f>
        <v>0</v>
      </c>
      <c r="N249" s="157" t="str">
        <f>'график анн Базова'!L244</f>
        <v/>
      </c>
      <c r="O249" s="51" t="str">
        <f>'график анн Базова'!P244</f>
        <v/>
      </c>
      <c r="P249" s="147" t="str">
        <f>'график анн Базова'!Q244</f>
        <v/>
      </c>
    </row>
    <row r="250" spans="1:16" x14ac:dyDescent="0.35">
      <c r="A250" s="154">
        <f>'график анн Базова'!A245</f>
        <v>221</v>
      </c>
      <c r="B250" s="155">
        <f ca="1">'график анн Базова'!C245</f>
        <v>51213</v>
      </c>
      <c r="C250" s="156">
        <f ca="1">'график анн Базова'!D245</f>
        <v>29</v>
      </c>
      <c r="D250" s="47">
        <f ca="1">'график анн Базова'!E245</f>
        <v>397563.39444570604</v>
      </c>
      <c r="E250" s="47">
        <f ca="1">'график анн Базова'!H245</f>
        <v>23232.527337695603</v>
      </c>
      <c r="F250" s="47">
        <f ca="1">'график анн Базова'!F245</f>
        <v>18988.027682815526</v>
      </c>
      <c r="G250" s="47">
        <f ca="1">'график анн Базова'!G245</f>
        <v>4244.4996548800773</v>
      </c>
      <c r="H250" s="157">
        <f>'график анн Базова'!O245</f>
        <v>0</v>
      </c>
      <c r="I250" s="157" t="str">
        <f>'график анн Базова'!M245</f>
        <v/>
      </c>
      <c r="J250" s="201" t="str">
        <f>'график анн Базова'!N245</f>
        <v/>
      </c>
      <c r="K250" s="157" t="str">
        <f>'график анн Базова'!I245</f>
        <v/>
      </c>
      <c r="L250" s="157" t="str">
        <f>'график анн Базова'!J245</f>
        <v/>
      </c>
      <c r="M250" s="157">
        <f>'график анн Базова'!K245</f>
        <v>0</v>
      </c>
      <c r="N250" s="157" t="str">
        <f>'график анн Базова'!L245</f>
        <v/>
      </c>
      <c r="O250" s="51" t="str">
        <f>'график анн Базова'!P245</f>
        <v/>
      </c>
      <c r="P250" s="147" t="str">
        <f>'график анн Базова'!Q245</f>
        <v/>
      </c>
    </row>
    <row r="251" spans="1:16" x14ac:dyDescent="0.35">
      <c r="A251" s="154">
        <f>'график анн Базова'!A246</f>
        <v>222</v>
      </c>
      <c r="B251" s="155">
        <f ca="1">'график анн Базова'!C246</f>
        <v>51244</v>
      </c>
      <c r="C251" s="156">
        <f ca="1">'график анн Базова'!D246</f>
        <v>31</v>
      </c>
      <c r="D251" s="47">
        <f ca="1">'график анн Базова'!E246</f>
        <v>378661.26663887722</v>
      </c>
      <c r="E251" s="47">
        <f ca="1">'график анн Базова'!H246</f>
        <v>23232.527337695603</v>
      </c>
      <c r="F251" s="47">
        <f ca="1">'график анн Базова'!F246</f>
        <v>18902.127806828794</v>
      </c>
      <c r="G251" s="47">
        <f ca="1">'график анн Базова'!G246</f>
        <v>4330.3995308668073</v>
      </c>
      <c r="H251" s="157">
        <f>'график анн Базова'!O246</f>
        <v>0</v>
      </c>
      <c r="I251" s="157" t="str">
        <f>'график анн Базова'!M246</f>
        <v/>
      </c>
      <c r="J251" s="201" t="str">
        <f>'график анн Базова'!N246</f>
        <v/>
      </c>
      <c r="K251" s="157" t="str">
        <f>'график анн Базова'!I246</f>
        <v/>
      </c>
      <c r="L251" s="157" t="str">
        <f>'график анн Базова'!J246</f>
        <v/>
      </c>
      <c r="M251" s="157">
        <f>'график анн Базова'!K246</f>
        <v>0</v>
      </c>
      <c r="N251" s="157" t="str">
        <f>'график анн Базова'!L246</f>
        <v/>
      </c>
      <c r="O251" s="51" t="str">
        <f>'график анн Базова'!P246</f>
        <v/>
      </c>
      <c r="P251" s="147" t="str">
        <f>'график анн Базова'!Q246</f>
        <v/>
      </c>
    </row>
    <row r="252" spans="1:16" x14ac:dyDescent="0.35">
      <c r="A252" s="154">
        <f>'график анн Базова'!A247</f>
        <v>223</v>
      </c>
      <c r="B252" s="155">
        <f ca="1">'график анн Базова'!C247</f>
        <v>51274</v>
      </c>
      <c r="C252" s="156">
        <f ca="1">'график анн Базова'!D247</f>
        <v>30</v>
      </c>
      <c r="D252" s="47">
        <f ca="1">'график анн Базова'!E247</f>
        <v>359420.20150526025</v>
      </c>
      <c r="E252" s="47">
        <f ca="1">'график анн Базова'!H247</f>
        <v>23232.527337695603</v>
      </c>
      <c r="F252" s="47">
        <f ca="1">'график анн Базова'!F247</f>
        <v>19241.065133616947</v>
      </c>
      <c r="G252" s="47">
        <f ca="1">'график анн Базова'!G247</f>
        <v>3991.4622040786562</v>
      </c>
      <c r="H252" s="157">
        <f>'график анн Базова'!O247</f>
        <v>0</v>
      </c>
      <c r="I252" s="157" t="str">
        <f>'график анн Базова'!M247</f>
        <v/>
      </c>
      <c r="J252" s="201" t="str">
        <f>'график анн Базова'!N247</f>
        <v/>
      </c>
      <c r="K252" s="157" t="str">
        <f>'график анн Базова'!I247</f>
        <v/>
      </c>
      <c r="L252" s="157" t="str">
        <f>'график анн Базова'!J247</f>
        <v/>
      </c>
      <c r="M252" s="157">
        <f>'график анн Базова'!K247</f>
        <v>0</v>
      </c>
      <c r="N252" s="157" t="str">
        <f>'график анн Базова'!L247</f>
        <v/>
      </c>
      <c r="O252" s="51" t="str">
        <f>'график анн Базова'!P247</f>
        <v/>
      </c>
      <c r="P252" s="147" t="str">
        <f>'график анн Базова'!Q247</f>
        <v/>
      </c>
    </row>
    <row r="253" spans="1:16" x14ac:dyDescent="0.35">
      <c r="A253" s="154">
        <f>'график анн Базова'!A248</f>
        <v>224</v>
      </c>
      <c r="B253" s="155">
        <f ca="1">'график анн Базова'!C248</f>
        <v>51305</v>
      </c>
      <c r="C253" s="156">
        <f ca="1">'график анн Базова'!D248</f>
        <v>31</v>
      </c>
      <c r="D253" s="47">
        <f ca="1">'график анн Базова'!E248</f>
        <v>340102.60470122821</v>
      </c>
      <c r="E253" s="47">
        <f ca="1">'график анн Базова'!H248</f>
        <v>23232.527337695603</v>
      </c>
      <c r="F253" s="47">
        <f ca="1">'график анн Базова'!F248</f>
        <v>19317.596804032022</v>
      </c>
      <c r="G253" s="47">
        <f ca="1">'график анн Базова'!G248</f>
        <v>3914.9305336635803</v>
      </c>
      <c r="H253" s="157">
        <f>'график анн Базова'!O248</f>
        <v>0</v>
      </c>
      <c r="I253" s="157" t="str">
        <f>'график анн Базова'!M248</f>
        <v/>
      </c>
      <c r="J253" s="201" t="str">
        <f>'график анн Базова'!N248</f>
        <v/>
      </c>
      <c r="K253" s="157" t="str">
        <f>'график анн Базова'!I248</f>
        <v/>
      </c>
      <c r="L253" s="157" t="str">
        <f>'график анн Базова'!J248</f>
        <v/>
      </c>
      <c r="M253" s="157">
        <f>'график анн Базова'!K248</f>
        <v>0</v>
      </c>
      <c r="N253" s="157" t="str">
        <f>'график анн Базова'!L248</f>
        <v/>
      </c>
      <c r="O253" s="51" t="str">
        <f>'график анн Базова'!P248</f>
        <v/>
      </c>
      <c r="P253" s="147" t="str">
        <f>'график анн Базова'!Q248</f>
        <v/>
      </c>
    </row>
    <row r="254" spans="1:16" x14ac:dyDescent="0.35">
      <c r="A254" s="154">
        <f>'график анн Базова'!A249</f>
        <v>225</v>
      </c>
      <c r="B254" s="155">
        <f ca="1">'график анн Базова'!C249</f>
        <v>51335</v>
      </c>
      <c r="C254" s="156">
        <f ca="1">'график анн Базова'!D249</f>
        <v>30</v>
      </c>
      <c r="D254" s="47">
        <f ca="1">'график анн Базова'!E249</f>
        <v>320455.09334423573</v>
      </c>
      <c r="E254" s="47">
        <f ca="1">'график анн Базова'!H249</f>
        <v>23232.527337695603</v>
      </c>
      <c r="F254" s="47">
        <f ca="1">'график анн Базова'!F249</f>
        <v>19647.511356992494</v>
      </c>
      <c r="G254" s="47">
        <f ca="1">'график анн Базова'!G249</f>
        <v>3585.01598070311</v>
      </c>
      <c r="H254" s="157">
        <f>'график анн Базова'!O249</f>
        <v>0</v>
      </c>
      <c r="I254" s="157" t="str">
        <f>'график анн Базова'!M249</f>
        <v/>
      </c>
      <c r="J254" s="201" t="str">
        <f>'график анн Базова'!N249</f>
        <v/>
      </c>
      <c r="K254" s="157" t="str">
        <f>'график анн Базова'!I249</f>
        <v/>
      </c>
      <c r="L254" s="157" t="str">
        <f>'график анн Базова'!J249</f>
        <v/>
      </c>
      <c r="M254" s="157">
        <f>'график анн Базова'!K249</f>
        <v>0</v>
      </c>
      <c r="N254" s="157" t="str">
        <f>'график анн Базова'!L249</f>
        <v/>
      </c>
      <c r="O254" s="51" t="str">
        <f>'график анн Базова'!P249</f>
        <v/>
      </c>
      <c r="P254" s="147" t="str">
        <f>'график анн Базова'!Q249</f>
        <v/>
      </c>
    </row>
    <row r="255" spans="1:16" x14ac:dyDescent="0.35">
      <c r="A255" s="154">
        <f>'график анн Базова'!A250</f>
        <v>226</v>
      </c>
      <c r="B255" s="155">
        <f ca="1">'график анн Базова'!C250</f>
        <v>51366</v>
      </c>
      <c r="C255" s="156">
        <f ca="1">'график анн Базова'!D250</f>
        <v>31</v>
      </c>
      <c r="D255" s="47">
        <f ca="1">'график анн Базова'!E250</f>
        <v>300713.07495497219</v>
      </c>
      <c r="E255" s="47">
        <f ca="1">'график анн Базова'!H250</f>
        <v>23232.527337695603</v>
      </c>
      <c r="F255" s="47">
        <f ca="1">'график анн Базова'!F250</f>
        <v>19742.018389263554</v>
      </c>
      <c r="G255" s="47">
        <f ca="1">'график анн Базова'!G250</f>
        <v>3490.5089484320492</v>
      </c>
      <c r="H255" s="157">
        <f>'график анн Базова'!O250</f>
        <v>0</v>
      </c>
      <c r="I255" s="157" t="str">
        <f>'график анн Базова'!M250</f>
        <v/>
      </c>
      <c r="J255" s="201" t="str">
        <f>'график анн Базова'!N250</f>
        <v/>
      </c>
      <c r="K255" s="157" t="str">
        <f>'график анн Базова'!I250</f>
        <v/>
      </c>
      <c r="L255" s="157" t="str">
        <f>'график анн Базова'!J250</f>
        <v/>
      </c>
      <c r="M255" s="157">
        <f>'график анн Базова'!K250</f>
        <v>0</v>
      </c>
      <c r="N255" s="157" t="str">
        <f>'график анн Базова'!L250</f>
        <v/>
      </c>
      <c r="O255" s="51" t="str">
        <f>'график анн Базова'!P250</f>
        <v/>
      </c>
      <c r="P255" s="147" t="str">
        <f>'график анн Базова'!Q250</f>
        <v/>
      </c>
    </row>
    <row r="256" spans="1:16" x14ac:dyDescent="0.35">
      <c r="A256" s="154">
        <f>'график анн Базова'!A251</f>
        <v>227</v>
      </c>
      <c r="B256" s="155">
        <f ca="1">'график анн Базова'!C251</f>
        <v>51397</v>
      </c>
      <c r="C256" s="156">
        <f ca="1">'график анн Базова'!D251</f>
        <v>31</v>
      </c>
      <c r="D256" s="47">
        <f ca="1">'график анн Базова'!E251</f>
        <v>280756.01959710033</v>
      </c>
      <c r="E256" s="47">
        <f ca="1">'график анн Базова'!H251</f>
        <v>23232.527337695603</v>
      </c>
      <c r="F256" s="47">
        <f ca="1">'график анн Базова'!F251</f>
        <v>19957.055357871854</v>
      </c>
      <c r="G256" s="47">
        <f ca="1">'график анн Базова'!G251</f>
        <v>3275.4719798237493</v>
      </c>
      <c r="H256" s="157">
        <f>'график анн Базова'!O251</f>
        <v>0</v>
      </c>
      <c r="I256" s="157" t="str">
        <f>'график анн Базова'!M251</f>
        <v/>
      </c>
      <c r="J256" s="201" t="str">
        <f>'график анн Базова'!N251</f>
        <v/>
      </c>
      <c r="K256" s="157" t="str">
        <f>'график анн Базова'!I251</f>
        <v/>
      </c>
      <c r="L256" s="157" t="str">
        <f>'график анн Базова'!J251</f>
        <v/>
      </c>
      <c r="M256" s="157">
        <f>'график анн Базова'!K251</f>
        <v>0</v>
      </c>
      <c r="N256" s="157" t="str">
        <f>'график анн Базова'!L251</f>
        <v/>
      </c>
      <c r="O256" s="51" t="str">
        <f>'график анн Базова'!P251</f>
        <v/>
      </c>
      <c r="P256" s="147" t="str">
        <f>'график анн Базова'!Q251</f>
        <v/>
      </c>
    </row>
    <row r="257" spans="1:16" x14ac:dyDescent="0.35">
      <c r="A257" s="154">
        <f>'график анн Базова'!A252</f>
        <v>228</v>
      </c>
      <c r="B257" s="155">
        <f ca="1">'график анн Базова'!C252</f>
        <v>51427</v>
      </c>
      <c r="C257" s="156">
        <f ca="1">'график анн Базова'!D252</f>
        <v>30</v>
      </c>
      <c r="D257" s="47">
        <f ca="1">'график анн Базова'!E252</f>
        <v>260482.93685942006</v>
      </c>
      <c r="E257" s="47">
        <f ca="1">'график анн Базова'!H252</f>
        <v>23232.527337695603</v>
      </c>
      <c r="F257" s="47">
        <f ca="1">'график анн Базова'!F252</f>
        <v>20273.082737680266</v>
      </c>
      <c r="G257" s="47">
        <f ca="1">'график анн Базова'!G252</f>
        <v>2959.4446000153362</v>
      </c>
      <c r="H257" s="157">
        <f>'график анн Базова'!O252</f>
        <v>0</v>
      </c>
      <c r="I257" s="157" t="str">
        <f>'график анн Базова'!M252</f>
        <v/>
      </c>
      <c r="J257" s="201" t="str">
        <f>'график анн Базова'!N252</f>
        <v/>
      </c>
      <c r="K257" s="157" t="str">
        <f>'график анн Базова'!I252</f>
        <v/>
      </c>
      <c r="L257" s="157" t="str">
        <f>'график анн Базова'!J252</f>
        <v/>
      </c>
      <c r="M257" s="157">
        <f>'график анн Базова'!K252</f>
        <v>0</v>
      </c>
      <c r="N257" s="157" t="str">
        <f>'график анн Базова'!L252</f>
        <v/>
      </c>
      <c r="O257" s="51" t="str">
        <f>'график анн Базова'!P252</f>
        <v/>
      </c>
      <c r="P257" s="147" t="str">
        <f>'график анн Базова'!Q252</f>
        <v/>
      </c>
    </row>
    <row r="258" spans="1:16" x14ac:dyDescent="0.35">
      <c r="A258" s="154">
        <f>'график анн Базова'!A253</f>
        <v>229</v>
      </c>
      <c r="B258" s="155">
        <f ca="1">'график анн Базова'!C253</f>
        <v>51458</v>
      </c>
      <c r="C258" s="156">
        <f ca="1">'график анн Базова'!D253</f>
        <v>31</v>
      </c>
      <c r="D258" s="47">
        <f ca="1">'график анн Базова'!E253</f>
        <v>240087.68076785497</v>
      </c>
      <c r="E258" s="47">
        <f ca="1">'график анн Базова'!H253</f>
        <v>23232.527337695603</v>
      </c>
      <c r="F258" s="47">
        <f ca="1">'график анн Базова'!F253</f>
        <v>20395.256091565101</v>
      </c>
      <c r="G258" s="47">
        <f ca="1">'график анн Базова'!G253</f>
        <v>2837.2712461305027</v>
      </c>
      <c r="H258" s="157">
        <f>'график анн Базова'!O253</f>
        <v>0</v>
      </c>
      <c r="I258" s="157" t="str">
        <f>'график анн Базова'!M253</f>
        <v/>
      </c>
      <c r="J258" s="201">
        <f>'график анн Базова'!N253</f>
        <v>0</v>
      </c>
      <c r="K258" s="157" t="str">
        <f>'график анн Базова'!I253</f>
        <v/>
      </c>
      <c r="L258" s="157" t="str">
        <f>'график анн Базова'!J253</f>
        <v/>
      </c>
      <c r="M258" s="201">
        <f>'график анн Базова'!K253</f>
        <v>7500</v>
      </c>
      <c r="N258" s="157" t="str">
        <f>'график анн Базова'!L253</f>
        <v/>
      </c>
      <c r="O258" s="51" t="str">
        <f>'график анн Базова'!P253</f>
        <v/>
      </c>
      <c r="P258" s="147" t="str">
        <f>'график анн Базова'!Q253</f>
        <v/>
      </c>
    </row>
    <row r="259" spans="1:16" x14ac:dyDescent="0.35">
      <c r="A259" s="154">
        <f>'график анн Базова'!A254</f>
        <v>230</v>
      </c>
      <c r="B259" s="155">
        <f ca="1">'график анн Базова'!C254</f>
        <v>51488</v>
      </c>
      <c r="C259" s="156">
        <f ca="1">'график анн Базова'!D254</f>
        <v>30</v>
      </c>
      <c r="D259" s="47">
        <f ca="1">'график анн Базова'!E254</f>
        <v>219385.9137372697</v>
      </c>
      <c r="E259" s="47">
        <f ca="1">'график анн Базова'!H254</f>
        <v>23232.527337695603</v>
      </c>
      <c r="F259" s="47">
        <f ca="1">'график анн Базова'!F254</f>
        <v>20701.767030585263</v>
      </c>
      <c r="G259" s="47">
        <f ca="1">'график анн Базова'!G254</f>
        <v>2530.7603071103395</v>
      </c>
      <c r="H259" s="157">
        <f>'график анн Базова'!O254</f>
        <v>0</v>
      </c>
      <c r="I259" s="157" t="str">
        <f>'график анн Базова'!M254</f>
        <v/>
      </c>
      <c r="J259" s="201" t="str">
        <f>'график анн Базова'!N254</f>
        <v/>
      </c>
      <c r="K259" s="157" t="str">
        <f>'график анн Базова'!I254</f>
        <v/>
      </c>
      <c r="L259" s="157" t="str">
        <f>'график анн Базова'!J254</f>
        <v/>
      </c>
      <c r="M259" s="201" t="str">
        <f>'график анн Базова'!K254</f>
        <v/>
      </c>
      <c r="N259" s="157" t="str">
        <f>'график анн Базова'!L254</f>
        <v/>
      </c>
      <c r="O259" s="51" t="str">
        <f>'график анн Базова'!P254</f>
        <v/>
      </c>
      <c r="P259" s="147" t="str">
        <f>'график анн Базова'!Q254</f>
        <v/>
      </c>
    </row>
    <row r="260" spans="1:16" x14ac:dyDescent="0.35">
      <c r="A260" s="154">
        <f>'график анн Базова'!A255</f>
        <v>231</v>
      </c>
      <c r="B260" s="155">
        <f ca="1">'график анн Базова'!C255</f>
        <v>51519</v>
      </c>
      <c r="C260" s="156">
        <f ca="1">'график анн Базова'!D255</f>
        <v>31</v>
      </c>
      <c r="D260" s="47">
        <f ca="1">'график анн Базова'!E255</f>
        <v>198543.01449712875</v>
      </c>
      <c r="E260" s="47">
        <f ca="1">'график анн Базова'!H255</f>
        <v>23232.527337695603</v>
      </c>
      <c r="F260" s="47">
        <f ca="1">'график анн Базова'!F255</f>
        <v>20842.89924014096</v>
      </c>
      <c r="G260" s="47">
        <f ca="1">'график анн Базова'!G255</f>
        <v>2389.6280975546429</v>
      </c>
      <c r="H260" s="157">
        <f>'график анн Базова'!O255</f>
        <v>0</v>
      </c>
      <c r="I260" s="157" t="str">
        <f>'график анн Базова'!M255</f>
        <v/>
      </c>
      <c r="J260" s="201" t="str">
        <f>'график анн Базова'!N255</f>
        <v/>
      </c>
      <c r="K260" s="157" t="str">
        <f>'график анн Базова'!I255</f>
        <v/>
      </c>
      <c r="L260" s="157" t="str">
        <f>'график анн Базова'!J255</f>
        <v/>
      </c>
      <c r="M260" s="201" t="str">
        <f>'график анн Базова'!K255</f>
        <v/>
      </c>
      <c r="N260" s="157" t="str">
        <f>'график анн Базова'!L255</f>
        <v/>
      </c>
      <c r="O260" s="51" t="str">
        <f>'график анн Базова'!P255</f>
        <v/>
      </c>
      <c r="P260" s="147" t="str">
        <f>'график анн Базова'!Q255</f>
        <v/>
      </c>
    </row>
    <row r="261" spans="1:16" x14ac:dyDescent="0.35">
      <c r="A261" s="154">
        <f>'график анн Базова'!A256</f>
        <v>232</v>
      </c>
      <c r="B261" s="155">
        <f ca="1">'график анн Базова'!C256</f>
        <v>51550</v>
      </c>
      <c r="C261" s="156">
        <f ca="1">'график анн Базова'!D256</f>
        <v>31</v>
      </c>
      <c r="D261" s="47">
        <f ca="1">'график анн Базова'!E256</f>
        <v>177479.01204051331</v>
      </c>
      <c r="E261" s="47">
        <f ca="1">'график анн Базова'!H256</f>
        <v>23232.527337695603</v>
      </c>
      <c r="F261" s="47">
        <f ca="1">'график анн Базова'!F256</f>
        <v>21064.002456615457</v>
      </c>
      <c r="G261" s="47">
        <f ca="1">'график анн Базова'!G256</f>
        <v>2168.5248810801468</v>
      </c>
      <c r="H261" s="157">
        <f>'график анн Базова'!O256</f>
        <v>0</v>
      </c>
      <c r="I261" s="157" t="str">
        <f>'график анн Базова'!M256</f>
        <v/>
      </c>
      <c r="J261" s="201" t="str">
        <f>'график анн Базова'!N256</f>
        <v/>
      </c>
      <c r="K261" s="157" t="str">
        <f>'график анн Базова'!I256</f>
        <v/>
      </c>
      <c r="L261" s="157" t="str">
        <f>'график анн Базова'!J256</f>
        <v/>
      </c>
      <c r="M261" s="201" t="str">
        <f>'график анн Базова'!K256</f>
        <v/>
      </c>
      <c r="N261" s="157" t="str">
        <f>'график анн Базова'!L256</f>
        <v/>
      </c>
      <c r="O261" s="51" t="str">
        <f>'график анн Базова'!P256</f>
        <v/>
      </c>
      <c r="P261" s="147" t="str">
        <f>'график анн Базова'!Q256</f>
        <v/>
      </c>
    </row>
    <row r="262" spans="1:16" x14ac:dyDescent="0.35">
      <c r="A262" s="154">
        <f>'график анн Базова'!A257</f>
        <v>233</v>
      </c>
      <c r="B262" s="155">
        <f ca="1">'график анн Базова'!C257</f>
        <v>51578</v>
      </c>
      <c r="C262" s="156">
        <f ca="1">'график анн Базова'!D257</f>
        <v>28</v>
      </c>
      <c r="D262" s="47">
        <f ca="1">'график анн Базова'!E257</f>
        <v>155997.35162488752</v>
      </c>
      <c r="E262" s="47">
        <f ca="1">'график анн Базова'!H257</f>
        <v>23232.527337695603</v>
      </c>
      <c r="F262" s="47">
        <f ca="1">'график анн Базова'!F257</f>
        <v>21481.660415625793</v>
      </c>
      <c r="G262" s="47">
        <f ca="1">'график анн Базова'!G257</f>
        <v>1750.8669220698089</v>
      </c>
      <c r="H262" s="157">
        <f>'график анн Базова'!O257</f>
        <v>0</v>
      </c>
      <c r="I262" s="157" t="str">
        <f>'график анн Базова'!M257</f>
        <v/>
      </c>
      <c r="J262" s="201" t="str">
        <f>'график анн Базова'!N257</f>
        <v/>
      </c>
      <c r="K262" s="157" t="str">
        <f>'график анн Базова'!I257</f>
        <v/>
      </c>
      <c r="L262" s="157" t="str">
        <f>'график анн Базова'!J257</f>
        <v/>
      </c>
      <c r="M262" s="201" t="str">
        <f>'график анн Базова'!K257</f>
        <v/>
      </c>
      <c r="N262" s="157" t="str">
        <f>'график анн Базова'!L257</f>
        <v/>
      </c>
      <c r="O262" s="51" t="str">
        <f>'график анн Базова'!P257</f>
        <v/>
      </c>
      <c r="P262" s="147" t="str">
        <f>'график анн Базова'!Q257</f>
        <v/>
      </c>
    </row>
    <row r="263" spans="1:16" x14ac:dyDescent="0.35">
      <c r="A263" s="154">
        <f>'график анн Базова'!A258</f>
        <v>234</v>
      </c>
      <c r="B263" s="155">
        <f ca="1">'график анн Базова'!C258</f>
        <v>51609</v>
      </c>
      <c r="C263" s="156">
        <f ca="1">'график анн Базова'!D258</f>
        <v>31</v>
      </c>
      <c r="D263" s="47">
        <f ca="1">'график анн Базова'!E258</f>
        <v>134468.65727893927</v>
      </c>
      <c r="E263" s="47">
        <f ca="1">'график анн Базова'!H258</f>
        <v>23232.527337695603</v>
      </c>
      <c r="F263" s="47">
        <f ca="1">'график анн Базова'!F258</f>
        <v>21528.694345948272</v>
      </c>
      <c r="G263" s="47">
        <f ca="1">'график анн Базова'!G258</f>
        <v>1703.8329917473329</v>
      </c>
      <c r="H263" s="157">
        <f>'график анн Базова'!O258</f>
        <v>0</v>
      </c>
      <c r="I263" s="157" t="str">
        <f>'график анн Базова'!M258</f>
        <v/>
      </c>
      <c r="J263" s="201" t="str">
        <f>'график анн Базова'!N258</f>
        <v/>
      </c>
      <c r="K263" s="157" t="str">
        <f>'график анн Базова'!I258</f>
        <v/>
      </c>
      <c r="L263" s="157" t="str">
        <f>'график анн Базова'!J258</f>
        <v/>
      </c>
      <c r="M263" s="201" t="str">
        <f>'график анн Базова'!K258</f>
        <v/>
      </c>
      <c r="N263" s="157" t="str">
        <f>'график анн Базова'!L258</f>
        <v/>
      </c>
      <c r="O263" s="51" t="str">
        <f>'график анн Базова'!P258</f>
        <v/>
      </c>
      <c r="P263" s="147" t="str">
        <f>'график анн Базова'!Q258</f>
        <v/>
      </c>
    </row>
    <row r="264" spans="1:16" x14ac:dyDescent="0.35">
      <c r="A264" s="154">
        <f>'график анн Базова'!A259</f>
        <v>235</v>
      </c>
      <c r="B264" s="155">
        <f ca="1">'график анн Базова'!C259</f>
        <v>51639</v>
      </c>
      <c r="C264" s="156">
        <f ca="1">'график анн Базова'!D259</f>
        <v>30</v>
      </c>
      <c r="D264" s="47">
        <f ca="1">'график анн Базова'!E259</f>
        <v>112657.44522831804</v>
      </c>
      <c r="E264" s="47">
        <f ca="1">'график анн Базова'!H259</f>
        <v>23232.527337695603</v>
      </c>
      <c r="F264" s="47">
        <f ca="1">'график анн Базова'!F259</f>
        <v>21811.212050621227</v>
      </c>
      <c r="G264" s="47">
        <f ca="1">'график анн Базова'!G259</f>
        <v>1421.3152870743772</v>
      </c>
      <c r="H264" s="157">
        <f>'график анн Базова'!O259</f>
        <v>0</v>
      </c>
      <c r="I264" s="157" t="str">
        <f>'график анн Базова'!M259</f>
        <v/>
      </c>
      <c r="J264" s="201" t="str">
        <f>'график анн Базова'!N259</f>
        <v/>
      </c>
      <c r="K264" s="157" t="str">
        <f>'график анн Базова'!I259</f>
        <v/>
      </c>
      <c r="L264" s="157" t="str">
        <f>'график анн Базова'!J259</f>
        <v/>
      </c>
      <c r="M264" s="201" t="str">
        <f>'график анн Базова'!K259</f>
        <v/>
      </c>
      <c r="N264" s="157" t="str">
        <f>'график анн Базова'!L259</f>
        <v/>
      </c>
      <c r="O264" s="51" t="str">
        <f>'график анн Базова'!P259</f>
        <v/>
      </c>
      <c r="P264" s="147" t="str">
        <f>'график анн Базова'!Q259</f>
        <v/>
      </c>
    </row>
    <row r="265" spans="1:16" x14ac:dyDescent="0.35">
      <c r="A265" s="154">
        <f>'график анн Базова'!A260</f>
        <v>236</v>
      </c>
      <c r="B265" s="155">
        <f ca="1">'график анн Базова'!C260</f>
        <v>51670</v>
      </c>
      <c r="C265" s="156">
        <f ca="1">'график анн Базова'!D260</f>
        <v>31</v>
      </c>
      <c r="D265" s="47">
        <f ca="1">'график анн Базова'!E260</f>
        <v>90655.384112943575</v>
      </c>
      <c r="E265" s="47">
        <f ca="1">'график анн Базова'!H260</f>
        <v>23232.527337695603</v>
      </c>
      <c r="F265" s="47">
        <f ca="1">'график анн Базова'!F260</f>
        <v>22002.061115374472</v>
      </c>
      <c r="G265" s="47">
        <f ca="1">'график анн Базова'!G260</f>
        <v>1230.4662223211305</v>
      </c>
      <c r="H265" s="157">
        <f>'график анн Базова'!O260</f>
        <v>0</v>
      </c>
      <c r="I265" s="157" t="str">
        <f>'график анн Базова'!M260</f>
        <v/>
      </c>
      <c r="J265" s="201" t="str">
        <f>'график анн Базова'!N260</f>
        <v/>
      </c>
      <c r="K265" s="157" t="str">
        <f>'график анн Базова'!I260</f>
        <v/>
      </c>
      <c r="L265" s="157" t="str">
        <f>'график анн Базова'!J260</f>
        <v/>
      </c>
      <c r="M265" s="201" t="str">
        <f>'график анн Базова'!K260</f>
        <v/>
      </c>
      <c r="N265" s="157" t="str">
        <f>'график анн Базова'!L260</f>
        <v/>
      </c>
      <c r="O265" s="51" t="str">
        <f>'график анн Базова'!P260</f>
        <v/>
      </c>
      <c r="P265" s="147" t="str">
        <f>'график анн Базова'!Q260</f>
        <v/>
      </c>
    </row>
    <row r="266" spans="1:16" x14ac:dyDescent="0.35">
      <c r="A266" s="154">
        <f>'график анн Базова'!A261</f>
        <v>237</v>
      </c>
      <c r="B266" s="155">
        <f ca="1">'график анн Базова'!C261</f>
        <v>51700</v>
      </c>
      <c r="C266" s="156">
        <f ca="1">'график анн Базова'!D261</f>
        <v>30</v>
      </c>
      <c r="D266" s="47">
        <f ca="1">'график анн Базова'!E261</f>
        <v>68381.071766776018</v>
      </c>
      <c r="E266" s="47">
        <f ca="1">'график анн Базова'!H261</f>
        <v>23232.527337695603</v>
      </c>
      <c r="F266" s="47">
        <f ca="1">'график анн Базова'!F261</f>
        <v>22274.312346167557</v>
      </c>
      <c r="G266" s="47">
        <f ca="1">'график анн Базова'!G261</f>
        <v>958.21499152804461</v>
      </c>
      <c r="H266" s="157">
        <f>'график анн Базова'!O261</f>
        <v>0</v>
      </c>
      <c r="I266" s="157" t="str">
        <f>'график анн Базова'!M261</f>
        <v/>
      </c>
      <c r="J266" s="201" t="str">
        <f>'график анн Базова'!N261</f>
        <v/>
      </c>
      <c r="K266" s="157" t="str">
        <f>'график анн Базова'!I261</f>
        <v/>
      </c>
      <c r="L266" s="157" t="str">
        <f>'график анн Базова'!J261</f>
        <v/>
      </c>
      <c r="M266" s="201" t="str">
        <f>'график анн Базова'!K261</f>
        <v/>
      </c>
      <c r="N266" s="157" t="str">
        <f>'график анн Базова'!L261</f>
        <v/>
      </c>
      <c r="O266" s="51" t="str">
        <f>'график анн Базова'!P261</f>
        <v/>
      </c>
      <c r="P266" s="147" t="str">
        <f>'график анн Базова'!Q261</f>
        <v/>
      </c>
    </row>
    <row r="267" spans="1:16" x14ac:dyDescent="0.35">
      <c r="A267" s="154">
        <f>'график анн Базова'!A262</f>
        <v>238</v>
      </c>
      <c r="B267" s="155">
        <f ca="1">'график анн Базова'!C262</f>
        <v>51731</v>
      </c>
      <c r="C267" s="156">
        <f ca="1">'график анн Базова'!D262</f>
        <v>31</v>
      </c>
      <c r="D267" s="47">
        <f ca="1">'график анн Базова'!E262</f>
        <v>45895.415609095289</v>
      </c>
      <c r="E267" s="47">
        <f ca="1">'график анн Базова'!H262</f>
        <v>23232.527337695603</v>
      </c>
      <c r="F267" s="47">
        <f ca="1">'график анн Базова'!F262</f>
        <v>22485.656157680729</v>
      </c>
      <c r="G267" s="47">
        <f ca="1">'график анн Базова'!G262</f>
        <v>746.87118001487477</v>
      </c>
      <c r="H267" s="157">
        <f>'график анн Базова'!O262</f>
        <v>0</v>
      </c>
      <c r="I267" s="157" t="str">
        <f>'график анн Базова'!M262</f>
        <v/>
      </c>
      <c r="J267" s="201" t="str">
        <f>'график анн Базова'!N262</f>
        <v/>
      </c>
      <c r="K267" s="157" t="str">
        <f>'график анн Базова'!I262</f>
        <v/>
      </c>
      <c r="L267" s="157" t="str">
        <f>'график анн Базова'!J262</f>
        <v/>
      </c>
      <c r="M267" s="201" t="str">
        <f>'график анн Базова'!K262</f>
        <v/>
      </c>
      <c r="N267" s="157" t="str">
        <f>'график анн Базова'!L262</f>
        <v/>
      </c>
      <c r="O267" s="51" t="str">
        <f>'график анн Базова'!P262</f>
        <v/>
      </c>
      <c r="P267" s="147" t="str">
        <f>'график анн Базова'!Q262</f>
        <v/>
      </c>
    </row>
    <row r="268" spans="1:16" x14ac:dyDescent="0.35">
      <c r="A268" s="154">
        <f>'график анн Базова'!A263</f>
        <v>239</v>
      </c>
      <c r="B268" s="155">
        <f ca="1">'график анн Базова'!C263</f>
        <v>51762</v>
      </c>
      <c r="C268" s="156">
        <f ca="1">'график анн Базова'!D263</f>
        <v>31</v>
      </c>
      <c r="D268" s="47">
        <f ca="1">'график анн Базова'!E263</f>
        <v>23164.166802542753</v>
      </c>
      <c r="E268" s="47">
        <f ca="1">'график анн Базова'!H263</f>
        <v>23232.527337695603</v>
      </c>
      <c r="F268" s="47">
        <f ca="1">'график анн Базова'!F263</f>
        <v>22731.248806552536</v>
      </c>
      <c r="G268" s="47">
        <f ca="1">'график анн Базова'!G263</f>
        <v>501.27853114306646</v>
      </c>
      <c r="H268" s="157">
        <f>'график анн Базова'!O263</f>
        <v>0</v>
      </c>
      <c r="I268" s="157" t="str">
        <f>'график анн Базова'!M263</f>
        <v/>
      </c>
      <c r="J268" s="201" t="str">
        <f>'график анн Базова'!N263</f>
        <v/>
      </c>
      <c r="K268" s="157" t="str">
        <f>'график анн Базова'!I263</f>
        <v/>
      </c>
      <c r="L268" s="157" t="str">
        <f>'график анн Базова'!J263</f>
        <v/>
      </c>
      <c r="M268" s="201" t="str">
        <f>'график анн Базова'!K263</f>
        <v/>
      </c>
      <c r="N268" s="157" t="str">
        <f>'график анн Базова'!L263</f>
        <v/>
      </c>
      <c r="O268" s="51" t="str">
        <f>'график анн Базова'!P263</f>
        <v/>
      </c>
      <c r="P268" s="147" t="str">
        <f>'график анн Базова'!Q263</f>
        <v/>
      </c>
    </row>
    <row r="269" spans="1:16" x14ac:dyDescent="0.35">
      <c r="A269" s="154">
        <f>'график анн Базова'!A264</f>
        <v>240</v>
      </c>
      <c r="B269" s="155">
        <f ca="1">'график анн Базова'!C264</f>
        <v>51791</v>
      </c>
      <c r="C269" s="156">
        <f ca="1">'график анн Базова'!D264</f>
        <v>29</v>
      </c>
      <c r="D269" s="47">
        <f ca="1">'график анн Базова'!E264</f>
        <v>2.5647750589996576E-9</v>
      </c>
      <c r="E269" s="47">
        <f ca="1">'график анн Базова'!H264</f>
        <v>23400.847470138553</v>
      </c>
      <c r="F269" s="47">
        <f ca="1">'график анн Базова'!F264</f>
        <v>23164.166802540189</v>
      </c>
      <c r="G269" s="47">
        <f ca="1">'график анн Базова'!G264</f>
        <v>236.68066759836424</v>
      </c>
      <c r="H269" s="157">
        <f>'график анн Базова'!O264</f>
        <v>0</v>
      </c>
      <c r="I269" s="157" t="str">
        <f>'график анн Базова'!M264</f>
        <v/>
      </c>
      <c r="J269" s="201" t="str">
        <f>'график анн Базова'!N264</f>
        <v/>
      </c>
      <c r="K269" s="157" t="str">
        <f>'график анн Базова'!I264</f>
        <v/>
      </c>
      <c r="L269" s="157" t="str">
        <f>'график анн Базова'!J264</f>
        <v/>
      </c>
      <c r="M269" s="201" t="str">
        <f>'график анн Базова'!K264</f>
        <v/>
      </c>
      <c r="N269" s="157" t="str">
        <f>'график анн Базова'!L264</f>
        <v/>
      </c>
      <c r="O269" s="51" t="str">
        <f>'график анн Базова'!P264</f>
        <v/>
      </c>
      <c r="P269" s="147" t="str">
        <f>'график анн Базова'!Q264</f>
        <v/>
      </c>
    </row>
    <row r="270" spans="1:16" x14ac:dyDescent="0.35">
      <c r="A270" s="154" t="str">
        <f>'график анн Базова'!A265</f>
        <v/>
      </c>
      <c r="B270" s="155"/>
      <c r="C270" s="156"/>
      <c r="D270" s="47" t="str">
        <f>'график анн Базова'!E265</f>
        <v/>
      </c>
      <c r="E270" s="47">
        <f ca="1">'график анн Базова'!H265</f>
        <v>5575974.8811793718</v>
      </c>
      <c r="F270" s="47">
        <f ca="1">'график анн Базова'!F265</f>
        <v>2000000</v>
      </c>
      <c r="G270" s="47">
        <f ca="1">'график анн Базова'!G265</f>
        <v>3575974.8811793891</v>
      </c>
      <c r="H270" s="201">
        <f>'график анн Базова'!O265</f>
        <v>0</v>
      </c>
      <c r="I270" s="201">
        <f>'график анн Базова'!M265</f>
        <v>10000</v>
      </c>
      <c r="J270" s="201">
        <f>'график анн Базова'!N265</f>
        <v>0</v>
      </c>
      <c r="K270" s="201">
        <f>'график анн Базова'!I265</f>
        <v>10000</v>
      </c>
      <c r="L270" s="201">
        <f>'график анн Базова'!J265</f>
        <v>2000</v>
      </c>
      <c r="M270" s="201">
        <f>'график анн Базова'!K265</f>
        <v>150000</v>
      </c>
      <c r="N270" s="201">
        <f>'график анн Базова'!L265</f>
        <v>25000</v>
      </c>
      <c r="O270" s="229">
        <f ca="1">'график анн Базова'!P265</f>
        <v>0.14613742232322699</v>
      </c>
      <c r="P270" s="147">
        <f ca="1">'график анн Базова'!Q265</f>
        <v>5772974.8811793886</v>
      </c>
    </row>
  </sheetData>
  <sheetProtection algorithmName="SHA-512" hashValue="c2F3YCbahiTsc+5dhIahcFi8S59twvUm5RzMUlzQbVQVAJEgi2Dr7zedbQ4Kv5FU3uuQV4l7P14XLUj1um2G6Q==" saltValue="Vg1YciEuvaEUIKStvgr/Ag==" spinCount="100000" sheet="1" objects="1" scenarios="1"/>
  <mergeCells count="32">
    <mergeCell ref="N7:O8"/>
    <mergeCell ref="P7:P8"/>
    <mergeCell ref="A16:B16"/>
    <mergeCell ref="A21:A28"/>
    <mergeCell ref="B21:B28"/>
    <mergeCell ref="E7:F7"/>
    <mergeCell ref="E8:F8"/>
    <mergeCell ref="A15:F15"/>
    <mergeCell ref="C21:C28"/>
    <mergeCell ref="D21:D28"/>
    <mergeCell ref="E21:E28"/>
    <mergeCell ref="E10:F10"/>
    <mergeCell ref="E12:F12"/>
    <mergeCell ref="E13:F13"/>
    <mergeCell ref="P21:P28"/>
    <mergeCell ref="F22:F28"/>
    <mergeCell ref="A2:P2"/>
    <mergeCell ref="E4:F4"/>
    <mergeCell ref="E5:F5"/>
    <mergeCell ref="E6:F6"/>
    <mergeCell ref="P5:P6"/>
    <mergeCell ref="N5:O6"/>
    <mergeCell ref="G22:G28"/>
    <mergeCell ref="I22:I27"/>
    <mergeCell ref="H22:H28"/>
    <mergeCell ref="O21:O28"/>
    <mergeCell ref="J22:J23"/>
    <mergeCell ref="K21:L21"/>
    <mergeCell ref="K22:K23"/>
    <mergeCell ref="L22:L23"/>
    <mergeCell ref="M22:M23"/>
    <mergeCell ref="N22:N23"/>
  </mergeCells>
  <pageMargins left="0.25" right="0.25" top="0.75" bottom="0.75" header="0.3" footer="0.3"/>
  <pageSetup paperSize="9" scale="95" fitToHeight="0" orientation="landscape" r:id="rId1"/>
  <ignoredErrors>
    <ignoredError sqref="E4:E5 E7:E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A7" zoomScale="90" zoomScaleNormal="90" workbookViewId="0">
      <selection activeCell="N274" sqref="N274"/>
    </sheetView>
  </sheetViews>
  <sheetFormatPr defaultRowHeight="14.5" x14ac:dyDescent="0.35"/>
  <cols>
    <col min="2" max="2" width="10.453125" bestFit="1" customWidth="1"/>
    <col min="3" max="3" width="12.81640625" customWidth="1"/>
    <col min="4" max="4" width="16" customWidth="1"/>
    <col min="5" max="5" width="15.453125" customWidth="1"/>
    <col min="6" max="6" width="14.1796875" customWidth="1"/>
    <col min="7" max="7" width="17.1796875" customWidth="1"/>
    <col min="8" max="8" width="13.1796875" customWidth="1"/>
    <col min="9" max="14" width="13.453125" customWidth="1"/>
    <col min="15" max="15" width="13.1796875" customWidth="1"/>
    <col min="16" max="16" width="14.54296875" style="158" customWidth="1"/>
  </cols>
  <sheetData>
    <row r="1" spans="1:16" x14ac:dyDescent="0.35">
      <c r="A1" s="20" t="s">
        <v>83</v>
      </c>
    </row>
    <row r="2" spans="1:16" ht="40.5" customHeight="1" x14ac:dyDescent="0.35">
      <c r="A2" s="433" t="s">
        <v>121</v>
      </c>
      <c r="B2" s="433"/>
      <c r="C2" s="433"/>
      <c r="D2" s="433"/>
      <c r="E2" s="433"/>
      <c r="F2" s="433"/>
      <c r="G2" s="433"/>
      <c r="H2" s="433"/>
      <c r="I2" s="433"/>
      <c r="J2" s="433"/>
      <c r="K2" s="433"/>
      <c r="L2" s="433"/>
      <c r="M2" s="433"/>
      <c r="N2" s="433"/>
      <c r="O2" s="433"/>
      <c r="P2" s="433"/>
    </row>
    <row r="4" spans="1:16" x14ac:dyDescent="0.35">
      <c r="A4" s="179" t="str">
        <f>'график анн Базова'!C4</f>
        <v>Вартість нерухомості, грн</v>
      </c>
      <c r="B4" s="179"/>
      <c r="C4" s="179"/>
      <c r="D4" s="179"/>
      <c r="E4" s="434">
        <f>'график анн Комп 7%'!F4</f>
        <v>2500000</v>
      </c>
      <c r="F4" s="434"/>
      <c r="G4" s="23"/>
      <c r="H4" s="23"/>
      <c r="I4" s="26"/>
      <c r="J4" s="26"/>
      <c r="K4" s="26"/>
      <c r="L4" s="26"/>
      <c r="M4" s="26"/>
      <c r="N4" s="22" t="s">
        <v>174</v>
      </c>
      <c r="O4" s="22"/>
      <c r="P4" s="22"/>
    </row>
    <row r="5" spans="1:16" ht="15" customHeight="1" x14ac:dyDescent="0.35">
      <c r="A5" s="179" t="str">
        <f>'график анн Базова'!C5</f>
        <v>Перший внесок, грн</v>
      </c>
      <c r="B5" s="179"/>
      <c r="C5" s="179"/>
      <c r="D5" s="179"/>
      <c r="E5" s="435">
        <f>'график анн Комп 7%'!F5</f>
        <v>500000</v>
      </c>
      <c r="F5" s="435"/>
      <c r="G5" s="29"/>
      <c r="H5" s="29"/>
      <c r="I5" s="30"/>
      <c r="J5" s="30"/>
      <c r="K5" s="30"/>
      <c r="L5" s="30"/>
      <c r="M5" s="30"/>
      <c r="N5" s="439" t="s">
        <v>175</v>
      </c>
      <c r="O5" s="440"/>
      <c r="P5" s="437">
        <f>I29</f>
        <v>10000</v>
      </c>
    </row>
    <row r="6" spans="1:16" ht="22.5" customHeight="1" x14ac:dyDescent="0.35">
      <c r="A6" s="21" t="s">
        <v>84</v>
      </c>
      <c r="B6" s="21"/>
      <c r="C6" s="21"/>
      <c r="D6" s="21"/>
      <c r="E6" s="436">
        <f>'график анн Комп 7%'!F7</f>
        <v>2000000</v>
      </c>
      <c r="F6" s="436"/>
      <c r="G6" s="29"/>
      <c r="H6" s="29"/>
      <c r="I6" s="30"/>
      <c r="J6" s="30"/>
      <c r="K6" s="30"/>
      <c r="L6" s="30"/>
      <c r="M6" s="30"/>
      <c r="N6" s="441"/>
      <c r="O6" s="442"/>
      <c r="P6" s="438"/>
    </row>
    <row r="7" spans="1:16" x14ac:dyDescent="0.35">
      <c r="A7" s="21" t="s">
        <v>85</v>
      </c>
      <c r="B7" s="21"/>
      <c r="C7" s="21"/>
      <c r="D7" s="21"/>
      <c r="E7" s="452">
        <f ca="1">'график анн Комп 7%'!F3</f>
        <v>44487</v>
      </c>
      <c r="F7" s="453"/>
      <c r="G7" s="31"/>
      <c r="H7" s="31"/>
      <c r="I7" s="30"/>
      <c r="J7" s="30"/>
      <c r="K7" s="30"/>
      <c r="L7" s="30"/>
      <c r="M7" s="30"/>
      <c r="N7" s="443" t="s">
        <v>141</v>
      </c>
      <c r="O7" s="444"/>
      <c r="P7" s="437">
        <f>K29+L29+N29+'график анн Комп 7%'!P9+'график анн Комп 7%'!P11</f>
        <v>187000</v>
      </c>
    </row>
    <row r="8" spans="1:16" x14ac:dyDescent="0.35">
      <c r="A8" s="21" t="s">
        <v>86</v>
      </c>
      <c r="B8" s="21"/>
      <c r="C8" s="21"/>
      <c r="D8" s="21"/>
      <c r="E8" s="452">
        <f ca="1">EDATE(E7,'график анн Комп 7%'!F8)-1</f>
        <v>51791</v>
      </c>
      <c r="F8" s="453"/>
      <c r="G8" s="29"/>
      <c r="H8" s="29"/>
      <c r="I8" s="30"/>
      <c r="J8" s="30"/>
      <c r="K8" s="30"/>
      <c r="L8" s="30"/>
      <c r="M8" s="30"/>
      <c r="N8" s="445"/>
      <c r="O8" s="446"/>
      <c r="P8" s="438"/>
    </row>
    <row r="9" spans="1:16" x14ac:dyDescent="0.35">
      <c r="A9" s="21"/>
      <c r="B9" s="21"/>
      <c r="C9" s="21"/>
      <c r="D9" s="21"/>
      <c r="E9" s="27"/>
      <c r="F9" s="28"/>
      <c r="G9" s="29"/>
      <c r="H9" s="29"/>
      <c r="I9" s="30"/>
      <c r="J9" s="30"/>
      <c r="K9" s="30"/>
      <c r="L9" s="30"/>
      <c r="M9" s="30"/>
      <c r="N9" s="30"/>
      <c r="O9" s="25"/>
      <c r="P9" s="159"/>
    </row>
    <row r="10" spans="1:16" x14ac:dyDescent="0.35">
      <c r="A10" s="21" t="s">
        <v>87</v>
      </c>
      <c r="B10" s="21"/>
      <c r="C10" s="21"/>
      <c r="D10" s="21"/>
      <c r="E10" s="459">
        <f>'график анн Комп 7%'!F8</f>
        <v>240</v>
      </c>
      <c r="F10" s="459"/>
      <c r="G10" s="29"/>
      <c r="H10" s="29"/>
      <c r="I10" s="30"/>
      <c r="J10" s="30"/>
      <c r="K10" s="30"/>
      <c r="L10" s="30"/>
      <c r="M10" s="30"/>
      <c r="N10" s="30"/>
      <c r="O10" s="25"/>
      <c r="P10" s="159"/>
    </row>
    <row r="11" spans="1:16" x14ac:dyDescent="0.35">
      <c r="A11" s="21"/>
      <c r="B11" s="21"/>
      <c r="C11" s="21"/>
      <c r="D11" s="21"/>
      <c r="E11" s="27"/>
      <c r="F11" s="28"/>
      <c r="G11" s="31"/>
      <c r="H11" s="31"/>
      <c r="I11" s="30"/>
      <c r="J11" s="30"/>
      <c r="K11" s="30"/>
      <c r="L11" s="30"/>
      <c r="M11" s="30"/>
      <c r="N11" s="30"/>
      <c r="O11" s="32"/>
      <c r="P11" s="160"/>
    </row>
    <row r="12" spans="1:16" x14ac:dyDescent="0.35">
      <c r="A12" s="21" t="s">
        <v>88</v>
      </c>
      <c r="B12" s="21"/>
      <c r="C12" s="21"/>
      <c r="D12" s="21"/>
      <c r="E12" s="460" t="s">
        <v>89</v>
      </c>
      <c r="F12" s="460"/>
      <c r="G12" s="29"/>
      <c r="H12" s="29"/>
      <c r="I12" s="30"/>
      <c r="J12" s="30"/>
      <c r="K12" s="30"/>
      <c r="L12" s="30"/>
      <c r="M12" s="30"/>
      <c r="N12" s="30"/>
      <c r="O12" s="33"/>
      <c r="P12" s="161"/>
    </row>
    <row r="13" spans="1:16" x14ac:dyDescent="0.35">
      <c r="A13" s="21" t="s">
        <v>90</v>
      </c>
      <c r="B13" s="21"/>
      <c r="C13" s="21"/>
      <c r="D13" s="21"/>
      <c r="E13" s="460" t="s">
        <v>91</v>
      </c>
      <c r="F13" s="460"/>
      <c r="G13" s="29"/>
      <c r="H13" s="29"/>
      <c r="I13" s="24"/>
      <c r="J13" s="24"/>
      <c r="K13" s="24"/>
      <c r="L13" s="24"/>
      <c r="M13" s="24"/>
      <c r="N13" s="24"/>
      <c r="O13" s="25"/>
      <c r="P13" s="159"/>
    </row>
    <row r="14" spans="1:16" hidden="1" x14ac:dyDescent="0.35">
      <c r="A14" s="21"/>
      <c r="B14" s="21"/>
      <c r="C14" s="21"/>
      <c r="D14" s="21"/>
      <c r="E14" s="48"/>
      <c r="F14" s="48"/>
      <c r="G14" s="29"/>
      <c r="H14" s="29"/>
      <c r="I14" s="24"/>
      <c r="J14" s="24"/>
      <c r="K14" s="24"/>
      <c r="L14" s="24"/>
      <c r="M14" s="24"/>
      <c r="N14" s="24"/>
      <c r="O14" s="25"/>
      <c r="P14" s="159"/>
    </row>
    <row r="15" spans="1:16" hidden="1" x14ac:dyDescent="0.35">
      <c r="A15" s="454" t="s">
        <v>92</v>
      </c>
      <c r="B15" s="454"/>
      <c r="C15" s="454"/>
      <c r="D15" s="454"/>
      <c r="E15" s="454"/>
      <c r="F15" s="454"/>
      <c r="G15" s="34"/>
      <c r="H15" s="34"/>
      <c r="I15" s="24"/>
      <c r="J15" s="24"/>
      <c r="K15" s="24"/>
      <c r="L15" s="24"/>
      <c r="M15" s="24"/>
      <c r="N15" s="24"/>
      <c r="O15" s="25"/>
      <c r="P15" s="159"/>
    </row>
    <row r="16" spans="1:16" hidden="1" x14ac:dyDescent="0.35">
      <c r="A16" s="447" t="s">
        <v>93</v>
      </c>
      <c r="B16" s="448"/>
      <c r="C16" s="35"/>
      <c r="D16" s="35"/>
      <c r="E16" s="35" t="s">
        <v>94</v>
      </c>
      <c r="F16" s="36" t="s">
        <v>95</v>
      </c>
      <c r="G16" s="36" t="s">
        <v>96</v>
      </c>
      <c r="H16" s="71"/>
      <c r="I16" s="37"/>
      <c r="J16" s="37"/>
      <c r="K16" s="37"/>
      <c r="L16" s="37"/>
      <c r="M16" s="37"/>
      <c r="N16" s="37"/>
      <c r="O16" s="25"/>
      <c r="P16" s="159"/>
    </row>
    <row r="17" spans="1:16" hidden="1" x14ac:dyDescent="0.35">
      <c r="A17" s="219"/>
      <c r="B17" s="220"/>
      <c r="C17" s="35"/>
      <c r="D17" s="35"/>
      <c r="E17" s="35"/>
      <c r="F17" s="36"/>
      <c r="G17" s="36"/>
      <c r="H17" s="71"/>
      <c r="I17" s="37"/>
      <c r="J17" s="37"/>
      <c r="K17" s="37"/>
      <c r="L17" s="37"/>
      <c r="M17" s="37"/>
      <c r="N17" s="37"/>
      <c r="O17" s="41"/>
      <c r="P17" s="162"/>
    </row>
    <row r="18" spans="1:16" hidden="1" x14ac:dyDescent="0.35">
      <c r="A18" s="42" t="s">
        <v>101</v>
      </c>
      <c r="B18" s="40"/>
      <c r="C18" s="40"/>
      <c r="D18" s="40"/>
      <c r="E18" s="40"/>
      <c r="F18" s="40"/>
      <c r="G18" s="40"/>
      <c r="H18" s="40"/>
      <c r="I18" s="43"/>
      <c r="J18" s="43"/>
      <c r="K18" s="43"/>
      <c r="L18" s="43"/>
      <c r="M18" s="43"/>
      <c r="N18" s="43"/>
      <c r="O18" s="40"/>
      <c r="P18" s="163"/>
    </row>
    <row r="19" spans="1:16" hidden="1" x14ac:dyDescent="0.35">
      <c r="A19" s="44"/>
      <c r="B19" s="45"/>
      <c r="C19" s="45"/>
      <c r="D19" s="45"/>
      <c r="E19" s="45"/>
      <c r="F19" s="45"/>
      <c r="G19" s="45"/>
      <c r="H19" s="45"/>
      <c r="I19" s="45"/>
      <c r="J19" s="45"/>
      <c r="K19" s="45"/>
      <c r="L19" s="45"/>
      <c r="M19" s="45"/>
      <c r="N19" s="45"/>
      <c r="O19" s="46"/>
      <c r="P19" s="164"/>
    </row>
    <row r="20" spans="1:16" x14ac:dyDescent="0.35">
      <c r="A20" s="69"/>
      <c r="B20" s="69"/>
      <c r="C20" s="69"/>
      <c r="D20" s="69"/>
      <c r="E20" s="69"/>
      <c r="F20" s="69"/>
      <c r="G20" s="69"/>
      <c r="H20" s="69"/>
      <c r="I20" s="69"/>
      <c r="J20" s="69"/>
      <c r="K20" s="69"/>
      <c r="L20" s="69"/>
      <c r="M20" s="69"/>
      <c r="N20" s="69"/>
      <c r="O20" s="70"/>
      <c r="P20" s="165"/>
    </row>
    <row r="21" spans="1:16" ht="24" customHeight="1" x14ac:dyDescent="0.35">
      <c r="A21" s="449" t="s">
        <v>71</v>
      </c>
      <c r="B21" s="426" t="s">
        <v>72</v>
      </c>
      <c r="C21" s="455" t="s">
        <v>73</v>
      </c>
      <c r="D21" s="455" t="s">
        <v>74</v>
      </c>
      <c r="E21" s="456" t="s">
        <v>97</v>
      </c>
      <c r="F21" s="72" t="s">
        <v>98</v>
      </c>
      <c r="G21" s="73"/>
      <c r="H21" s="73"/>
      <c r="I21" s="73"/>
      <c r="J21" s="73"/>
      <c r="K21" s="429" t="s">
        <v>173</v>
      </c>
      <c r="L21" s="430"/>
      <c r="M21" s="199"/>
      <c r="N21" s="200"/>
      <c r="O21" s="426" t="s">
        <v>79</v>
      </c>
      <c r="P21" s="461" t="s">
        <v>99</v>
      </c>
    </row>
    <row r="22" spans="1:16" ht="72" customHeight="1" x14ac:dyDescent="0.35">
      <c r="A22" s="450"/>
      <c r="B22" s="421"/>
      <c r="C22" s="424"/>
      <c r="D22" s="424"/>
      <c r="E22" s="457"/>
      <c r="F22" s="423" t="s">
        <v>75</v>
      </c>
      <c r="G22" s="420" t="s">
        <v>76</v>
      </c>
      <c r="H22" s="423" t="s">
        <v>119</v>
      </c>
      <c r="I22" s="423" t="s">
        <v>100</v>
      </c>
      <c r="J22" s="427" t="s">
        <v>151</v>
      </c>
      <c r="K22" s="427" t="s">
        <v>142</v>
      </c>
      <c r="L22" s="431" t="s">
        <v>143</v>
      </c>
      <c r="M22" s="427" t="s">
        <v>144</v>
      </c>
      <c r="N22" s="427" t="s">
        <v>145</v>
      </c>
      <c r="O22" s="421"/>
      <c r="P22" s="461"/>
    </row>
    <row r="23" spans="1:16" ht="45" customHeight="1" x14ac:dyDescent="0.35">
      <c r="A23" s="450"/>
      <c r="B23" s="421"/>
      <c r="C23" s="424"/>
      <c r="D23" s="424"/>
      <c r="E23" s="457"/>
      <c r="F23" s="424"/>
      <c r="G23" s="421"/>
      <c r="H23" s="424"/>
      <c r="I23" s="424"/>
      <c r="J23" s="428"/>
      <c r="K23" s="428"/>
      <c r="L23" s="432"/>
      <c r="M23" s="428"/>
      <c r="N23" s="428"/>
      <c r="O23" s="421"/>
      <c r="P23" s="461"/>
    </row>
    <row r="24" spans="1:16" hidden="1" x14ac:dyDescent="0.35">
      <c r="A24" s="450"/>
      <c r="B24" s="421"/>
      <c r="C24" s="424"/>
      <c r="D24" s="424"/>
      <c r="E24" s="457"/>
      <c r="F24" s="424"/>
      <c r="G24" s="421"/>
      <c r="H24" s="424"/>
      <c r="I24" s="424"/>
      <c r="J24" s="217"/>
      <c r="K24" s="217"/>
      <c r="L24" s="217"/>
      <c r="M24" s="217"/>
      <c r="N24" s="217"/>
      <c r="O24" s="421"/>
      <c r="P24" s="461"/>
    </row>
    <row r="25" spans="1:16" hidden="1" x14ac:dyDescent="0.35">
      <c r="A25" s="450"/>
      <c r="B25" s="421"/>
      <c r="C25" s="424"/>
      <c r="D25" s="424"/>
      <c r="E25" s="457"/>
      <c r="F25" s="424"/>
      <c r="G25" s="421"/>
      <c r="H25" s="424"/>
      <c r="I25" s="424"/>
      <c r="J25" s="217"/>
      <c r="K25" s="217"/>
      <c r="L25" s="217"/>
      <c r="M25" s="217"/>
      <c r="N25" s="217"/>
      <c r="O25" s="421"/>
      <c r="P25" s="461"/>
    </row>
    <row r="26" spans="1:16" hidden="1" x14ac:dyDescent="0.35">
      <c r="A26" s="450"/>
      <c r="B26" s="421"/>
      <c r="C26" s="424"/>
      <c r="D26" s="424"/>
      <c r="E26" s="457"/>
      <c r="F26" s="424"/>
      <c r="G26" s="421"/>
      <c r="H26" s="424"/>
      <c r="I26" s="424"/>
      <c r="J26" s="217"/>
      <c r="K26" s="217"/>
      <c r="L26" s="217"/>
      <c r="M26" s="217"/>
      <c r="N26" s="217"/>
      <c r="O26" s="421"/>
      <c r="P26" s="461"/>
    </row>
    <row r="27" spans="1:16" hidden="1" x14ac:dyDescent="0.35">
      <c r="A27" s="450"/>
      <c r="B27" s="421"/>
      <c r="C27" s="424"/>
      <c r="D27" s="424"/>
      <c r="E27" s="457"/>
      <c r="F27" s="424"/>
      <c r="G27" s="421"/>
      <c r="H27" s="424"/>
      <c r="I27" s="424"/>
      <c r="J27" s="217"/>
      <c r="K27" s="217"/>
      <c r="L27" s="217"/>
      <c r="M27" s="217"/>
      <c r="N27" s="217"/>
      <c r="O27" s="421"/>
      <c r="P27" s="461"/>
    </row>
    <row r="28" spans="1:16" hidden="1" x14ac:dyDescent="0.35">
      <c r="A28" s="451"/>
      <c r="B28" s="422"/>
      <c r="C28" s="425"/>
      <c r="D28" s="425"/>
      <c r="E28" s="458"/>
      <c r="F28" s="425"/>
      <c r="G28" s="422"/>
      <c r="H28" s="425"/>
      <c r="I28" s="218"/>
      <c r="J28" s="218"/>
      <c r="K28" s="218"/>
      <c r="L28" s="218"/>
      <c r="M28" s="218"/>
      <c r="N28" s="218"/>
      <c r="O28" s="422"/>
      <c r="P28" s="461"/>
    </row>
    <row r="29" spans="1:16" x14ac:dyDescent="0.35">
      <c r="A29" s="148"/>
      <c r="B29" s="149">
        <f ca="1">'график анн Комп 7%'!C24</f>
        <v>44487</v>
      </c>
      <c r="C29" s="150"/>
      <c r="D29" s="151">
        <f>'график анн Комп 7%'!E24</f>
        <v>2000000</v>
      </c>
      <c r="E29" s="152"/>
      <c r="F29" s="151"/>
      <c r="G29" s="152"/>
      <c r="H29" s="223">
        <f>'график анн Комп 7%'!O24</f>
        <v>0</v>
      </c>
      <c r="I29" s="223">
        <f>'график анн Комп 7%'!M24</f>
        <v>10000</v>
      </c>
      <c r="J29" s="223">
        <f>'график анн Комп 7%'!N24</f>
        <v>0</v>
      </c>
      <c r="K29" s="223">
        <f>'график анн Комп 7%'!I24</f>
        <v>10000</v>
      </c>
      <c r="L29" s="223">
        <f>'график анн Комп 7%'!J24</f>
        <v>2000</v>
      </c>
      <c r="M29" s="201">
        <f>'график анн Комп 7%'!K24</f>
        <v>7500</v>
      </c>
      <c r="N29" s="223">
        <f>'график анн Комп 7%'!L24</f>
        <v>25000</v>
      </c>
      <c r="O29" s="153"/>
      <c r="P29" s="166"/>
    </row>
    <row r="30" spans="1:16" x14ac:dyDescent="0.35">
      <c r="A30" s="154">
        <f>'график анн Комп 7%'!A25</f>
        <v>1</v>
      </c>
      <c r="B30" s="149">
        <f ca="1">'график анн Комп 7%'!C25</f>
        <v>44518</v>
      </c>
      <c r="C30" s="156">
        <f ca="1">'график анн Комп 7%'!D25</f>
        <v>31</v>
      </c>
      <c r="D30" s="151">
        <f ca="1">'график анн Комп 7%'!E25</f>
        <v>1998611.8562239483</v>
      </c>
      <c r="E30" s="47">
        <f ca="1">'график анн Комп 7%'!H25</f>
        <v>13278.554734955878</v>
      </c>
      <c r="F30" s="47">
        <f ca="1">'график анн Комп 7%'!F25</f>
        <v>1388.1437760517692</v>
      </c>
      <c r="G30" s="47">
        <f ca="1">'график анн Комп 7%'!G25</f>
        <v>11890.410958904109</v>
      </c>
      <c r="H30" s="157">
        <f>'график анн Комп 7%'!O25</f>
        <v>0</v>
      </c>
      <c r="I30" s="157">
        <f>'график анн Комп 7%'!M25</f>
        <v>0</v>
      </c>
      <c r="J30" s="157">
        <f>'график анн Комп 7%'!N25</f>
        <v>0</v>
      </c>
      <c r="K30" s="157">
        <f>'график анн Комп 7%'!I25</f>
        <v>0</v>
      </c>
      <c r="L30" s="157">
        <f>'график анн Комп 7%'!J25</f>
        <v>0</v>
      </c>
      <c r="M30" s="157">
        <f>'график анн Комп 7%'!K25</f>
        <v>0</v>
      </c>
      <c r="N30" s="157">
        <f>'график анн Комп 7%'!L25</f>
        <v>0</v>
      </c>
      <c r="O30" s="51" t="str">
        <f>'график анн Комп 7%'!P25</f>
        <v/>
      </c>
      <c r="P30" s="49">
        <f>'график анн Комп 7%'!Q25</f>
        <v>0</v>
      </c>
    </row>
    <row r="31" spans="1:16" x14ac:dyDescent="0.35">
      <c r="A31" s="154">
        <f>'график анн Комп 7%'!A26</f>
        <v>2</v>
      </c>
      <c r="B31" s="149">
        <f ca="1">'график анн Комп 7%'!C26</f>
        <v>44548</v>
      </c>
      <c r="C31" s="156">
        <f ca="1">'график анн Комп 7%'!D26</f>
        <v>30</v>
      </c>
      <c r="D31" s="151">
        <f ca="1">'график анн Комп 7%'!E26</f>
        <v>1996504.3824240938</v>
      </c>
      <c r="E31" s="47">
        <f ca="1">'график анн Комп 7%'!H26</f>
        <v>13606.336534293683</v>
      </c>
      <c r="F31" s="47">
        <f ca="1">'график анн Комп 7%'!F26</f>
        <v>2107.4737998545279</v>
      </c>
      <c r="G31" s="47">
        <f ca="1">'график анн Комп 7%'!G26</f>
        <v>11498.862734439155</v>
      </c>
      <c r="H31" s="157">
        <f>'график анн Комп 7%'!O26</f>
        <v>0</v>
      </c>
      <c r="I31" s="157">
        <f>'график анн Комп 7%'!M26</f>
        <v>0</v>
      </c>
      <c r="J31" s="157">
        <f>'график анн Комп 7%'!N26</f>
        <v>0</v>
      </c>
      <c r="K31" s="157">
        <f>'график анн Комп 7%'!I26</f>
        <v>0</v>
      </c>
      <c r="L31" s="157">
        <f>'график анн Комп 7%'!J26</f>
        <v>0</v>
      </c>
      <c r="M31" s="157">
        <f>'график анн Комп 7%'!K26</f>
        <v>0</v>
      </c>
      <c r="N31" s="157">
        <f>'график анн Комп 7%'!L26</f>
        <v>0</v>
      </c>
      <c r="O31" s="51" t="str">
        <f>'график анн Комп 7%'!P26</f>
        <v/>
      </c>
      <c r="P31" s="49">
        <f>'график анн Комп 7%'!Q26</f>
        <v>0</v>
      </c>
    </row>
    <row r="32" spans="1:16" x14ac:dyDescent="0.35">
      <c r="A32" s="154">
        <f>'график анн Комп 7%'!A27</f>
        <v>3</v>
      </c>
      <c r="B32" s="149">
        <f ca="1">'график анн Комп 7%'!C27</f>
        <v>44579</v>
      </c>
      <c r="C32" s="156">
        <f ca="1">'график анн Комп 7%'!D27</f>
        <v>31</v>
      </c>
      <c r="D32" s="151">
        <f ca="1">'график анн Комп 7%'!E27</f>
        <v>1995078.0588424855</v>
      </c>
      <c r="E32" s="47">
        <f ca="1">'график анн Комп 7%'!H27</f>
        <v>13295.95237574599</v>
      </c>
      <c r="F32" s="47">
        <f ca="1">'график анн Комп 7%'!F27</f>
        <v>1426.323581608227</v>
      </c>
      <c r="G32" s="47">
        <f ca="1">'график анн Комп 7%'!G27</f>
        <v>11869.628794137763</v>
      </c>
      <c r="H32" s="157">
        <f>'график анн Комп 7%'!O27</f>
        <v>0</v>
      </c>
      <c r="I32" s="157">
        <f>'график анн Комп 7%'!M27</f>
        <v>0</v>
      </c>
      <c r="J32" s="157">
        <f>'график анн Комп 7%'!N27</f>
        <v>0</v>
      </c>
      <c r="K32" s="157">
        <f>'график анн Комп 7%'!I27</f>
        <v>0</v>
      </c>
      <c r="L32" s="157">
        <f>'график анн Комп 7%'!J27</f>
        <v>0</v>
      </c>
      <c r="M32" s="157">
        <f>'график анн Комп 7%'!K27</f>
        <v>0</v>
      </c>
      <c r="N32" s="157">
        <f>'график анн Комп 7%'!L27</f>
        <v>0</v>
      </c>
      <c r="O32" s="51" t="str">
        <f>'график анн Комп 7%'!P27</f>
        <v/>
      </c>
      <c r="P32" s="49" t="str">
        <f>'график анн Комп 7%'!Q27</f>
        <v/>
      </c>
    </row>
    <row r="33" spans="1:16" x14ac:dyDescent="0.35">
      <c r="A33" s="154">
        <f>'график анн Комп 7%'!A28</f>
        <v>4</v>
      </c>
      <c r="B33" s="149">
        <f ca="1">'график анн Комп 7%'!C28</f>
        <v>44610</v>
      </c>
      <c r="C33" s="156">
        <f ca="1">'график анн Комп 7%'!D28</f>
        <v>31</v>
      </c>
      <c r="D33" s="151">
        <f ca="1">'график анн Комп 7%'!E28</f>
        <v>1993636.1566811774</v>
      </c>
      <c r="E33" s="47">
        <f ca="1">'график анн Комп 7%'!H28</f>
        <v>13303.051168672975</v>
      </c>
      <c r="F33" s="47">
        <f ca="1">'график анн Комп 7%'!F28</f>
        <v>1441.9021613080622</v>
      </c>
      <c r="G33" s="47">
        <f ca="1">'график анн Комп 7%'!G28</f>
        <v>11861.149007364913</v>
      </c>
      <c r="H33" s="157">
        <f>'график анн Комп 7%'!O28</f>
        <v>0</v>
      </c>
      <c r="I33" s="157">
        <f>'график анн Комп 7%'!M28</f>
        <v>0</v>
      </c>
      <c r="J33" s="157">
        <f>'график анн Комп 7%'!N28</f>
        <v>0</v>
      </c>
      <c r="K33" s="157">
        <f>'график анн Комп 7%'!I28</f>
        <v>0</v>
      </c>
      <c r="L33" s="157">
        <f>'график анн Комп 7%'!J28</f>
        <v>0</v>
      </c>
      <c r="M33" s="157">
        <f>'график анн Комп 7%'!K28</f>
        <v>0</v>
      </c>
      <c r="N33" s="157">
        <f>'график анн Комп 7%'!L28</f>
        <v>0</v>
      </c>
      <c r="O33" s="51" t="str">
        <f>'график анн Комп 7%'!P28</f>
        <v/>
      </c>
      <c r="P33" s="49" t="str">
        <f>'график анн Комп 7%'!Q28</f>
        <v/>
      </c>
    </row>
    <row r="34" spans="1:16" x14ac:dyDescent="0.35">
      <c r="A34" s="154">
        <f>'график анн Комп 7%'!A29</f>
        <v>5</v>
      </c>
      <c r="B34" s="149">
        <f ca="1">'график анн Комп 7%'!C29</f>
        <v>44638</v>
      </c>
      <c r="C34" s="156">
        <f ca="1">'график анн Комп 7%'!D29</f>
        <v>28</v>
      </c>
      <c r="D34" s="151">
        <f ca="1">'график анн Комп 7%'!E29</f>
        <v>1990071.2596804067</v>
      </c>
      <c r="E34" s="47">
        <f ca="1">'график анн Комп 7%'!H29</f>
        <v>14270.450061305261</v>
      </c>
      <c r="F34" s="47">
        <f ca="1">'график анн Комп 7%'!F29</f>
        <v>3564.8970007707176</v>
      </c>
      <c r="G34" s="47">
        <f ca="1">'график анн Комп 7%'!G29</f>
        <v>10705.553060534543</v>
      </c>
      <c r="H34" s="157">
        <f>'график анн Комп 7%'!O29</f>
        <v>0</v>
      </c>
      <c r="I34" s="157" t="str">
        <f>'график анн Комп 7%'!M29</f>
        <v/>
      </c>
      <c r="J34" s="157" t="str">
        <f>'график анн Комп 7%'!N29</f>
        <v/>
      </c>
      <c r="K34" s="157" t="str">
        <f>'график анн Комп 7%'!I29</f>
        <v/>
      </c>
      <c r="L34" s="157" t="str">
        <f>'график анн Комп 7%'!J29</f>
        <v/>
      </c>
      <c r="M34" s="157">
        <f>'график анн Комп 7%'!K29</f>
        <v>0</v>
      </c>
      <c r="N34" s="157" t="str">
        <f>'график анн Комп 7%'!L29</f>
        <v/>
      </c>
      <c r="O34" s="51" t="str">
        <f>'график анн Комп 7%'!P29</f>
        <v/>
      </c>
      <c r="P34" s="49" t="str">
        <f>'график анн Комп 7%'!Q29</f>
        <v/>
      </c>
    </row>
    <row r="35" spans="1:16" x14ac:dyDescent="0.35">
      <c r="A35" s="154">
        <f>'график анн Комп 7%'!A30</f>
        <v>6</v>
      </c>
      <c r="B35" s="149">
        <f ca="1">'график анн Комп 7%'!C30</f>
        <v>44669</v>
      </c>
      <c r="C35" s="156">
        <f ca="1">'график анн Комп 7%'!D30</f>
        <v>31</v>
      </c>
      <c r="D35" s="151">
        <f ca="1">'график анн Комп 7%'!E30</f>
        <v>1988574.6722984423</v>
      </c>
      <c r="E35" s="47">
        <f ca="1">'график анн Комп 7%'!H30</f>
        <v>13327.969939516355</v>
      </c>
      <c r="F35" s="47">
        <f ca="1">'график анн Комп 7%'!F30</f>
        <v>1496.5873819643457</v>
      </c>
      <c r="G35" s="47">
        <f ca="1">'график анн Комп 7%'!G30</f>
        <v>11831.38255755201</v>
      </c>
      <c r="H35" s="157">
        <f>'график анн Комп 7%'!O30</f>
        <v>0</v>
      </c>
      <c r="I35" s="157" t="str">
        <f>'график анн Комп 7%'!M30</f>
        <v/>
      </c>
      <c r="J35" s="157" t="str">
        <f>'график анн Комп 7%'!N30</f>
        <v/>
      </c>
      <c r="K35" s="157" t="str">
        <f>'график анн Комп 7%'!I30</f>
        <v/>
      </c>
      <c r="L35" s="157" t="str">
        <f>'график анн Комп 7%'!J30</f>
        <v/>
      </c>
      <c r="M35" s="157">
        <f>'график анн Комп 7%'!K30</f>
        <v>0</v>
      </c>
      <c r="N35" s="157" t="str">
        <f>'график анн Комп 7%'!L30</f>
        <v/>
      </c>
      <c r="O35" s="51" t="str">
        <f>'график анн Комп 7%'!P30</f>
        <v/>
      </c>
      <c r="P35" s="49" t="str">
        <f>'график анн Комп 7%'!Q30</f>
        <v/>
      </c>
    </row>
    <row r="36" spans="1:16" x14ac:dyDescent="0.35">
      <c r="A36" s="154">
        <f>'график анн Комп 7%'!A31</f>
        <v>7</v>
      </c>
      <c r="B36" s="149">
        <f ca="1">'график анн Комп 7%'!C31</f>
        <v>44699</v>
      </c>
      <c r="C36" s="156">
        <f ca="1">'график анн Комп 7%'!D31</f>
        <v>30</v>
      </c>
      <c r="D36" s="151">
        <f ca="1">'график анн Комп 7%'!E31</f>
        <v>1986361.1068394519</v>
      </c>
      <c r="E36" s="47">
        <f ca="1">'график анн Комп 7%'!H31</f>
        <v>13654.680011940369</v>
      </c>
      <c r="F36" s="47">
        <f ca="1">'график анн Комп 7%'!F31</f>
        <v>2213.5654589904261</v>
      </c>
      <c r="G36" s="47">
        <f ca="1">'график анн Комп 7%'!G31</f>
        <v>11441.114552949943</v>
      </c>
      <c r="H36" s="157">
        <f>'график анн Комп 7%'!O31</f>
        <v>0</v>
      </c>
      <c r="I36" s="157" t="str">
        <f>'график анн Комп 7%'!M31</f>
        <v/>
      </c>
      <c r="J36" s="157" t="str">
        <f>'график анн Комп 7%'!N31</f>
        <v/>
      </c>
      <c r="K36" s="157" t="str">
        <f>'график анн Комп 7%'!I31</f>
        <v/>
      </c>
      <c r="L36" s="157" t="str">
        <f>'график анн Комп 7%'!J31</f>
        <v/>
      </c>
      <c r="M36" s="157">
        <f>'график анн Комп 7%'!K31</f>
        <v>0</v>
      </c>
      <c r="N36" s="157" t="str">
        <f>'график анн Комп 7%'!L31</f>
        <v/>
      </c>
      <c r="O36" s="51" t="str">
        <f>'график анн Комп 7%'!P31</f>
        <v/>
      </c>
      <c r="P36" s="49" t="str">
        <f>'график анн Комп 7%'!Q31</f>
        <v/>
      </c>
    </row>
    <row r="37" spans="1:16" x14ac:dyDescent="0.35">
      <c r="A37" s="154">
        <f>'график анн Комп 7%'!A32</f>
        <v>8</v>
      </c>
      <c r="B37" s="149">
        <f ca="1">'график анн Комп 7%'!C32</f>
        <v>44730</v>
      </c>
      <c r="C37" s="156">
        <f ca="1">'график анн Комп 7%'!D32</f>
        <v>31</v>
      </c>
      <c r="D37" s="151">
        <f ca="1">'график анн Комп 7%'!E32</f>
        <v>1984823.9964566226</v>
      </c>
      <c r="E37" s="47">
        <f ca="1">'график анн Комп 7%'!H32</f>
        <v>13346.435319381775</v>
      </c>
      <c r="F37" s="47">
        <f ca="1">'график анн Комп 7%'!F32</f>
        <v>1537.1103828294144</v>
      </c>
      <c r="G37" s="47">
        <f ca="1">'график анн Комп 7%'!G32</f>
        <v>11809.324936552361</v>
      </c>
      <c r="H37" s="157">
        <f>'график анн Комп 7%'!O32</f>
        <v>0</v>
      </c>
      <c r="I37" s="157" t="str">
        <f>'график анн Комп 7%'!M32</f>
        <v/>
      </c>
      <c r="J37" s="157" t="str">
        <f>'график анн Комп 7%'!N32</f>
        <v/>
      </c>
      <c r="K37" s="157" t="str">
        <f>'график анн Комп 7%'!I32</f>
        <v/>
      </c>
      <c r="L37" s="157" t="str">
        <f>'график анн Комп 7%'!J32</f>
        <v/>
      </c>
      <c r="M37" s="157">
        <f>'график анн Комп 7%'!K32</f>
        <v>0</v>
      </c>
      <c r="N37" s="157" t="str">
        <f>'график анн Комп 7%'!L32</f>
        <v/>
      </c>
      <c r="O37" s="51" t="str">
        <f>'график анн Комп 7%'!P32</f>
        <v/>
      </c>
      <c r="P37" s="49" t="str">
        <f>'график анн Комп 7%'!Q32</f>
        <v/>
      </c>
    </row>
    <row r="38" spans="1:16" x14ac:dyDescent="0.35">
      <c r="A38" s="154">
        <f>'график анн Комп 7%'!A33</f>
        <v>9</v>
      </c>
      <c r="B38" s="149">
        <f ca="1">'график анн Комп 7%'!C33</f>
        <v>44760</v>
      </c>
      <c r="C38" s="156">
        <f ca="1">'график анн Комп 7%'!D33</f>
        <v>30</v>
      </c>
      <c r="D38" s="151">
        <f ca="1">'график анн Комп 7%'!E33</f>
        <v>1982570.7868677753</v>
      </c>
      <c r="E38" s="47">
        <f ca="1">'график анн Комп 7%'!H33</f>
        <v>13672.744910926449</v>
      </c>
      <c r="F38" s="47">
        <f ca="1">'график анн Комп 7%'!F33</f>
        <v>2253.2095888472504</v>
      </c>
      <c r="G38" s="47">
        <f ca="1">'график анн Комп 7%'!G33</f>
        <v>11419.535322079199</v>
      </c>
      <c r="H38" s="157">
        <f>'график анн Комп 7%'!O33</f>
        <v>0</v>
      </c>
      <c r="I38" s="157" t="str">
        <f>'график анн Комп 7%'!M33</f>
        <v/>
      </c>
      <c r="J38" s="157" t="str">
        <f>'график анн Комп 7%'!N33</f>
        <v/>
      </c>
      <c r="K38" s="157" t="str">
        <f>'график анн Комп 7%'!I33</f>
        <v/>
      </c>
      <c r="L38" s="157" t="str">
        <f>'график анн Комп 7%'!J33</f>
        <v/>
      </c>
      <c r="M38" s="157">
        <f>'график анн Комп 7%'!K33</f>
        <v>0</v>
      </c>
      <c r="N38" s="157" t="str">
        <f>'график анн Комп 7%'!L33</f>
        <v/>
      </c>
      <c r="O38" s="51" t="str">
        <f>'график анн Комп 7%'!P33</f>
        <v/>
      </c>
      <c r="P38" s="49" t="str">
        <f>'график анн Комп 7%'!Q33</f>
        <v/>
      </c>
    </row>
    <row r="39" spans="1:16" x14ac:dyDescent="0.35">
      <c r="A39" s="154">
        <f>'график анн Комп 7%'!A34</f>
        <v>10</v>
      </c>
      <c r="B39" s="149">
        <f ca="1">'график анн Комп 7%'!C34</f>
        <v>44791</v>
      </c>
      <c r="C39" s="156">
        <f ca="1">'график анн Комп 7%'!D34</f>
        <v>31</v>
      </c>
      <c r="D39" s="151">
        <f ca="1">'график анн Комп 7%'!E34</f>
        <v>1980992.2778833045</v>
      </c>
      <c r="E39" s="47">
        <f ca="1">'график анн Комп 7%'!H34</f>
        <v>13365.299689958616</v>
      </c>
      <c r="F39" s="47">
        <f ca="1">'график анн Комп 7%'!F34</f>
        <v>1578.5089844707472</v>
      </c>
      <c r="G39" s="47">
        <f ca="1">'график анн Комп 7%'!G34</f>
        <v>11786.790705487869</v>
      </c>
      <c r="H39" s="157">
        <f>'график анн Комп 7%'!O34</f>
        <v>0</v>
      </c>
      <c r="I39" s="157" t="str">
        <f>'график анн Комп 7%'!M34</f>
        <v/>
      </c>
      <c r="J39" s="157" t="str">
        <f>'график анн Комп 7%'!N34</f>
        <v/>
      </c>
      <c r="K39" s="157" t="str">
        <f>'график анн Комп 7%'!I34</f>
        <v/>
      </c>
      <c r="L39" s="157" t="str">
        <f>'график анн Комп 7%'!J34</f>
        <v/>
      </c>
      <c r="M39" s="157">
        <f>'график анн Комп 7%'!K34</f>
        <v>0</v>
      </c>
      <c r="N39" s="157" t="str">
        <f>'график анн Комп 7%'!L34</f>
        <v/>
      </c>
      <c r="O39" s="51" t="str">
        <f>'график анн Комп 7%'!P34</f>
        <v/>
      </c>
      <c r="P39" s="49" t="str">
        <f>'график анн Комп 7%'!Q34</f>
        <v/>
      </c>
    </row>
    <row r="40" spans="1:16" x14ac:dyDescent="0.35">
      <c r="A40" s="154">
        <f>'график анн Комп 7%'!A35</f>
        <v>11</v>
      </c>
      <c r="B40" s="149">
        <f ca="1">'график анн Комп 7%'!C35</f>
        <v>44822</v>
      </c>
      <c r="C40" s="156">
        <f ca="1">'график анн Комп 7%'!D35</f>
        <v>31</v>
      </c>
      <c r="D40" s="151">
        <f ca="1">'график анн Комп 7%'!E35</f>
        <v>1979396.5281209776</v>
      </c>
      <c r="E40" s="47">
        <f ca="1">'график анн Комп 7%'!H35</f>
        <v>13373.155907550918</v>
      </c>
      <c r="F40" s="47">
        <f ca="1">'график анн Комп 7%'!F35</f>
        <v>1595.7497623268864</v>
      </c>
      <c r="G40" s="47">
        <f ca="1">'график анн Комп 7%'!G35</f>
        <v>11777.406145224031</v>
      </c>
      <c r="H40" s="157">
        <f>'график анн Комп 7%'!O35</f>
        <v>0</v>
      </c>
      <c r="I40" s="157" t="str">
        <f>'график анн Комп 7%'!M35</f>
        <v/>
      </c>
      <c r="J40" s="157" t="str">
        <f>'график анн Комп 7%'!N35</f>
        <v/>
      </c>
      <c r="K40" s="157" t="str">
        <f>'график анн Комп 7%'!I35</f>
        <v/>
      </c>
      <c r="L40" s="157" t="str">
        <f>'график анн Комп 7%'!J35</f>
        <v/>
      </c>
      <c r="M40" s="157">
        <f>'график анн Комп 7%'!K35</f>
        <v>0</v>
      </c>
      <c r="N40" s="157" t="str">
        <f>'график анн Комп 7%'!L35</f>
        <v/>
      </c>
      <c r="O40" s="51" t="str">
        <f>'график анн Комп 7%'!P35</f>
        <v/>
      </c>
      <c r="P40" s="49" t="str">
        <f>'график анн Комп 7%'!Q35</f>
        <v/>
      </c>
    </row>
    <row r="41" spans="1:16" x14ac:dyDescent="0.35">
      <c r="A41" s="154">
        <f>'график анн Комп 7%'!A36</f>
        <v>12</v>
      </c>
      <c r="B41" s="149">
        <f ca="1">'график анн Комп 7%'!C36</f>
        <v>44852</v>
      </c>
      <c r="C41" s="156">
        <f ca="1">'график анн Комп 7%'!D36</f>
        <v>30</v>
      </c>
      <c r="D41" s="151">
        <f ca="1">'график анн Комп 7%'!E36</f>
        <v>1977085.9509353114</v>
      </c>
      <c r="E41" s="47">
        <f ca="1">'график анн Комп 7%'!H36</f>
        <v>13698.885977595117</v>
      </c>
      <c r="F41" s="47">
        <f ca="1">'график анн Комп 7%'!F36</f>
        <v>2310.5771856662031</v>
      </c>
      <c r="G41" s="47">
        <f ca="1">'график анн Комп 7%'!G36</f>
        <v>11388.308791928914</v>
      </c>
      <c r="H41" s="157">
        <f>'график анн Комп 7%'!O36</f>
        <v>0</v>
      </c>
      <c r="I41" s="157" t="str">
        <f>'график анн Комп 7%'!M36</f>
        <v/>
      </c>
      <c r="J41" s="157" t="str">
        <f>'график анн Комп 7%'!N36</f>
        <v/>
      </c>
      <c r="K41" s="157" t="str">
        <f>'график анн Комп 7%'!I36</f>
        <v/>
      </c>
      <c r="L41" s="157" t="str">
        <f>'график анн Комп 7%'!J36</f>
        <v/>
      </c>
      <c r="M41" s="157">
        <f>'график анн Комп 7%'!K36</f>
        <v>0</v>
      </c>
      <c r="N41" s="157" t="str">
        <f>'график анн Комп 7%'!L36</f>
        <v/>
      </c>
      <c r="O41" s="51" t="str">
        <f>'график анн Комп 7%'!P36</f>
        <v/>
      </c>
      <c r="P41" s="49" t="str">
        <f>'график анн Комп 7%'!Q36</f>
        <v/>
      </c>
    </row>
    <row r="42" spans="1:16" x14ac:dyDescent="0.35">
      <c r="A42" s="154">
        <f>'график анн Комп 7%'!A37</f>
        <v>13</v>
      </c>
      <c r="B42" s="149">
        <f ca="1">'график анн Комп 7%'!C37</f>
        <v>44883</v>
      </c>
      <c r="C42" s="156">
        <f ca="1">'график анн Комп 7%'!D37</f>
        <v>31</v>
      </c>
      <c r="D42" s="151">
        <f ca="1">'график анн Комп 7%'!E37</f>
        <v>1975447.5355208998</v>
      </c>
      <c r="E42" s="47">
        <f ca="1">'график анн Комп 7%'!H37</f>
        <v>13392.597643259751</v>
      </c>
      <c r="F42" s="47">
        <f ca="1">'график анн Комп 7%'!F37</f>
        <v>1638.4154144114618</v>
      </c>
      <c r="G42" s="47">
        <f ca="1">'график анн Комп 7%'!G37</f>
        <v>11754.182228848289</v>
      </c>
      <c r="H42" s="157">
        <f>'график анн Комп 7%'!O37</f>
        <v>0</v>
      </c>
      <c r="I42" s="223" t="str">
        <f>'график анн Комп 7%'!M37</f>
        <v/>
      </c>
      <c r="J42" s="223">
        <f>'график анн Комп 7%'!N37</f>
        <v>0</v>
      </c>
      <c r="K42" s="223" t="str">
        <f>'график анн Комп 7%'!I37</f>
        <v/>
      </c>
      <c r="L42" s="223" t="str">
        <f>'график анн Комп 7%'!J37</f>
        <v/>
      </c>
      <c r="M42" s="201">
        <f>'график анн Комп 7%'!K37</f>
        <v>7500</v>
      </c>
      <c r="N42" s="223" t="str">
        <f>'график анн Комп 7%'!L37</f>
        <v/>
      </c>
      <c r="O42" s="51" t="str">
        <f>'график анн Комп 7%'!P37</f>
        <v/>
      </c>
      <c r="P42" s="49" t="str">
        <f>'график анн Комп 7%'!Q37</f>
        <v/>
      </c>
    </row>
    <row r="43" spans="1:16" x14ac:dyDescent="0.35">
      <c r="A43" s="154">
        <f>'график анн Комп 7%'!A38</f>
        <v>14</v>
      </c>
      <c r="B43" s="149">
        <f ca="1">'график анн Комп 7%'!C38</f>
        <v>44913</v>
      </c>
      <c r="C43" s="156">
        <f ca="1">'график анн Комп 7%'!D38</f>
        <v>30</v>
      </c>
      <c r="D43" s="151">
        <f ca="1">'график анн Комп 7%'!E38</f>
        <v>1973095.2180244087</v>
      </c>
      <c r="E43" s="47">
        <f ca="1">'график анн Комп 7%'!H38</f>
        <v>13717.906057022339</v>
      </c>
      <c r="F43" s="47">
        <f ca="1">'график анн Комп 7%'!F38</f>
        <v>2352.3174964911341</v>
      </c>
      <c r="G43" s="47">
        <f ca="1">'график анн Комп 7%'!G38</f>
        <v>11365.588560531205</v>
      </c>
      <c r="H43" s="157">
        <f>'график анн Комп 7%'!O38</f>
        <v>0</v>
      </c>
      <c r="I43" s="223" t="str">
        <f>'график анн Комп 7%'!M38</f>
        <v/>
      </c>
      <c r="J43" s="223" t="str">
        <f>'график анн Комп 7%'!N38</f>
        <v/>
      </c>
      <c r="K43" s="223" t="str">
        <f>'график анн Комп 7%'!I38</f>
        <v/>
      </c>
      <c r="L43" s="223" t="str">
        <f>'график анн Комп 7%'!J38</f>
        <v/>
      </c>
      <c r="M43" s="157">
        <f>'график анн Комп 7%'!K38</f>
        <v>0</v>
      </c>
      <c r="N43" s="223" t="str">
        <f>'график анн Комп 7%'!L38</f>
        <v/>
      </c>
      <c r="O43" s="51" t="str">
        <f>'график анн Комп 7%'!P38</f>
        <v/>
      </c>
      <c r="P43" s="49" t="str">
        <f>'график анн Комп 7%'!Q38</f>
        <v/>
      </c>
    </row>
    <row r="44" spans="1:16" x14ac:dyDescent="0.35">
      <c r="A44" s="154">
        <f>'график анн Комп 7%'!A39</f>
        <v>15</v>
      </c>
      <c r="B44" s="149">
        <f ca="1">'график анн Комп 7%'!C39</f>
        <v>44944</v>
      </c>
      <c r="C44" s="156">
        <f ca="1">'график анн Комп 7%'!D39</f>
        <v>31</v>
      </c>
      <c r="D44" s="151">
        <f ca="1">'график анн Комп 7%'!E39</f>
        <v>1971413.2150597982</v>
      </c>
      <c r="E44" s="47">
        <f ca="1">'график анн Комп 7%'!H39</f>
        <v>13412.459466289742</v>
      </c>
      <c r="F44" s="47">
        <f ca="1">'график анн Комп 7%'!F39</f>
        <v>1682.0029646103794</v>
      </c>
      <c r="G44" s="47">
        <f ca="1">'график анн Комп 7%'!G39</f>
        <v>11730.456501679362</v>
      </c>
      <c r="H44" s="157">
        <f>'график анн Комп 7%'!O39</f>
        <v>0</v>
      </c>
      <c r="I44" s="223" t="str">
        <f>'график анн Комп 7%'!M39</f>
        <v/>
      </c>
      <c r="J44" s="223" t="str">
        <f>'график анн Комп 7%'!N39</f>
        <v/>
      </c>
      <c r="K44" s="223" t="str">
        <f>'график анн Комп 7%'!I39</f>
        <v/>
      </c>
      <c r="L44" s="223" t="str">
        <f>'график анн Комп 7%'!J39</f>
        <v/>
      </c>
      <c r="M44" s="157">
        <f>'график анн Комп 7%'!K39</f>
        <v>0</v>
      </c>
      <c r="N44" s="223" t="str">
        <f>'график анн Комп 7%'!L39</f>
        <v/>
      </c>
      <c r="O44" s="51" t="str">
        <f>'график анн Комп 7%'!P39</f>
        <v/>
      </c>
      <c r="P44" s="49" t="str">
        <f>'график анн Комп 7%'!Q39</f>
        <v/>
      </c>
    </row>
    <row r="45" spans="1:16" x14ac:dyDescent="0.35">
      <c r="A45" s="154">
        <f>'график анн Комп 7%'!A40</f>
        <v>16</v>
      </c>
      <c r="B45" s="149">
        <f ca="1">'график анн Комп 7%'!C40</f>
        <v>44975</v>
      </c>
      <c r="C45" s="156">
        <f ca="1">'график анн Комп 7%'!D40</f>
        <v>31</v>
      </c>
      <c r="D45" s="151">
        <f ca="1">'график анн Комп 7%'!E40</f>
        <v>1969712.8409362324</v>
      </c>
      <c r="E45" s="47">
        <f ca="1">'график анн Комп 7%'!H40</f>
        <v>13420.83077200347</v>
      </c>
      <c r="F45" s="47">
        <f ca="1">'график анн Комп 7%'!F40</f>
        <v>1700.3741235657653</v>
      </c>
      <c r="G45" s="47">
        <f ca="1">'график анн Комп 7%'!G40</f>
        <v>11720.456648437705</v>
      </c>
      <c r="H45" s="157">
        <f>'график анн Комп 7%'!O40</f>
        <v>0</v>
      </c>
      <c r="I45" s="223" t="str">
        <f>'график анн Комп 7%'!M40</f>
        <v/>
      </c>
      <c r="J45" s="223" t="str">
        <f>'график анн Комп 7%'!N40</f>
        <v/>
      </c>
      <c r="K45" s="223" t="str">
        <f>'график анн Комп 7%'!I40</f>
        <v/>
      </c>
      <c r="L45" s="223" t="str">
        <f>'график анн Комп 7%'!J40</f>
        <v/>
      </c>
      <c r="M45" s="157">
        <f>'график анн Комп 7%'!K40</f>
        <v>0</v>
      </c>
      <c r="N45" s="223" t="str">
        <f>'график анн Комп 7%'!L40</f>
        <v/>
      </c>
      <c r="O45" s="51" t="str">
        <f>'график анн Комп 7%'!P40</f>
        <v/>
      </c>
      <c r="P45" s="49" t="str">
        <f>'график анн Комп 7%'!Q40</f>
        <v/>
      </c>
    </row>
    <row r="46" spans="1:16" x14ac:dyDescent="0.35">
      <c r="A46" s="154">
        <f>'график анн Комп 7%'!A41</f>
        <v>17</v>
      </c>
      <c r="B46" s="149">
        <f ca="1">'график анн Комп 7%'!C41</f>
        <v>45003</v>
      </c>
      <c r="C46" s="156">
        <f ca="1">'график анн Комп 7%'!D41</f>
        <v>28</v>
      </c>
      <c r="D46" s="151">
        <f ca="1">'график анн Комп 7%'!E41</f>
        <v>1965911.935509888</v>
      </c>
      <c r="E46" s="47">
        <f ca="1">'график анн Комп 7%'!H41</f>
        <v>14377.99355849514</v>
      </c>
      <c r="F46" s="47">
        <f ca="1">'график анн Комп 7%'!F41</f>
        <v>3800.9054263444123</v>
      </c>
      <c r="G46" s="47">
        <f ca="1">'график анн Комп 7%'!G41</f>
        <v>10577.088132150728</v>
      </c>
      <c r="H46" s="157">
        <f>'график анн Комп 7%'!O41</f>
        <v>0</v>
      </c>
      <c r="I46" s="223" t="str">
        <f>'график анн Комп 7%'!M41</f>
        <v/>
      </c>
      <c r="J46" s="223" t="str">
        <f>'график анн Комп 7%'!N41</f>
        <v/>
      </c>
      <c r="K46" s="223" t="str">
        <f>'график анн Комп 7%'!I41</f>
        <v/>
      </c>
      <c r="L46" s="223" t="str">
        <f>'график анн Комп 7%'!J41</f>
        <v/>
      </c>
      <c r="M46" s="157">
        <f>'график анн Комп 7%'!K41</f>
        <v>0</v>
      </c>
      <c r="N46" s="223" t="str">
        <f>'график анн Комп 7%'!L41</f>
        <v/>
      </c>
      <c r="O46" s="51" t="str">
        <f>'график анн Комп 7%'!P41</f>
        <v/>
      </c>
      <c r="P46" s="49" t="str">
        <f>'график анн Комп 7%'!Q41</f>
        <v/>
      </c>
    </row>
    <row r="47" spans="1:16" x14ac:dyDescent="0.35">
      <c r="A47" s="154">
        <f>'график анн Комп 7%'!A42</f>
        <v>18</v>
      </c>
      <c r="B47" s="149">
        <f ca="1">'график анн Комп 7%'!C42</f>
        <v>45034</v>
      </c>
      <c r="C47" s="156">
        <f ca="1">'график анн Комп 7%'!D42</f>
        <v>31</v>
      </c>
      <c r="D47" s="151">
        <f ca="1">'график анн Комп 7%'!E42</f>
        <v>1964151.4753560382</v>
      </c>
      <c r="E47" s="47">
        <f ca="1">'график анн Комп 7%'!H42</f>
        <v>13448.21056496338</v>
      </c>
      <c r="F47" s="47">
        <f ca="1">'график анн Комп 7%'!F42</f>
        <v>1760.4601538497991</v>
      </c>
      <c r="G47" s="47">
        <f ca="1">'график анн Комп 7%'!G42</f>
        <v>11687.75041111358</v>
      </c>
      <c r="H47" s="157">
        <f>'график анн Комп 7%'!O42</f>
        <v>0</v>
      </c>
      <c r="I47" s="223" t="str">
        <f>'график анн Комп 7%'!M42</f>
        <v/>
      </c>
      <c r="J47" s="223" t="str">
        <f>'график анн Комп 7%'!N42</f>
        <v/>
      </c>
      <c r="K47" s="223" t="str">
        <f>'график анн Комп 7%'!I42</f>
        <v/>
      </c>
      <c r="L47" s="223" t="str">
        <f>'график анн Комп 7%'!J42</f>
        <v/>
      </c>
      <c r="M47" s="157">
        <f>'график анн Комп 7%'!K42</f>
        <v>0</v>
      </c>
      <c r="N47" s="223" t="str">
        <f>'график анн Комп 7%'!L42</f>
        <v/>
      </c>
      <c r="O47" s="51" t="str">
        <f>'график анн Комп 7%'!P42</f>
        <v/>
      </c>
      <c r="P47" s="49" t="str">
        <f>'график анн Комп 7%'!Q42</f>
        <v/>
      </c>
    </row>
    <row r="48" spans="1:16" x14ac:dyDescent="0.35">
      <c r="A48" s="154">
        <f>'график анн Комп 7%'!A43</f>
        <v>19</v>
      </c>
      <c r="B48" s="149">
        <f ca="1">'график анн Комп 7%'!C43</f>
        <v>45064</v>
      </c>
      <c r="C48" s="156">
        <f ca="1">'график анн Комп 7%'!D43</f>
        <v>30</v>
      </c>
      <c r="D48" s="151">
        <f ca="1">'график анн Комп 7%'!E43</f>
        <v>1961679.7600510099</v>
      </c>
      <c r="E48" s="47">
        <f ca="1">'график анн Комп 7%'!H43</f>
        <v>13772.312834473918</v>
      </c>
      <c r="F48" s="47">
        <f ca="1">'график анн Комп 7%'!F43</f>
        <v>2471.7153050282177</v>
      </c>
      <c r="G48" s="47">
        <f ca="1">'график анн Комп 7%'!G43</f>
        <v>11300.5975294457</v>
      </c>
      <c r="H48" s="157">
        <f>'график анн Комп 7%'!O43</f>
        <v>0</v>
      </c>
      <c r="I48" s="223" t="str">
        <f>'график анн Комп 7%'!M43</f>
        <v/>
      </c>
      <c r="J48" s="223" t="str">
        <f>'график анн Комп 7%'!N43</f>
        <v/>
      </c>
      <c r="K48" s="223" t="str">
        <f>'график анн Комп 7%'!I43</f>
        <v/>
      </c>
      <c r="L48" s="223" t="str">
        <f>'график анн Комп 7%'!J43</f>
        <v/>
      </c>
      <c r="M48" s="157">
        <f>'график анн Комп 7%'!K43</f>
        <v>0</v>
      </c>
      <c r="N48" s="223" t="str">
        <f>'график анн Комп 7%'!L43</f>
        <v/>
      </c>
      <c r="O48" s="51" t="str">
        <f>'график анн Комп 7%'!P43</f>
        <v/>
      </c>
      <c r="P48" s="49" t="str">
        <f>'график анн Комп 7%'!Q43</f>
        <v/>
      </c>
    </row>
    <row r="49" spans="1:16" x14ac:dyDescent="0.35">
      <c r="A49" s="154">
        <f>'график анн Комп 7%'!A44</f>
        <v>20</v>
      </c>
      <c r="B49" s="149">
        <f ca="1">'график анн Комп 7%'!C44</f>
        <v>45095</v>
      </c>
      <c r="C49" s="156">
        <f ca="1">'график анн Комп 7%'!D44</f>
        <v>31</v>
      </c>
      <c r="D49" s="151">
        <f ca="1">'график анн Комп 7%'!E44</f>
        <v>1959873.0752651482</v>
      </c>
      <c r="E49" s="47">
        <f ca="1">'график анн Комп 7%'!H44</f>
        <v>13469.274044247208</v>
      </c>
      <c r="F49" s="47">
        <f ca="1">'график анн Комп 7%'!F44</f>
        <v>1806.6847858617512</v>
      </c>
      <c r="G49" s="47">
        <f ca="1">'график анн Комп 7%'!G44</f>
        <v>11662.589258385457</v>
      </c>
      <c r="H49" s="157">
        <f>'график анн Комп 7%'!O44</f>
        <v>0</v>
      </c>
      <c r="I49" s="223" t="str">
        <f>'график анн Комп 7%'!M44</f>
        <v/>
      </c>
      <c r="J49" s="223" t="str">
        <f>'график анн Комп 7%'!N44</f>
        <v/>
      </c>
      <c r="K49" s="223" t="str">
        <f>'график анн Комп 7%'!I44</f>
        <v/>
      </c>
      <c r="L49" s="223" t="str">
        <f>'график анн Комп 7%'!J44</f>
        <v/>
      </c>
      <c r="M49" s="157">
        <f>'график анн Комп 7%'!K44</f>
        <v>0</v>
      </c>
      <c r="N49" s="223" t="str">
        <f>'график анн Комп 7%'!L44</f>
        <v/>
      </c>
      <c r="O49" s="51" t="str">
        <f>'график анн Комп 7%'!P44</f>
        <v/>
      </c>
      <c r="P49" s="49" t="str">
        <f>'график анн Комп 7%'!Q44</f>
        <v/>
      </c>
    </row>
    <row r="50" spans="1:16" x14ac:dyDescent="0.35">
      <c r="A50" s="154">
        <f>'график анн Комп 7%'!A45</f>
        <v>21</v>
      </c>
      <c r="B50" s="149">
        <f ca="1">'график анн Комп 7%'!C45</f>
        <v>45125</v>
      </c>
      <c r="C50" s="156">
        <f ca="1">'график анн Комп 7%'!D45</f>
        <v>30</v>
      </c>
      <c r="D50" s="151">
        <f ca="1">'график анн Комп 7%'!E45</f>
        <v>1957356.1378572416</v>
      </c>
      <c r="E50" s="47">
        <f ca="1">'график анн Комп 7%'!H45</f>
        <v>13792.919484774697</v>
      </c>
      <c r="F50" s="47">
        <f ca="1">'график анн Комп 7%'!F45</f>
        <v>2516.9374079067202</v>
      </c>
      <c r="G50" s="47">
        <f ca="1">'график анн Комп 7%'!G45</f>
        <v>11275.982076867977</v>
      </c>
      <c r="H50" s="157">
        <f>'график анн Комп 7%'!O45</f>
        <v>0</v>
      </c>
      <c r="I50" s="223" t="str">
        <f>'график анн Комп 7%'!M45</f>
        <v/>
      </c>
      <c r="J50" s="223" t="str">
        <f>'график анн Комп 7%'!N45</f>
        <v/>
      </c>
      <c r="K50" s="223" t="str">
        <f>'график анн Комп 7%'!I45</f>
        <v/>
      </c>
      <c r="L50" s="223" t="str">
        <f>'график анн Комп 7%'!J45</f>
        <v/>
      </c>
      <c r="M50" s="157">
        <f>'график анн Комп 7%'!K45</f>
        <v>0</v>
      </c>
      <c r="N50" s="223" t="str">
        <f>'график анн Комп 7%'!L45</f>
        <v/>
      </c>
      <c r="O50" s="51" t="str">
        <f>'график анн Комп 7%'!P45</f>
        <v/>
      </c>
      <c r="P50" s="49" t="str">
        <f>'график анн Комп 7%'!Q45</f>
        <v/>
      </c>
    </row>
    <row r="51" spans="1:16" x14ac:dyDescent="0.35">
      <c r="A51" s="154">
        <f>'график анн Комп 7%'!A46</f>
        <v>22</v>
      </c>
      <c r="B51" s="149">
        <f ca="1">'график анн Комп 7%'!C46</f>
        <v>45156</v>
      </c>
      <c r="C51" s="156">
        <f ca="1">'график анн Комп 7%'!D46</f>
        <v>31</v>
      </c>
      <c r="D51" s="151">
        <f ca="1">'график анн Комп 7%'!E46</f>
        <v>1955502.2296405917</v>
      </c>
      <c r="E51" s="47">
        <f ca="1">'график анн Комп 7%'!H46</f>
        <v>13490.792652677894</v>
      </c>
      <c r="F51" s="47">
        <f ca="1">'график анн Комп 7%'!F46</f>
        <v>1853.9082166499102</v>
      </c>
      <c r="G51" s="47">
        <f ca="1">'график анн Комп 7%'!G46</f>
        <v>11636.884436027984</v>
      </c>
      <c r="H51" s="157">
        <f>'график анн Комп 7%'!O46</f>
        <v>0</v>
      </c>
      <c r="I51" s="223" t="str">
        <f>'график анн Комп 7%'!M46</f>
        <v/>
      </c>
      <c r="J51" s="223" t="str">
        <f>'график анн Комп 7%'!N46</f>
        <v/>
      </c>
      <c r="K51" s="223" t="str">
        <f>'график анн Комп 7%'!I46</f>
        <v/>
      </c>
      <c r="L51" s="223" t="str">
        <f>'график анн Комп 7%'!J46</f>
        <v/>
      </c>
      <c r="M51" s="157">
        <f>'график анн Комп 7%'!K46</f>
        <v>0</v>
      </c>
      <c r="N51" s="223" t="str">
        <f>'график анн Комп 7%'!L46</f>
        <v/>
      </c>
      <c r="O51" s="51" t="str">
        <f>'график анн Комп 7%'!P46</f>
        <v/>
      </c>
      <c r="P51" s="49" t="str">
        <f>'график анн Комп 7%'!Q46</f>
        <v/>
      </c>
    </row>
    <row r="52" spans="1:16" x14ac:dyDescent="0.35">
      <c r="A52" s="154">
        <f>'график анн Комп 7%'!A47</f>
        <v>23</v>
      </c>
      <c r="B52" s="149">
        <f ca="1">'график анн Комп 7%'!C47</f>
        <v>45187</v>
      </c>
      <c r="C52" s="156">
        <f ca="1">'график анн Комп 7%'!D47</f>
        <v>31</v>
      </c>
      <c r="D52" s="151">
        <f ca="1">'график анн Комп 7%'!E47</f>
        <v>1953628.0726828554</v>
      </c>
      <c r="E52" s="47">
        <f ca="1">'график анн Комп 7%'!H47</f>
        <v>13500.019528476158</v>
      </c>
      <c r="F52" s="47">
        <f ca="1">'график анн Комп 7%'!F47</f>
        <v>1874.1569577361988</v>
      </c>
      <c r="G52" s="47">
        <f ca="1">'график анн Комп 7%'!G47</f>
        <v>11625.862570739959</v>
      </c>
      <c r="H52" s="157">
        <f>'график анн Комп 7%'!O47</f>
        <v>0</v>
      </c>
      <c r="I52" s="223" t="str">
        <f>'график анн Комп 7%'!M47</f>
        <v/>
      </c>
      <c r="J52" s="223" t="str">
        <f>'график анн Комп 7%'!N47</f>
        <v/>
      </c>
      <c r="K52" s="223" t="str">
        <f>'график анн Комп 7%'!I47</f>
        <v/>
      </c>
      <c r="L52" s="223" t="str">
        <f>'график анн Комп 7%'!J47</f>
        <v/>
      </c>
      <c r="M52" s="157">
        <f>'график анн Комп 7%'!K47</f>
        <v>0</v>
      </c>
      <c r="N52" s="223" t="str">
        <f>'график анн Комп 7%'!L47</f>
        <v/>
      </c>
      <c r="O52" s="51" t="str">
        <f>'график анн Комп 7%'!P47</f>
        <v/>
      </c>
      <c r="P52" s="49" t="str">
        <f>'график анн Комп 7%'!Q47</f>
        <v/>
      </c>
    </row>
    <row r="53" spans="1:16" x14ac:dyDescent="0.35">
      <c r="A53" s="154">
        <f>'график анн Комп 7%'!A48</f>
        <v>24</v>
      </c>
      <c r="B53" s="149">
        <f ca="1">'график анн Комп 7%'!C48</f>
        <v>45217</v>
      </c>
      <c r="C53" s="156">
        <f ca="1">'график анн Комп 7%'!D48</f>
        <v>30</v>
      </c>
      <c r="D53" s="151">
        <f ca="1">'график анн Комп 7%'!E48</f>
        <v>1951045.1264531338</v>
      </c>
      <c r="E53" s="47">
        <f ca="1">'график анн Комп 7%'!H48</f>
        <v>13822.998154746399</v>
      </c>
      <c r="F53" s="47">
        <f ca="1">'график анн Комп 7%'!F48</f>
        <v>2582.9462297217506</v>
      </c>
      <c r="G53" s="47">
        <f ca="1">'график анн Комп 7%'!G48</f>
        <v>11240.051925024649</v>
      </c>
      <c r="H53" s="157">
        <f>'график анн Комп 7%'!O48</f>
        <v>0</v>
      </c>
      <c r="I53" s="223" t="str">
        <f>'график анн Комп 7%'!M48</f>
        <v/>
      </c>
      <c r="J53" s="223" t="str">
        <f>'график анн Комп 7%'!N48</f>
        <v/>
      </c>
      <c r="K53" s="223" t="str">
        <f>'график анн Комп 7%'!I48</f>
        <v/>
      </c>
      <c r="L53" s="223" t="str">
        <f>'график анн Комп 7%'!J48</f>
        <v/>
      </c>
      <c r="M53" s="157">
        <f>'график анн Комп 7%'!K48</f>
        <v>0</v>
      </c>
      <c r="N53" s="223" t="str">
        <f>'график анн Комп 7%'!L48</f>
        <v/>
      </c>
      <c r="O53" s="51" t="str">
        <f>'график анн Комп 7%'!P48</f>
        <v/>
      </c>
      <c r="P53" s="49" t="str">
        <f>'график анн Комп 7%'!Q48</f>
        <v/>
      </c>
    </row>
    <row r="54" spans="1:16" x14ac:dyDescent="0.35">
      <c r="A54" s="154">
        <f>'график анн Комп 7%'!A49</f>
        <v>25</v>
      </c>
      <c r="B54" s="149">
        <f ca="1">'график анн Комп 7%'!C49</f>
        <v>45248</v>
      </c>
      <c r="C54" s="156">
        <f ca="1">'график анн Комп 7%'!D49</f>
        <v>31</v>
      </c>
      <c r="D54" s="151">
        <f ca="1">'график анн Комп 7%'!E49</f>
        <v>1949122.2881595972</v>
      </c>
      <c r="E54" s="47">
        <f ca="1">'график анн Комп 7%'!H49</f>
        <v>13522.202469983924</v>
      </c>
      <c r="F54" s="47">
        <f ca="1">'график анн Комп 7%'!F49</f>
        <v>1922.8382935365262</v>
      </c>
      <c r="G54" s="47">
        <f ca="1">'график анн Комп 7%'!G49</f>
        <v>11599.364176447398</v>
      </c>
      <c r="H54" s="157">
        <f>'график анн Комп 7%'!O49</f>
        <v>0</v>
      </c>
      <c r="I54" s="223" t="str">
        <f>'график анн Комп 7%'!M49</f>
        <v/>
      </c>
      <c r="J54" s="223">
        <f>'график анн Комп 7%'!N49</f>
        <v>0</v>
      </c>
      <c r="K54" s="223" t="str">
        <f>'график анн Комп 7%'!I49</f>
        <v/>
      </c>
      <c r="L54" s="223" t="str">
        <f>'график анн Комп 7%'!J49</f>
        <v/>
      </c>
      <c r="M54" s="201">
        <f>'график анн Комп 7%'!K49</f>
        <v>7500</v>
      </c>
      <c r="N54" s="223" t="str">
        <f>'график анн Комп 7%'!L49</f>
        <v/>
      </c>
      <c r="O54" s="51" t="str">
        <f>'график анн Комп 7%'!P49</f>
        <v/>
      </c>
      <c r="P54" s="49" t="str">
        <f>'график анн Комп 7%'!Q49</f>
        <v/>
      </c>
    </row>
    <row r="55" spans="1:16" x14ac:dyDescent="0.35">
      <c r="A55" s="154">
        <f>'график анн Комп 7%'!A50</f>
        <v>26</v>
      </c>
      <c r="B55" s="149">
        <f ca="1">'график анн Комп 7%'!C50</f>
        <v>45278</v>
      </c>
      <c r="C55" s="156">
        <f ca="1">'график анн Комп 7%'!D50</f>
        <v>30</v>
      </c>
      <c r="D55" s="151">
        <f ca="1">'график анн Комп 7%'!E50</f>
        <v>1946491.7164046953</v>
      </c>
      <c r="E55" s="47">
        <f ca="1">'график анн Комп 7%'!H50</f>
        <v>13844.699988148832</v>
      </c>
      <c r="F55" s="47">
        <f ca="1">'график анн Комп 7%'!F50</f>
        <v>2630.5717549018336</v>
      </c>
      <c r="G55" s="47">
        <f ca="1">'график анн Комп 7%'!G50</f>
        <v>11214.128233246998</v>
      </c>
      <c r="H55" s="157">
        <f>'график анн Комп 7%'!O50</f>
        <v>0</v>
      </c>
      <c r="I55" s="223" t="str">
        <f>'график анн Комп 7%'!M50</f>
        <v/>
      </c>
      <c r="J55" s="223" t="str">
        <f>'график анн Комп 7%'!N50</f>
        <v/>
      </c>
      <c r="K55" s="223" t="str">
        <f>'график анн Комп 7%'!I50</f>
        <v/>
      </c>
      <c r="L55" s="223" t="str">
        <f>'график анн Комп 7%'!J50</f>
        <v/>
      </c>
      <c r="M55" s="157">
        <f>'график анн Комп 7%'!K50</f>
        <v>0</v>
      </c>
      <c r="N55" s="223" t="str">
        <f>'график анн Комп 7%'!L50</f>
        <v/>
      </c>
      <c r="O55" s="51" t="str">
        <f>'график анн Комп 7%'!P50</f>
        <v/>
      </c>
      <c r="P55" s="49" t="str">
        <f>'график анн Комп 7%'!Q50</f>
        <v/>
      </c>
    </row>
    <row r="56" spans="1:16" x14ac:dyDescent="0.35">
      <c r="A56" s="154">
        <f>'график анн Комп 7%'!A51</f>
        <v>27</v>
      </c>
      <c r="B56" s="149">
        <f ca="1">'график анн Комп 7%'!C51</f>
        <v>45309</v>
      </c>
      <c r="C56" s="156">
        <f ca="1">'график анн Комп 7%'!D51</f>
        <v>31</v>
      </c>
      <c r="D56" s="151">
        <f ca="1">'график анн Комп 7%'!E51</f>
        <v>1944519.1448933531</v>
      </c>
      <c r="E56" s="47">
        <f ca="1">'график анн Комп 7%'!H51</f>
        <v>13513.24644193844</v>
      </c>
      <c r="F56" s="47">
        <f ca="1">'график анн Комп 7%'!F51</f>
        <v>1972.5715113422957</v>
      </c>
      <c r="G56" s="47">
        <f ca="1">'график анн Комп 7%'!G51</f>
        <v>11540.674930596144</v>
      </c>
      <c r="H56" s="157">
        <f>'график анн Комп 7%'!O51</f>
        <v>0</v>
      </c>
      <c r="I56" s="223" t="str">
        <f>'график анн Комп 7%'!M51</f>
        <v/>
      </c>
      <c r="J56" s="223" t="str">
        <f>'график анн Комп 7%'!N51</f>
        <v/>
      </c>
      <c r="K56" s="223" t="str">
        <f>'график анн Комп 7%'!I51</f>
        <v/>
      </c>
      <c r="L56" s="223" t="str">
        <f>'график анн Комп 7%'!J51</f>
        <v/>
      </c>
      <c r="M56" s="157">
        <f>'график анн Комп 7%'!K51</f>
        <v>0</v>
      </c>
      <c r="N56" s="223" t="str">
        <f>'график анн Комп 7%'!L51</f>
        <v/>
      </c>
      <c r="O56" s="51" t="str">
        <f>'график анн Комп 7%'!P51</f>
        <v/>
      </c>
      <c r="P56" s="49" t="str">
        <f>'график анн Комп 7%'!Q51</f>
        <v/>
      </c>
    </row>
    <row r="57" spans="1:16" x14ac:dyDescent="0.35">
      <c r="A57" s="154">
        <f>'график анн Комп 7%'!A52</f>
        <v>28</v>
      </c>
      <c r="B57" s="149">
        <f ca="1">'график анн Комп 7%'!C52</f>
        <v>45340</v>
      </c>
      <c r="C57" s="156">
        <f ca="1">'график анн Комп 7%'!D52</f>
        <v>31</v>
      </c>
      <c r="D57" s="151">
        <f ca="1">'график анн Комп 7%'!E52</f>
        <v>1942467.0001322473</v>
      </c>
      <c r="E57" s="47">
        <f ca="1">'график анн Комп 7%'!H52</f>
        <v>13581.124390664823</v>
      </c>
      <c r="F57" s="47">
        <f ca="1">'график анн Комп 7%'!F52</f>
        <v>2052.144761105872</v>
      </c>
      <c r="G57" s="47">
        <f ca="1">'график анн Комп 7%'!G52</f>
        <v>11528.979629558951</v>
      </c>
      <c r="H57" s="157">
        <f>'график анн Комп 7%'!O52</f>
        <v>0</v>
      </c>
      <c r="I57" s="223" t="str">
        <f>'график анн Комп 7%'!M52</f>
        <v/>
      </c>
      <c r="J57" s="223" t="str">
        <f>'график анн Комп 7%'!N52</f>
        <v/>
      </c>
      <c r="K57" s="223" t="str">
        <f>'график анн Комп 7%'!I52</f>
        <v/>
      </c>
      <c r="L57" s="223" t="str">
        <f>'график анн Комп 7%'!J52</f>
        <v/>
      </c>
      <c r="M57" s="157">
        <f>'график анн Комп 7%'!K52</f>
        <v>0</v>
      </c>
      <c r="N57" s="223" t="str">
        <f>'график анн Комп 7%'!L52</f>
        <v/>
      </c>
      <c r="O57" s="51" t="str">
        <f>'график анн Комп 7%'!P52</f>
        <v/>
      </c>
      <c r="P57" s="49" t="str">
        <f>'график анн Комп 7%'!Q52</f>
        <v/>
      </c>
    </row>
    <row r="58" spans="1:16" x14ac:dyDescent="0.35">
      <c r="A58" s="154">
        <f>'график анн Комп 7%'!A53</f>
        <v>29</v>
      </c>
      <c r="B58" s="149">
        <f ca="1">'график анн Комп 7%'!C53</f>
        <v>45369</v>
      </c>
      <c r="C58" s="156">
        <f ca="1">'график анн Комп 7%'!D53</f>
        <v>29</v>
      </c>
      <c r="D58" s="151">
        <f ca="1">'график анн Комп 7%'!E53</f>
        <v>1939027.4685057353</v>
      </c>
      <c r="E58" s="47">
        <f ca="1">'график анн Комп 7%'!H53</f>
        <v>14213.324004294675</v>
      </c>
      <c r="F58" s="47">
        <f ca="1">'график анн Комп 7%'!F53</f>
        <v>3439.5316265119909</v>
      </c>
      <c r="G58" s="47">
        <f ca="1">'график анн Комп 7%'!G53</f>
        <v>10773.792377782684</v>
      </c>
      <c r="H58" s="157">
        <f>'график анн Комп 7%'!O53</f>
        <v>0</v>
      </c>
      <c r="I58" s="223" t="str">
        <f>'график анн Комп 7%'!M53</f>
        <v/>
      </c>
      <c r="J58" s="223" t="str">
        <f>'график анн Комп 7%'!N53</f>
        <v/>
      </c>
      <c r="K58" s="223" t="str">
        <f>'график анн Комп 7%'!I53</f>
        <v/>
      </c>
      <c r="L58" s="223" t="str">
        <f>'график анн Комп 7%'!J53</f>
        <v/>
      </c>
      <c r="M58" s="157">
        <f>'график анн Комп 7%'!K53</f>
        <v>0</v>
      </c>
      <c r="N58" s="223" t="str">
        <f>'график анн Комп 7%'!L53</f>
        <v/>
      </c>
      <c r="O58" s="51" t="str">
        <f>'график анн Комп 7%'!P53</f>
        <v/>
      </c>
      <c r="P58" s="49" t="str">
        <f>'график анн Комп 7%'!Q53</f>
        <v/>
      </c>
    </row>
    <row r="59" spans="1:16" x14ac:dyDescent="0.35">
      <c r="A59" s="154">
        <f>'график анн Комп 7%'!A54</f>
        <v>30</v>
      </c>
      <c r="B59" s="149">
        <f ca="1">'график анн Комп 7%'!C54</f>
        <v>45400</v>
      </c>
      <c r="C59" s="156">
        <f ca="1">'график анн Комп 7%'!D54</f>
        <v>31</v>
      </c>
      <c r="D59" s="151">
        <f ca="1">'график анн Комп 7%'!E54</f>
        <v>1936915.5064848291</v>
      </c>
      <c r="E59" s="47">
        <f ca="1">'график анн Комп 7%'!H54</f>
        <v>13608.381711226977</v>
      </c>
      <c r="F59" s="47">
        <f ca="1">'график анн Комп 7%'!F54</f>
        <v>2111.9620209060849</v>
      </c>
      <c r="G59" s="47">
        <f ca="1">'график анн Комп 7%'!G54</f>
        <v>11496.419690320892</v>
      </c>
      <c r="H59" s="157">
        <f>'график анн Комп 7%'!O54</f>
        <v>0</v>
      </c>
      <c r="I59" s="223" t="str">
        <f>'график анн Комп 7%'!M54</f>
        <v/>
      </c>
      <c r="J59" s="223" t="str">
        <f>'график анн Комп 7%'!N54</f>
        <v/>
      </c>
      <c r="K59" s="223" t="str">
        <f>'график анн Комп 7%'!I54</f>
        <v/>
      </c>
      <c r="L59" s="223" t="str">
        <f>'график анн Комп 7%'!J54</f>
        <v/>
      </c>
      <c r="M59" s="157">
        <f>'график анн Комп 7%'!K54</f>
        <v>0</v>
      </c>
      <c r="N59" s="223" t="str">
        <f>'график анн Комп 7%'!L54</f>
        <v/>
      </c>
      <c r="O59" s="51" t="str">
        <f>'график анн Комп 7%'!P54</f>
        <v/>
      </c>
      <c r="P59" s="49" t="str">
        <f>'график анн Комп 7%'!Q54</f>
        <v/>
      </c>
    </row>
    <row r="60" spans="1:16" x14ac:dyDescent="0.35">
      <c r="A60" s="154">
        <f>'график анн Комп 7%'!A55</f>
        <v>31</v>
      </c>
      <c r="B60" s="149">
        <f ca="1">'график анн Комп 7%'!C55</f>
        <v>45430</v>
      </c>
      <c r="C60" s="156">
        <f ca="1">'график анн Комп 7%'!D55</f>
        <v>30</v>
      </c>
      <c r="D60" s="151">
        <f ca="1">'график анн Комп 7%'!E55</f>
        <v>1934099.9737482769</v>
      </c>
      <c r="E60" s="47">
        <f ca="1">'график анн Комп 7%'!H55</f>
        <v>13928.982363924215</v>
      </c>
      <c r="F60" s="47">
        <f ca="1">'график анн Комп 7%'!F55</f>
        <v>2815.5327365522426</v>
      </c>
      <c r="G60" s="47">
        <f ca="1">'график анн Комп 7%'!G55</f>
        <v>11113.449627371972</v>
      </c>
      <c r="H60" s="157">
        <f>'график анн Комп 7%'!O55</f>
        <v>0</v>
      </c>
      <c r="I60" s="223" t="str">
        <f>'график анн Комп 7%'!M55</f>
        <v/>
      </c>
      <c r="J60" s="223" t="str">
        <f>'график анн Комп 7%'!N55</f>
        <v/>
      </c>
      <c r="K60" s="223" t="str">
        <f>'график анн Комп 7%'!I55</f>
        <v/>
      </c>
      <c r="L60" s="223" t="str">
        <f>'график анн Комп 7%'!J55</f>
        <v/>
      </c>
      <c r="M60" s="157">
        <f>'график анн Комп 7%'!K55</f>
        <v>0</v>
      </c>
      <c r="N60" s="223" t="str">
        <f>'график анн Комп 7%'!L55</f>
        <v/>
      </c>
      <c r="O60" s="51" t="str">
        <f>'график анн Комп 7%'!P55</f>
        <v/>
      </c>
      <c r="P60" s="49" t="str">
        <f>'график анн Комп 7%'!Q55</f>
        <v/>
      </c>
    </row>
    <row r="61" spans="1:16" x14ac:dyDescent="0.35">
      <c r="A61" s="154">
        <f>'график анн Комп 7%'!A56</f>
        <v>32</v>
      </c>
      <c r="B61" s="149">
        <f ca="1">'график анн Комп 7%'!C56</f>
        <v>45461</v>
      </c>
      <c r="C61" s="156">
        <f ca="1">'график анн Комп 7%'!D56</f>
        <v>31</v>
      </c>
      <c r="D61" s="151">
        <f ca="1">'график анн Комп 7%'!E56</f>
        <v>1931934.3397311957</v>
      </c>
      <c r="E61" s="47">
        <f ca="1">'график анн Комп 7%'!H56</f>
        <v>13632.8387794685</v>
      </c>
      <c r="F61" s="47">
        <f ca="1">'график анн Комп 7%'!F56</f>
        <v>2165.6340170811745</v>
      </c>
      <c r="G61" s="47">
        <f ca="1">'график анн Комп 7%'!G56</f>
        <v>11467.204762387326</v>
      </c>
      <c r="H61" s="157">
        <f>'график анн Комп 7%'!O56</f>
        <v>0</v>
      </c>
      <c r="I61" s="223" t="str">
        <f>'график анн Комп 7%'!M56</f>
        <v/>
      </c>
      <c r="J61" s="223" t="str">
        <f>'график анн Комп 7%'!N56</f>
        <v/>
      </c>
      <c r="K61" s="223" t="str">
        <f>'график анн Комп 7%'!I56</f>
        <v/>
      </c>
      <c r="L61" s="223" t="str">
        <f>'график анн Комп 7%'!J56</f>
        <v/>
      </c>
      <c r="M61" s="157">
        <f>'график анн Комп 7%'!K56</f>
        <v>0</v>
      </c>
      <c r="N61" s="223" t="str">
        <f>'график анн Комп 7%'!L56</f>
        <v/>
      </c>
      <c r="O61" s="51" t="str">
        <f>'график анн Комп 7%'!P56</f>
        <v/>
      </c>
      <c r="P61" s="49" t="str">
        <f>'график анн Комп 7%'!Q56</f>
        <v/>
      </c>
    </row>
    <row r="62" spans="1:16" x14ac:dyDescent="0.35">
      <c r="A62" s="154">
        <f>'график анн Комп 7%'!A57</f>
        <v>33</v>
      </c>
      <c r="B62" s="149">
        <f ca="1">'график анн Комп 7%'!C57</f>
        <v>45491</v>
      </c>
      <c r="C62" s="156">
        <f ca="1">'график анн Комп 7%'!D57</f>
        <v>30</v>
      </c>
      <c r="D62" s="151">
        <f ca="1">'график анн Комп 7%'!E57</f>
        <v>1929066.300597552</v>
      </c>
      <c r="E62" s="47">
        <f ca="1">'график анн Комп 7%'!H57</f>
        <v>13952.908296035926</v>
      </c>
      <c r="F62" s="47">
        <f ca="1">'график анн Комп 7%'!F57</f>
        <v>2868.0391336438188</v>
      </c>
      <c r="G62" s="47">
        <f ca="1">'график анн Комп 7%'!G57</f>
        <v>11084.869162392108</v>
      </c>
      <c r="H62" s="157">
        <f>'график анн Комп 7%'!O57</f>
        <v>0</v>
      </c>
      <c r="I62" s="223" t="str">
        <f>'график анн Комп 7%'!M57</f>
        <v/>
      </c>
      <c r="J62" s="223" t="str">
        <f>'график анн Комп 7%'!N57</f>
        <v/>
      </c>
      <c r="K62" s="223" t="str">
        <f>'график анн Комп 7%'!I57</f>
        <v/>
      </c>
      <c r="L62" s="223" t="str">
        <f>'график анн Комп 7%'!J57</f>
        <v/>
      </c>
      <c r="M62" s="157">
        <f>'график анн Комп 7%'!K57</f>
        <v>0</v>
      </c>
      <c r="N62" s="223" t="str">
        <f>'график анн Комп 7%'!L57</f>
        <v/>
      </c>
      <c r="O62" s="51" t="str">
        <f>'график анн Комп 7%'!P57</f>
        <v/>
      </c>
      <c r="P62" s="49" t="str">
        <f>'график анн Комп 7%'!Q57</f>
        <v/>
      </c>
    </row>
    <row r="63" spans="1:16" x14ac:dyDescent="0.35">
      <c r="A63" s="154">
        <f>'график анн Комп 7%'!A58</f>
        <v>34</v>
      </c>
      <c r="B63" s="149">
        <f ca="1">'график анн Комп 7%'!C58</f>
        <v>45522</v>
      </c>
      <c r="C63" s="156">
        <f ca="1">'график анн Комп 7%'!D58</f>
        <v>31</v>
      </c>
      <c r="D63" s="151">
        <f ca="1">'график анн Комп 7%'!E58</f>
        <v>1926845.8380521028</v>
      </c>
      <c r="E63" s="47">
        <f ca="1">'график анн Комп 7%'!H58</f>
        <v>13657.822852270705</v>
      </c>
      <c r="F63" s="47">
        <f ca="1">'график анн Комп 7%'!F58</f>
        <v>2220.4625454491506</v>
      </c>
      <c r="G63" s="47">
        <f ca="1">'график анн Комп 7%'!G58</f>
        <v>11437.360306821554</v>
      </c>
      <c r="H63" s="157">
        <f>'график анн Комп 7%'!O58</f>
        <v>0</v>
      </c>
      <c r="I63" s="223" t="str">
        <f>'график анн Комп 7%'!M58</f>
        <v/>
      </c>
      <c r="J63" s="223" t="str">
        <f>'график анн Комп 7%'!N58</f>
        <v/>
      </c>
      <c r="K63" s="223" t="str">
        <f>'график анн Комп 7%'!I58</f>
        <v/>
      </c>
      <c r="L63" s="223" t="str">
        <f>'график анн Комп 7%'!J58</f>
        <v/>
      </c>
      <c r="M63" s="157">
        <f>'график анн Комп 7%'!K58</f>
        <v>0</v>
      </c>
      <c r="N63" s="223" t="str">
        <f>'график анн Комп 7%'!L58</f>
        <v/>
      </c>
      <c r="O63" s="51" t="str">
        <f>'график анн Комп 7%'!P58</f>
        <v/>
      </c>
      <c r="P63" s="49" t="str">
        <f>'график анн Комп 7%'!Q58</f>
        <v/>
      </c>
    </row>
    <row r="64" spans="1:16" x14ac:dyDescent="0.35">
      <c r="A64" s="154">
        <f>'график анн Комп 7%'!A59</f>
        <v>35</v>
      </c>
      <c r="B64" s="149">
        <f ca="1">'график анн Комп 7%'!C59</f>
        <v>45553</v>
      </c>
      <c r="C64" s="156">
        <f ca="1">'график анн Комп 7%'!D59</f>
        <v>31</v>
      </c>
      <c r="D64" s="151">
        <f ca="1">'график анн Комп 7%'!E59</f>
        <v>1924601.1894520535</v>
      </c>
      <c r="E64" s="47">
        <f ca="1">'график анн Комп 7%'!H59</f>
        <v>13668.843869374703</v>
      </c>
      <c r="F64" s="47">
        <f ca="1">'график анн Комп 7%'!F59</f>
        <v>2244.6486000493933</v>
      </c>
      <c r="G64" s="47">
        <f ca="1">'график анн Комп 7%'!G59</f>
        <v>11424.19526932531</v>
      </c>
      <c r="H64" s="157">
        <f>'график анн Комп 7%'!O59</f>
        <v>0</v>
      </c>
      <c r="I64" s="223" t="str">
        <f>'график анн Комп 7%'!M59</f>
        <v/>
      </c>
      <c r="J64" s="223" t="str">
        <f>'график анн Комп 7%'!N59</f>
        <v/>
      </c>
      <c r="K64" s="223" t="str">
        <f>'график анн Комп 7%'!I59</f>
        <v/>
      </c>
      <c r="L64" s="223" t="str">
        <f>'график анн Комп 7%'!J59</f>
        <v/>
      </c>
      <c r="M64" s="157">
        <f>'график анн Комп 7%'!K59</f>
        <v>0</v>
      </c>
      <c r="N64" s="223" t="str">
        <f>'график анн Комп 7%'!L59</f>
        <v/>
      </c>
      <c r="O64" s="51" t="str">
        <f>'график анн Комп 7%'!P59</f>
        <v/>
      </c>
      <c r="P64" s="49" t="str">
        <f>'график анн Комп 7%'!Q59</f>
        <v/>
      </c>
    </row>
    <row r="65" spans="1:16" x14ac:dyDescent="0.35">
      <c r="A65" s="154">
        <f>'график анн Комп 7%'!A60</f>
        <v>36</v>
      </c>
      <c r="B65" s="149">
        <f ca="1">'график анн Комп 7%'!C60</f>
        <v>45583</v>
      </c>
      <c r="C65" s="156">
        <f ca="1">'график анн Комп 7%'!D60</f>
        <v>30</v>
      </c>
      <c r="D65" s="151">
        <f ca="1">'график анн Комп 7%'!E60</f>
        <v>1921655.8517015327</v>
      </c>
      <c r="E65" s="47">
        <f ca="1">'график анн Комп 7%'!H60</f>
        <v>13988.131460491479</v>
      </c>
      <c r="F65" s="47">
        <f ca="1">'график анн Комп 7%'!F60</f>
        <v>2945.3377505206772</v>
      </c>
      <c r="G65" s="47">
        <f ca="1">'график анн Комп 7%'!G60</f>
        <v>11042.793709970802</v>
      </c>
      <c r="H65" s="157">
        <f>'график анн Комп 7%'!O60</f>
        <v>0</v>
      </c>
      <c r="I65" s="223" t="str">
        <f>'график анн Комп 7%'!M60</f>
        <v/>
      </c>
      <c r="J65" s="223" t="str">
        <f>'график анн Комп 7%'!N60</f>
        <v/>
      </c>
      <c r="K65" s="223" t="str">
        <f>'график анн Комп 7%'!I60</f>
        <v/>
      </c>
      <c r="L65" s="223" t="str">
        <f>'график анн Комп 7%'!J60</f>
        <v/>
      </c>
      <c r="M65" s="157">
        <f>'график анн Комп 7%'!K60</f>
        <v>0</v>
      </c>
      <c r="N65" s="223" t="str">
        <f>'график анн Комп 7%'!L60</f>
        <v/>
      </c>
      <c r="O65" s="51" t="str">
        <f>'график анн Комп 7%'!P60</f>
        <v/>
      </c>
      <c r="P65" s="49" t="str">
        <f>'график анн Комп 7%'!Q60</f>
        <v/>
      </c>
    </row>
    <row r="66" spans="1:16" x14ac:dyDescent="0.35">
      <c r="A66" s="154">
        <f>'график анн Комп 7%'!A61</f>
        <v>37</v>
      </c>
      <c r="B66" s="149">
        <f ca="1">'график анн Комп 7%'!C61</f>
        <v>45614</v>
      </c>
      <c r="C66" s="156">
        <f ca="1">'график анн Комп 7%'!D61</f>
        <v>31</v>
      </c>
      <c r="D66" s="151">
        <f ca="1">'график анн Комп 7%'!E61</f>
        <v>1919354.6719550758</v>
      </c>
      <c r="E66" s="47">
        <f ca="1">'график анн Комп 7%'!H61</f>
        <v>13694.603785233845</v>
      </c>
      <c r="F66" s="47">
        <f ca="1">'график анн Комп 7%'!F61</f>
        <v>2301.1797464569972</v>
      </c>
      <c r="G66" s="47">
        <f ca="1">'график анн Комп 7%'!G61</f>
        <v>11393.424038776848</v>
      </c>
      <c r="H66" s="157">
        <f>'график анн Комп 7%'!O61</f>
        <v>0</v>
      </c>
      <c r="I66" s="223" t="str">
        <f>'график анн Комп 7%'!M61</f>
        <v/>
      </c>
      <c r="J66" s="223">
        <f>'график анн Комп 7%'!N61</f>
        <v>0</v>
      </c>
      <c r="K66" s="223" t="str">
        <f>'график анн Комп 7%'!I61</f>
        <v/>
      </c>
      <c r="L66" s="223" t="str">
        <f>'график анн Комп 7%'!J61</f>
        <v/>
      </c>
      <c r="M66" s="201">
        <f>'график анн Комп 7%'!K61</f>
        <v>7500</v>
      </c>
      <c r="N66" s="223" t="str">
        <f>'график анн Комп 7%'!L61</f>
        <v/>
      </c>
      <c r="O66" s="51" t="str">
        <f>'график анн Комп 7%'!P61</f>
        <v/>
      </c>
      <c r="P66" s="49" t="str">
        <f>'график анн Комп 7%'!Q61</f>
        <v/>
      </c>
    </row>
    <row r="67" spans="1:16" x14ac:dyDescent="0.35">
      <c r="A67" s="154">
        <f>'график анн Комп 7%'!A62</f>
        <v>38</v>
      </c>
      <c r="B67" s="149">
        <f ca="1">'график анн Комп 7%'!C62</f>
        <v>45644</v>
      </c>
      <c r="C67" s="156">
        <f ca="1">'график анн Комп 7%'!D62</f>
        <v>30</v>
      </c>
      <c r="D67" s="151">
        <f ca="1">'график анн Комп 7%'!E62</f>
        <v>1916354.0307496281</v>
      </c>
      <c r="E67" s="47">
        <f ca="1">'график анн Комп 7%'!H62</f>
        <v>14013.331946173681</v>
      </c>
      <c r="F67" s="47">
        <f ca="1">'график анн Комп 7%'!F62</f>
        <v>3000.6412054478351</v>
      </c>
      <c r="G67" s="47">
        <f ca="1">'график анн Комп 7%'!G62</f>
        <v>11012.690740725846</v>
      </c>
      <c r="H67" s="157">
        <f>'график анн Комп 7%'!O62</f>
        <v>0</v>
      </c>
      <c r="I67" s="223" t="str">
        <f>'график анн Комп 7%'!M62</f>
        <v/>
      </c>
      <c r="J67" s="223" t="str">
        <f>'график анн Комп 7%'!N62</f>
        <v/>
      </c>
      <c r="K67" s="223" t="str">
        <f>'график анн Комп 7%'!I62</f>
        <v/>
      </c>
      <c r="L67" s="223" t="str">
        <f>'график анн Комп 7%'!J62</f>
        <v/>
      </c>
      <c r="M67" s="157">
        <f>'график анн Комп 7%'!K62</f>
        <v>0</v>
      </c>
      <c r="N67" s="223" t="str">
        <f>'график анн Комп 7%'!L62</f>
        <v/>
      </c>
      <c r="O67" s="51" t="str">
        <f>'график анн Комп 7%'!P62</f>
        <v/>
      </c>
      <c r="P67" s="49" t="str">
        <f>'график анн Комп 7%'!Q62</f>
        <v/>
      </c>
    </row>
    <row r="68" spans="1:16" x14ac:dyDescent="0.35">
      <c r="A68" s="154">
        <f>'график анн Комп 7%'!A63</f>
        <v>39</v>
      </c>
      <c r="B68" s="149">
        <f ca="1">'график анн Комп 7%'!C63</f>
        <v>45675</v>
      </c>
      <c r="C68" s="156">
        <f ca="1">'график анн Комп 7%'!D63</f>
        <v>31</v>
      </c>
      <c r="D68" s="151">
        <f ca="1">'график анн Комп 7%'!E63</f>
        <v>1913995.1017151743</v>
      </c>
      <c r="E68" s="47">
        <f ca="1">'график анн Комп 7%'!H63</f>
        <v>13752.047518636611</v>
      </c>
      <c r="F68" s="47">
        <f ca="1">'график анн Комп 7%'!F63</f>
        <v>2358.9290344538895</v>
      </c>
      <c r="G68" s="47">
        <f ca="1">'график анн Комп 7%'!G63</f>
        <v>11393.118484182722</v>
      </c>
      <c r="H68" s="157">
        <f>'график анн Комп 7%'!O63</f>
        <v>0</v>
      </c>
      <c r="I68" s="223" t="str">
        <f>'график анн Комп 7%'!M63</f>
        <v/>
      </c>
      <c r="J68" s="223" t="str">
        <f>'график анн Комп 7%'!N63</f>
        <v/>
      </c>
      <c r="K68" s="223" t="str">
        <f>'график анн Комп 7%'!I63</f>
        <v/>
      </c>
      <c r="L68" s="223" t="str">
        <f>'график анн Комп 7%'!J63</f>
        <v/>
      </c>
      <c r="M68" s="157">
        <f>'график анн Комп 7%'!K63</f>
        <v>0</v>
      </c>
      <c r="N68" s="223" t="str">
        <f>'график анн Комп 7%'!L63</f>
        <v/>
      </c>
      <c r="O68" s="51" t="str">
        <f>'график анн Комп 7%'!P63</f>
        <v/>
      </c>
      <c r="P68" s="49" t="str">
        <f>'график анн Комп 7%'!Q63</f>
        <v/>
      </c>
    </row>
    <row r="69" spans="1:16" x14ac:dyDescent="0.35">
      <c r="A69" s="154">
        <f>'график анн Комп 7%'!A64</f>
        <v>40</v>
      </c>
      <c r="B69" s="149">
        <f ca="1">'график анн Комп 7%'!C64</f>
        <v>45706</v>
      </c>
      <c r="C69" s="156">
        <f ca="1">'график анн Комп 7%'!D64</f>
        <v>31</v>
      </c>
      <c r="D69" s="151">
        <f ca="1">'график анн Комп 7%'!E64</f>
        <v>1911667.5959459655</v>
      </c>
      <c r="E69" s="47">
        <f ca="1">'график анн Комп 7%'!H64</f>
        <v>13706.599935570164</v>
      </c>
      <c r="F69" s="47">
        <f ca="1">'график анн Комп 7%'!F64</f>
        <v>2327.5057692087175</v>
      </c>
      <c r="G69" s="47">
        <f ca="1">'график анн Комп 7%'!G64</f>
        <v>11379.094166361447</v>
      </c>
      <c r="H69" s="157">
        <f>'график анн Комп 7%'!O64</f>
        <v>0</v>
      </c>
      <c r="I69" s="223" t="str">
        <f>'график анн Комп 7%'!M64</f>
        <v/>
      </c>
      <c r="J69" s="223" t="str">
        <f>'график анн Комп 7%'!N64</f>
        <v/>
      </c>
      <c r="K69" s="223" t="str">
        <f>'график анн Комп 7%'!I64</f>
        <v/>
      </c>
      <c r="L69" s="223" t="str">
        <f>'график анн Комп 7%'!J64</f>
        <v/>
      </c>
      <c r="M69" s="157">
        <f>'график анн Комп 7%'!K64</f>
        <v>0</v>
      </c>
      <c r="N69" s="223" t="str">
        <f>'график анн Комп 7%'!L64</f>
        <v/>
      </c>
      <c r="O69" s="51" t="str">
        <f>'график анн Комп 7%'!P64</f>
        <v/>
      </c>
      <c r="P69" s="49" t="str">
        <f>'график анн Комп 7%'!Q64</f>
        <v/>
      </c>
    </row>
    <row r="70" spans="1:16" x14ac:dyDescent="0.35">
      <c r="A70" s="154">
        <f>'график анн Комп 7%'!A65</f>
        <v>41</v>
      </c>
      <c r="B70" s="149">
        <f ca="1">'график анн Комп 7%'!C65</f>
        <v>45734</v>
      </c>
      <c r="C70" s="156">
        <f ca="1">'график анн Комп 7%'!D65</f>
        <v>28</v>
      </c>
      <c r="D70" s="151">
        <f ca="1">'график анн Комп 7%'!E65</f>
        <v>1907294.062250687</v>
      </c>
      <c r="E70" s="47">
        <f ca="1">'график анн Комп 7%'!H65</f>
        <v>14638.926813234946</v>
      </c>
      <c r="F70" s="47">
        <f ca="1">'график анн Комп 7%'!F65</f>
        <v>4373.5336952785292</v>
      </c>
      <c r="G70" s="47">
        <f ca="1">'график анн Комп 7%'!G65</f>
        <v>10265.393117956417</v>
      </c>
      <c r="H70" s="157">
        <f>'график анн Комп 7%'!O65</f>
        <v>0</v>
      </c>
      <c r="I70" s="223" t="str">
        <f>'график анн Комп 7%'!M65</f>
        <v/>
      </c>
      <c r="J70" s="223" t="str">
        <f>'график анн Комп 7%'!N65</f>
        <v/>
      </c>
      <c r="K70" s="223" t="str">
        <f>'график анн Комп 7%'!I65</f>
        <v/>
      </c>
      <c r="L70" s="223" t="str">
        <f>'график анн Комп 7%'!J65</f>
        <v/>
      </c>
      <c r="M70" s="157">
        <f>'график анн Комп 7%'!K65</f>
        <v>0</v>
      </c>
      <c r="N70" s="223" t="str">
        <f>'график анн Комп 7%'!L65</f>
        <v/>
      </c>
      <c r="O70" s="51" t="str">
        <f>'график анн Комп 7%'!P65</f>
        <v/>
      </c>
      <c r="P70" s="49" t="str">
        <f>'график анн Комп 7%'!Q65</f>
        <v/>
      </c>
    </row>
    <row r="71" spans="1:16" x14ac:dyDescent="0.35">
      <c r="A71" s="154">
        <f>'график анн Комп 7%'!A66</f>
        <v>42</v>
      </c>
      <c r="B71" s="149">
        <f ca="1">'график анн Комп 7%'!C66</f>
        <v>45765</v>
      </c>
      <c r="C71" s="156">
        <f ca="1">'график анн Комп 7%'!D66</f>
        <v>31</v>
      </c>
      <c r="D71" s="151">
        <f ca="1">'график анн Комп 7%'!E66</f>
        <v>1904893.3664433165</v>
      </c>
      <c r="E71" s="47">
        <f ca="1">'график анн Комп 7%'!H66</f>
        <v>13739.950917189857</v>
      </c>
      <c r="F71" s="47">
        <f ca="1">'график анн Комп 7%'!F66</f>
        <v>2400.6958073707028</v>
      </c>
      <c r="G71" s="47">
        <f ca="1">'график анн Комп 7%'!G66</f>
        <v>11339.255109819154</v>
      </c>
      <c r="H71" s="157">
        <f>'график анн Комп 7%'!O66</f>
        <v>0</v>
      </c>
      <c r="I71" s="223" t="str">
        <f>'график анн Комп 7%'!M66</f>
        <v/>
      </c>
      <c r="J71" s="223" t="str">
        <f>'график анн Комп 7%'!N66</f>
        <v/>
      </c>
      <c r="K71" s="223" t="str">
        <f>'график анн Комп 7%'!I66</f>
        <v/>
      </c>
      <c r="L71" s="223" t="str">
        <f>'график анн Комп 7%'!J66</f>
        <v/>
      </c>
      <c r="M71" s="157">
        <f>'график анн Комп 7%'!K66</f>
        <v>0</v>
      </c>
      <c r="N71" s="223" t="str">
        <f>'график анн Комп 7%'!L66</f>
        <v/>
      </c>
      <c r="O71" s="51" t="str">
        <f>'график анн Комп 7%'!P66</f>
        <v/>
      </c>
      <c r="P71" s="49" t="str">
        <f>'график анн Комп 7%'!Q66</f>
        <v/>
      </c>
    </row>
    <row r="72" spans="1:16" x14ac:dyDescent="0.35">
      <c r="A72" s="154">
        <f>'график анн Комп 7%'!A67</f>
        <v>43</v>
      </c>
      <c r="B72" s="149">
        <f ca="1">'график анн Комп 7%'!C67</f>
        <v>45795</v>
      </c>
      <c r="C72" s="156">
        <f ca="1">'график анн Комп 7%'!D67</f>
        <v>30</v>
      </c>
      <c r="D72" s="151">
        <f ca="1">'график анн Комп 7%'!E67</f>
        <v>1901795.3010446299</v>
      </c>
      <c r="E72" s="47">
        <f ca="1">'график анн Комп 7%'!H67</f>
        <v>14057.725863154919</v>
      </c>
      <c r="F72" s="47">
        <f ca="1">'график анн Комп 7%'!F67</f>
        <v>3098.0653986865218</v>
      </c>
      <c r="G72" s="47">
        <f ca="1">'график анн Комп 7%'!G67</f>
        <v>10959.660464468398</v>
      </c>
      <c r="H72" s="157">
        <f>'график анн Комп 7%'!O67</f>
        <v>0</v>
      </c>
      <c r="I72" s="223" t="str">
        <f>'график анн Комп 7%'!M67</f>
        <v/>
      </c>
      <c r="J72" s="223" t="str">
        <f>'график анн Комп 7%'!N67</f>
        <v/>
      </c>
      <c r="K72" s="223" t="str">
        <f>'график анн Комп 7%'!I67</f>
        <v/>
      </c>
      <c r="L72" s="223" t="str">
        <f>'график анн Комп 7%'!J67</f>
        <v/>
      </c>
      <c r="M72" s="157">
        <f>'график анн Комп 7%'!K67</f>
        <v>0</v>
      </c>
      <c r="N72" s="223" t="str">
        <f>'график анн Комп 7%'!L67</f>
        <v/>
      </c>
      <c r="O72" s="51" t="str">
        <f>'график анн Комп 7%'!P67</f>
        <v/>
      </c>
      <c r="P72" s="49" t="str">
        <f>'график анн Комп 7%'!Q67</f>
        <v/>
      </c>
    </row>
    <row r="73" spans="1:16" x14ac:dyDescent="0.35">
      <c r="A73" s="154">
        <f>'график анн Комп 7%'!A68</f>
        <v>44</v>
      </c>
      <c r="B73" s="149">
        <f ca="1">'график анн Комп 7%'!C68</f>
        <v>45826</v>
      </c>
      <c r="C73" s="156">
        <f ca="1">'график анн Комп 7%'!D68</f>
        <v>31</v>
      </c>
      <c r="D73" s="151">
        <f ca="1">'график анн Комп 7%'!E68</f>
        <v>1899334.5467128097</v>
      </c>
      <c r="E73" s="47">
        <f ca="1">'график анн Комп 7%'!H68</f>
        <v>13767.318176386907</v>
      </c>
      <c r="F73" s="47">
        <f ca="1">'график анн Комп 7%'!F68</f>
        <v>2460.7543318202006</v>
      </c>
      <c r="G73" s="47">
        <f ca="1">'график анн Комп 7%'!G68</f>
        <v>11306.563844566706</v>
      </c>
      <c r="H73" s="157">
        <f>'график анн Комп 7%'!O68</f>
        <v>0</v>
      </c>
      <c r="I73" s="223" t="str">
        <f>'график анн Комп 7%'!M68</f>
        <v/>
      </c>
      <c r="J73" s="223" t="str">
        <f>'график анн Комп 7%'!N68</f>
        <v/>
      </c>
      <c r="K73" s="223" t="str">
        <f>'график анн Комп 7%'!I68</f>
        <v/>
      </c>
      <c r="L73" s="223" t="str">
        <f>'график анн Комп 7%'!J68</f>
        <v/>
      </c>
      <c r="M73" s="157">
        <f>'график анн Комп 7%'!K68</f>
        <v>0</v>
      </c>
      <c r="N73" s="223" t="str">
        <f>'график анн Комп 7%'!L68</f>
        <v/>
      </c>
      <c r="O73" s="51" t="str">
        <f>'график анн Комп 7%'!P68</f>
        <v/>
      </c>
      <c r="P73" s="49" t="str">
        <f>'график анн Комп 7%'!Q68</f>
        <v/>
      </c>
    </row>
    <row r="74" spans="1:16" x14ac:dyDescent="0.35">
      <c r="A74" s="154">
        <f>'график анн Комп 7%'!A69</f>
        <v>45</v>
      </c>
      <c r="B74" s="149">
        <f ca="1">'график анн Комп 7%'!C69</f>
        <v>45856</v>
      </c>
      <c r="C74" s="156">
        <f ca="1">'график анн Комп 7%'!D69</f>
        <v>30</v>
      </c>
      <c r="D74" s="151">
        <f ca="1">'график анн Комп 7%'!E69</f>
        <v>1896177.725351054</v>
      </c>
      <c r="E74" s="47">
        <f ca="1">'график анн Комп 7%'!H69</f>
        <v>14084.499575719932</v>
      </c>
      <c r="F74" s="47">
        <f ca="1">'график анн Комп 7%'!F69</f>
        <v>3156.8213617558213</v>
      </c>
      <c r="G74" s="47">
        <f ca="1">'график анн Комп 7%'!G69</f>
        <v>10927.678213964111</v>
      </c>
      <c r="H74" s="157">
        <f>'график анн Комп 7%'!O69</f>
        <v>0</v>
      </c>
      <c r="I74" s="223" t="str">
        <f>'график анн Комп 7%'!M69</f>
        <v/>
      </c>
      <c r="J74" s="223" t="str">
        <f>'график анн Комп 7%'!N69</f>
        <v/>
      </c>
      <c r="K74" s="223" t="str">
        <f>'график анн Комп 7%'!I69</f>
        <v/>
      </c>
      <c r="L74" s="223" t="str">
        <f>'график анн Комп 7%'!J69</f>
        <v/>
      </c>
      <c r="M74" s="157">
        <f>'график анн Комп 7%'!K69</f>
        <v>0</v>
      </c>
      <c r="N74" s="223" t="str">
        <f>'график анн Комп 7%'!L69</f>
        <v/>
      </c>
      <c r="O74" s="51" t="str">
        <f>'график анн Комп 7%'!P69</f>
        <v/>
      </c>
      <c r="P74" s="49" t="str">
        <f>'график анн Комп 7%'!Q69</f>
        <v/>
      </c>
    </row>
    <row r="75" spans="1:16" x14ac:dyDescent="0.35">
      <c r="A75" s="154">
        <f>'график анн Комп 7%'!A70</f>
        <v>46</v>
      </c>
      <c r="B75" s="149">
        <f ca="1">'график анн Комп 7%'!C70</f>
        <v>45887</v>
      </c>
      <c r="C75" s="156">
        <f ca="1">'график анн Комп 7%'!D70</f>
        <v>31</v>
      </c>
      <c r="D75" s="151">
        <f ca="1">'график анн Комп 7%'!E70</f>
        <v>1893655.6147801653</v>
      </c>
      <c r="E75" s="47">
        <f ca="1">'график анн Комп 7%'!H70</f>
        <v>13795.276773660744</v>
      </c>
      <c r="F75" s="47">
        <f ca="1">'график анн Комп 7%'!F70</f>
        <v>2522.1105708887226</v>
      </c>
      <c r="G75" s="47">
        <f ca="1">'график анн Комп 7%'!G70</f>
        <v>11273.166202772021</v>
      </c>
      <c r="H75" s="157">
        <f>'график анн Комп 7%'!O70</f>
        <v>0</v>
      </c>
      <c r="I75" s="223" t="str">
        <f>'график анн Комп 7%'!M70</f>
        <v/>
      </c>
      <c r="J75" s="223" t="str">
        <f>'график анн Комп 7%'!N70</f>
        <v/>
      </c>
      <c r="K75" s="223" t="str">
        <f>'график анн Комп 7%'!I70</f>
        <v/>
      </c>
      <c r="L75" s="223" t="str">
        <f>'график анн Комп 7%'!J70</f>
        <v/>
      </c>
      <c r="M75" s="157">
        <f>'график анн Комп 7%'!K70</f>
        <v>0</v>
      </c>
      <c r="N75" s="223" t="str">
        <f>'график анн Комп 7%'!L70</f>
        <v/>
      </c>
      <c r="O75" s="51" t="str">
        <f>'график анн Комп 7%'!P70</f>
        <v/>
      </c>
      <c r="P75" s="49" t="str">
        <f>'график анн Комп 7%'!Q70</f>
        <v/>
      </c>
    </row>
    <row r="76" spans="1:16" x14ac:dyDescent="0.35">
      <c r="A76" s="154">
        <f>'график анн Комп 7%'!A71</f>
        <v>47</v>
      </c>
      <c r="B76" s="149">
        <f ca="1">'график анн Комп 7%'!C71</f>
        <v>45918</v>
      </c>
      <c r="C76" s="156">
        <f ca="1">'график анн Комп 7%'!D71</f>
        <v>31</v>
      </c>
      <c r="D76" s="151">
        <f ca="1">'график анн Комп 7%'!E71</f>
        <v>1891105.9572339288</v>
      </c>
      <c r="E76" s="47">
        <f ca="1">'график анн Комп 7%'!H71</f>
        <v>13807.829283422598</v>
      </c>
      <c r="F76" s="47">
        <f ca="1">'график анн Комп 7%'!F71</f>
        <v>2549.657546236409</v>
      </c>
      <c r="G76" s="47">
        <f ca="1">'график анн Комп 7%'!G71</f>
        <v>11258.171737186189</v>
      </c>
      <c r="H76" s="157">
        <f>'график анн Комп 7%'!O71</f>
        <v>0</v>
      </c>
      <c r="I76" s="223" t="str">
        <f>'график анн Комп 7%'!M71</f>
        <v/>
      </c>
      <c r="J76" s="223" t="str">
        <f>'график анн Комп 7%'!N71</f>
        <v/>
      </c>
      <c r="K76" s="223" t="str">
        <f>'график анн Комп 7%'!I71</f>
        <v/>
      </c>
      <c r="L76" s="223" t="str">
        <f>'график анн Комп 7%'!J71</f>
        <v/>
      </c>
      <c r="M76" s="157">
        <f>'график анн Комп 7%'!K71</f>
        <v>0</v>
      </c>
      <c r="N76" s="223" t="str">
        <f>'график анн Комп 7%'!L71</f>
        <v/>
      </c>
      <c r="O76" s="51" t="str">
        <f>'график анн Комп 7%'!P71</f>
        <v/>
      </c>
      <c r="P76" s="49" t="str">
        <f>'график анн Комп 7%'!Q71</f>
        <v/>
      </c>
    </row>
    <row r="77" spans="1:16" x14ac:dyDescent="0.35">
      <c r="A77" s="154">
        <f>'график анн Комп 7%'!A72</f>
        <v>48</v>
      </c>
      <c r="B77" s="149">
        <f ca="1">'график анн Комп 7%'!C72</f>
        <v>45948</v>
      </c>
      <c r="C77" s="156">
        <f ca="1">'график анн Комп 7%'!D72</f>
        <v>30</v>
      </c>
      <c r="D77" s="151">
        <f ca="1">'график анн Комп 7%'!E72</f>
        <v>1887862.1608085854</v>
      </c>
      <c r="E77" s="47">
        <f ca="1">'график анн Комп 7%'!H72</f>
        <v>14124.132069703148</v>
      </c>
      <c r="F77" s="47">
        <f ca="1">'график анн Комп 7%'!F72</f>
        <v>3243.7964253435566</v>
      </c>
      <c r="G77" s="47">
        <f ca="1">'график анн Комп 7%'!G72</f>
        <v>10880.335644359591</v>
      </c>
      <c r="H77" s="157">
        <f>'график анн Комп 7%'!O72</f>
        <v>0</v>
      </c>
      <c r="I77" s="223" t="str">
        <f>'график анн Комп 7%'!M72</f>
        <v/>
      </c>
      <c r="J77" s="223" t="str">
        <f>'график анн Комп 7%'!N72</f>
        <v/>
      </c>
      <c r="K77" s="223" t="str">
        <f>'график анн Комп 7%'!I72</f>
        <v/>
      </c>
      <c r="L77" s="223" t="str">
        <f>'график анн Комп 7%'!J72</f>
        <v/>
      </c>
      <c r="M77" s="157">
        <f>'график анн Комп 7%'!K72</f>
        <v>0</v>
      </c>
      <c r="N77" s="223" t="str">
        <f>'график анн Комп 7%'!L72</f>
        <v/>
      </c>
      <c r="O77" s="51" t="str">
        <f>'график анн Комп 7%'!P72</f>
        <v/>
      </c>
      <c r="P77" s="49" t="str">
        <f>'график анн Комп 7%'!Q72</f>
        <v/>
      </c>
    </row>
    <row r="78" spans="1:16" x14ac:dyDescent="0.35">
      <c r="A78" s="154">
        <f>'график анн Комп 7%'!A73</f>
        <v>49</v>
      </c>
      <c r="B78" s="149">
        <f ca="1">'график анн Комп 7%'!C73</f>
        <v>45979</v>
      </c>
      <c r="C78" s="156">
        <f ca="1">'график анн Комп 7%'!D73</f>
        <v>31</v>
      </c>
      <c r="D78" s="151">
        <f ca="1">'график анн Комп 7%'!E73</f>
        <v>1885249.2260469981</v>
      </c>
      <c r="E78" s="47">
        <f ca="1">'график анн Комп 7%'!H73</f>
        <v>13836.663224476766</v>
      </c>
      <c r="F78" s="47">
        <f ca="1">'график анн Комп 7%'!F73</f>
        <v>2612.9347615873667</v>
      </c>
      <c r="G78" s="47">
        <f ca="1">'график анн Комп 7%'!G73</f>
        <v>11223.728462889399</v>
      </c>
      <c r="H78" s="157">
        <f>'график анн Комп 7%'!O73</f>
        <v>0</v>
      </c>
      <c r="I78" s="223" t="str">
        <f>'график анн Комп 7%'!M73</f>
        <v/>
      </c>
      <c r="J78" s="223">
        <f>'график анн Комп 7%'!N73</f>
        <v>0</v>
      </c>
      <c r="K78" s="223" t="str">
        <f>'график анн Комп 7%'!I73</f>
        <v/>
      </c>
      <c r="L78" s="223" t="str">
        <f>'график анн Комп 7%'!J73</f>
        <v/>
      </c>
      <c r="M78" s="201">
        <f>'график анн Комп 7%'!K73</f>
        <v>7500</v>
      </c>
      <c r="N78" s="223" t="str">
        <f>'график анн Комп 7%'!L73</f>
        <v/>
      </c>
      <c r="O78" s="51" t="str">
        <f>'график анн Комп 7%'!P73</f>
        <v/>
      </c>
      <c r="P78" s="49" t="str">
        <f>'график анн Комп 7%'!Q73</f>
        <v/>
      </c>
    </row>
    <row r="79" spans="1:16" x14ac:dyDescent="0.35">
      <c r="A79" s="154">
        <f>'график анн Комп 7%'!A74</f>
        <v>50</v>
      </c>
      <c r="B79" s="149">
        <f ca="1">'график анн Комп 7%'!C74</f>
        <v>46009</v>
      </c>
      <c r="C79" s="156">
        <f ca="1">'график анн Комп 7%'!D74</f>
        <v>30</v>
      </c>
      <c r="D79" s="151">
        <f ca="1">'график анн Комп 7%'!E74</f>
        <v>1881943.5247753006</v>
      </c>
      <c r="E79" s="47">
        <f ca="1">'график анн Комп 7%'!H74</f>
        <v>14152.340654433625</v>
      </c>
      <c r="F79" s="47">
        <f ca="1">'график анн Комп 7%'!F74</f>
        <v>3305.7012716974714</v>
      </c>
      <c r="G79" s="47">
        <f ca="1">'график анн Комп 7%'!G74</f>
        <v>10846.639382736153</v>
      </c>
      <c r="H79" s="157">
        <f>'график анн Комп 7%'!O74</f>
        <v>0</v>
      </c>
      <c r="I79" s="223" t="str">
        <f>'график анн Комп 7%'!M74</f>
        <v/>
      </c>
      <c r="J79" s="223" t="str">
        <f>'график анн Комп 7%'!N74</f>
        <v/>
      </c>
      <c r="K79" s="223" t="str">
        <f>'график анн Комп 7%'!I74</f>
        <v/>
      </c>
      <c r="L79" s="223" t="str">
        <f>'график анн Комп 7%'!J74</f>
        <v/>
      </c>
      <c r="M79" s="157">
        <f>'график анн Комп 7%'!K74</f>
        <v>0</v>
      </c>
      <c r="N79" s="223" t="str">
        <f>'график анн Комп 7%'!L74</f>
        <v/>
      </c>
      <c r="O79" s="51" t="str">
        <f>'график анн Комп 7%'!P74</f>
        <v/>
      </c>
      <c r="P79" s="49" t="str">
        <f>'график анн Комп 7%'!Q74</f>
        <v/>
      </c>
    </row>
    <row r="80" spans="1:16" x14ac:dyDescent="0.35">
      <c r="A80" s="154">
        <f>'график анн Комп 7%'!A75</f>
        <v>51</v>
      </c>
      <c r="B80" s="149">
        <f ca="1">'график анн Комп 7%'!C75</f>
        <v>46040</v>
      </c>
      <c r="C80" s="156">
        <f ca="1">'график анн Комп 7%'!D75</f>
        <v>31</v>
      </c>
      <c r="D80" s="151">
        <f ca="1">'график анн Комп 7%'!E75</f>
        <v>1879265.9455358768</v>
      </c>
      <c r="E80" s="47">
        <f ca="1">'график анн Комп 7%'!H75</f>
        <v>13866.120194937219</v>
      </c>
      <c r="F80" s="47">
        <f ca="1">'график анн Комп 7%'!F75</f>
        <v>2677.5792394237869</v>
      </c>
      <c r="G80" s="47">
        <f ca="1">'график анн Комп 7%'!G75</f>
        <v>11188.540955513432</v>
      </c>
      <c r="H80" s="157">
        <f>'график анн Комп 7%'!O75</f>
        <v>0</v>
      </c>
      <c r="I80" s="223" t="str">
        <f>'график анн Комп 7%'!M75</f>
        <v/>
      </c>
      <c r="J80" s="223" t="str">
        <f>'график анн Комп 7%'!N75</f>
        <v/>
      </c>
      <c r="K80" s="223" t="str">
        <f>'график анн Комп 7%'!I75</f>
        <v/>
      </c>
      <c r="L80" s="223" t="str">
        <f>'график анн Комп 7%'!J75</f>
        <v/>
      </c>
      <c r="M80" s="157">
        <f>'график анн Комп 7%'!K75</f>
        <v>0</v>
      </c>
      <c r="N80" s="223" t="str">
        <f>'график анн Комп 7%'!L75</f>
        <v/>
      </c>
      <c r="O80" s="51" t="str">
        <f>'график анн Комп 7%'!P75</f>
        <v/>
      </c>
      <c r="P80" s="49" t="str">
        <f>'график анн Комп 7%'!Q75</f>
        <v/>
      </c>
    </row>
    <row r="81" spans="1:16" x14ac:dyDescent="0.35">
      <c r="A81" s="154">
        <f>'график анн Комп 7%'!A76</f>
        <v>52</v>
      </c>
      <c r="B81" s="149">
        <f ca="1">'график анн Комп 7%'!C76</f>
        <v>46071</v>
      </c>
      <c r="C81" s="156">
        <f ca="1">'график анн Комп 7%'!D76</f>
        <v>31</v>
      </c>
      <c r="D81" s="151">
        <f ca="1">'график анн Комп 7%'!E76</f>
        <v>1876559.1212624917</v>
      </c>
      <c r="E81" s="47">
        <f ca="1">'график анн Комп 7%'!H76</f>
        <v>13879.446470132665</v>
      </c>
      <c r="F81" s="47">
        <f ca="1">'график анн Комп 7%'!F76</f>
        <v>2706.8242733851221</v>
      </c>
      <c r="G81" s="47">
        <f ca="1">'график анн Комп 7%'!G76</f>
        <v>11172.622196747543</v>
      </c>
      <c r="H81" s="157">
        <f>'график анн Комп 7%'!O76</f>
        <v>0</v>
      </c>
      <c r="I81" s="223" t="str">
        <f>'график анн Комп 7%'!M76</f>
        <v/>
      </c>
      <c r="J81" s="223" t="str">
        <f>'график анн Комп 7%'!N76</f>
        <v/>
      </c>
      <c r="K81" s="223" t="str">
        <f>'график анн Комп 7%'!I76</f>
        <v/>
      </c>
      <c r="L81" s="223" t="str">
        <f>'график анн Комп 7%'!J76</f>
        <v/>
      </c>
      <c r="M81" s="157">
        <f>'график анн Комп 7%'!K76</f>
        <v>0</v>
      </c>
      <c r="N81" s="223" t="str">
        <f>'график анн Комп 7%'!L76</f>
        <v/>
      </c>
      <c r="O81" s="51" t="str">
        <f>'график анн Комп 7%'!P76</f>
        <v/>
      </c>
      <c r="P81" s="49" t="str">
        <f>'график анн Комп 7%'!Q76</f>
        <v/>
      </c>
    </row>
    <row r="82" spans="1:16" x14ac:dyDescent="0.35">
      <c r="A82" s="154">
        <f>'график анн Комп 7%'!A77</f>
        <v>53</v>
      </c>
      <c r="B82" s="149">
        <f ca="1">'график анн Комп 7%'!C77</f>
        <v>46099</v>
      </c>
      <c r="C82" s="156">
        <f ca="1">'график анн Комп 7%'!D77</f>
        <v>28</v>
      </c>
      <c r="D82" s="151">
        <f ca="1">'график анн Комп 7%'!E77</f>
        <v>1871839.2352503906</v>
      </c>
      <c r="E82" s="47">
        <f ca="1">'график анн Комп 7%'!H77</f>
        <v>14796.751430387392</v>
      </c>
      <c r="F82" s="47">
        <f ca="1">'график анн Комп 7%'!F77</f>
        <v>4719.8860121011348</v>
      </c>
      <c r="G82" s="47">
        <f ca="1">'график анн Комп 7%'!G77</f>
        <v>10076.865418286257</v>
      </c>
      <c r="H82" s="157">
        <f>'график анн Комп 7%'!O77</f>
        <v>0</v>
      </c>
      <c r="I82" s="223" t="str">
        <f>'график анн Комп 7%'!M77</f>
        <v/>
      </c>
      <c r="J82" s="223" t="str">
        <f>'график анн Комп 7%'!N77</f>
        <v/>
      </c>
      <c r="K82" s="223" t="str">
        <f>'график анн Комп 7%'!I77</f>
        <v/>
      </c>
      <c r="L82" s="223" t="str">
        <f>'график анн Комп 7%'!J77</f>
        <v/>
      </c>
      <c r="M82" s="157">
        <f>'график анн Комп 7%'!K77</f>
        <v>0</v>
      </c>
      <c r="N82" s="223" t="str">
        <f>'график анн Комп 7%'!L77</f>
        <v/>
      </c>
      <c r="O82" s="51" t="str">
        <f>'график анн Комп 7%'!P77</f>
        <v/>
      </c>
      <c r="P82" s="49" t="str">
        <f>'график анн Комп 7%'!Q77</f>
        <v/>
      </c>
    </row>
    <row r="83" spans="1:16" x14ac:dyDescent="0.35">
      <c r="A83" s="154">
        <f>'график анн Комп 7%'!A78</f>
        <v>54</v>
      </c>
      <c r="B83" s="149">
        <f ca="1">'график анн Комп 7%'!C78</f>
        <v>46130</v>
      </c>
      <c r="C83" s="156">
        <f ca="1">'график анн Комп 7%'!D78</f>
        <v>31</v>
      </c>
      <c r="D83" s="151">
        <f ca="1">'график анн Комп 7%'!E78</f>
        <v>1869051.2950229668</v>
      </c>
      <c r="E83" s="47">
        <f ca="1">'график анн Комп 7%'!H78</f>
        <v>13916.409105487768</v>
      </c>
      <c r="F83" s="47">
        <f ca="1">'график анн Комп 7%'!F78</f>
        <v>2787.9402274238018</v>
      </c>
      <c r="G83" s="47">
        <f ca="1">'график анн Комп 7%'!G78</f>
        <v>11128.468878063966</v>
      </c>
      <c r="H83" s="157">
        <f>'график анн Комп 7%'!O78</f>
        <v>0</v>
      </c>
      <c r="I83" s="223" t="str">
        <f>'график анн Комп 7%'!M78</f>
        <v/>
      </c>
      <c r="J83" s="223" t="str">
        <f>'график анн Комп 7%'!N78</f>
        <v/>
      </c>
      <c r="K83" s="223" t="str">
        <f>'график анн Комп 7%'!I78</f>
        <v/>
      </c>
      <c r="L83" s="223" t="str">
        <f>'график анн Комп 7%'!J78</f>
        <v/>
      </c>
      <c r="M83" s="157">
        <f>'график анн Комп 7%'!K78</f>
        <v>0</v>
      </c>
      <c r="N83" s="223" t="str">
        <f>'график анн Комп 7%'!L78</f>
        <v/>
      </c>
      <c r="O83" s="51" t="str">
        <f>'график анн Комп 7%'!P78</f>
        <v/>
      </c>
      <c r="P83" s="49" t="str">
        <f>'график анн Комп 7%'!Q78</f>
        <v/>
      </c>
    </row>
    <row r="84" spans="1:16" x14ac:dyDescent="0.35">
      <c r="A84" s="154">
        <f>'график анн Комп 7%'!A79</f>
        <v>55</v>
      </c>
      <c r="B84" s="149">
        <f ca="1">'график анн Комп 7%'!C79</f>
        <v>46160</v>
      </c>
      <c r="C84" s="156">
        <f ca="1">'график анн Комп 7%'!D79</f>
        <v>30</v>
      </c>
      <c r="D84" s="151">
        <f ca="1">'график анн Комп 7%'!E79</f>
        <v>1865574.3838392401</v>
      </c>
      <c r="E84" s="47">
        <f ca="1">'график анн Комп 7%'!H79</f>
        <v>14230.356990708275</v>
      </c>
      <c r="F84" s="47">
        <f ca="1">'график анн Комп 7%'!F79</f>
        <v>3476.911183726821</v>
      </c>
      <c r="G84" s="47">
        <f ca="1">'график анн Комп 7%'!G79</f>
        <v>10753.445806981454</v>
      </c>
      <c r="H84" s="157">
        <f>'график анн Комп 7%'!O79</f>
        <v>0</v>
      </c>
      <c r="I84" s="223" t="str">
        <f>'график анн Комп 7%'!M79</f>
        <v/>
      </c>
      <c r="J84" s="223" t="str">
        <f>'график анн Комп 7%'!N79</f>
        <v/>
      </c>
      <c r="K84" s="223" t="str">
        <f>'график анн Комп 7%'!I79</f>
        <v/>
      </c>
      <c r="L84" s="223" t="str">
        <f>'график анн Комп 7%'!J79</f>
        <v/>
      </c>
      <c r="M84" s="157">
        <f>'график анн Комп 7%'!K79</f>
        <v>0</v>
      </c>
      <c r="N84" s="223" t="str">
        <f>'график анн Комп 7%'!L79</f>
        <v/>
      </c>
      <c r="O84" s="51" t="str">
        <f>'график анн Комп 7%'!P79</f>
        <v/>
      </c>
      <c r="P84" s="49" t="str">
        <f>'график анн Комп 7%'!Q79</f>
        <v/>
      </c>
    </row>
    <row r="85" spans="1:16" x14ac:dyDescent="0.35">
      <c r="A85" s="154">
        <f>'график анн Комп 7%'!A80</f>
        <v>56</v>
      </c>
      <c r="B85" s="149">
        <f ca="1">'график анн Комп 7%'!C80</f>
        <v>46191</v>
      </c>
      <c r="C85" s="156">
        <f ca="1">'график анн Комп 7%'!D80</f>
        <v>31</v>
      </c>
      <c r="D85" s="151">
        <f ca="1">'график анн Комп 7%'!E80</f>
        <v>1862718.0177032254</v>
      </c>
      <c r="E85" s="47">
        <f ca="1">'график анн Комп 7%'!H80</f>
        <v>13947.589185141183</v>
      </c>
      <c r="F85" s="47">
        <f ca="1">'график анн Комп 7%'!F80</f>
        <v>2856.3661360147416</v>
      </c>
      <c r="G85" s="47">
        <f ca="1">'график анн Комп 7%'!G80</f>
        <v>11091.223049126442</v>
      </c>
      <c r="H85" s="157">
        <f>'график анн Комп 7%'!O80</f>
        <v>0</v>
      </c>
      <c r="I85" s="223" t="str">
        <f>'график анн Комп 7%'!M80</f>
        <v/>
      </c>
      <c r="J85" s="223" t="str">
        <f>'график анн Комп 7%'!N80</f>
        <v/>
      </c>
      <c r="K85" s="223" t="str">
        <f>'график анн Комп 7%'!I80</f>
        <v/>
      </c>
      <c r="L85" s="223" t="str">
        <f>'график анн Комп 7%'!J80</f>
        <v/>
      </c>
      <c r="M85" s="157">
        <f>'график анн Комп 7%'!K80</f>
        <v>0</v>
      </c>
      <c r="N85" s="223" t="str">
        <f>'график анн Комп 7%'!L80</f>
        <v/>
      </c>
      <c r="O85" s="51" t="str">
        <f>'график анн Комп 7%'!P80</f>
        <v/>
      </c>
      <c r="P85" s="49" t="str">
        <f>'график анн Комп 7%'!Q80</f>
        <v/>
      </c>
    </row>
    <row r="86" spans="1:16" x14ac:dyDescent="0.35">
      <c r="A86" s="154">
        <f>'график анн Комп 7%'!A81</f>
        <v>57</v>
      </c>
      <c r="B86" s="149">
        <f ca="1">'график анн Комп 7%'!C81</f>
        <v>46221</v>
      </c>
      <c r="C86" s="156">
        <f ca="1">'график анн Комп 7%'!D81</f>
        <v>30</v>
      </c>
      <c r="D86" s="151">
        <f ca="1">'график анн Комп 7%'!E81</f>
        <v>1859174.1646458011</v>
      </c>
      <c r="E86" s="47">
        <f ca="1">'график анн Комп 7%'!H81</f>
        <v>14260.860830511301</v>
      </c>
      <c r="F86" s="47">
        <f ca="1">'график анн Комп 7%'!F81</f>
        <v>3543.8530574242504</v>
      </c>
      <c r="G86" s="47">
        <f ca="1">'график анн Комп 7%'!G81</f>
        <v>10717.007773087051</v>
      </c>
      <c r="H86" s="157">
        <f>'график анн Комп 7%'!O81</f>
        <v>0</v>
      </c>
      <c r="I86" s="223" t="str">
        <f>'график анн Комп 7%'!M81</f>
        <v/>
      </c>
      <c r="J86" s="223" t="str">
        <f>'график анн Комп 7%'!N81</f>
        <v/>
      </c>
      <c r="K86" s="223" t="str">
        <f>'график анн Комп 7%'!I81</f>
        <v/>
      </c>
      <c r="L86" s="223" t="str">
        <f>'график анн Комп 7%'!J81</f>
        <v/>
      </c>
      <c r="M86" s="157">
        <f>'график анн Комп 7%'!K81</f>
        <v>0</v>
      </c>
      <c r="N86" s="223" t="str">
        <f>'график анн Комп 7%'!L81</f>
        <v/>
      </c>
      <c r="O86" s="51" t="str">
        <f>'график анн Комп 7%'!P81</f>
        <v/>
      </c>
      <c r="P86" s="49" t="str">
        <f>'график анн Комп 7%'!Q81</f>
        <v/>
      </c>
    </row>
    <row r="87" spans="1:16" x14ac:dyDescent="0.35">
      <c r="A87" s="154">
        <f>'график анн Комп 7%'!A82</f>
        <v>58</v>
      </c>
      <c r="B87" s="149">
        <f ca="1">'график анн Комп 7%'!C82</f>
        <v>46252</v>
      </c>
      <c r="C87" s="156">
        <f ca="1">'график анн Комп 7%'!D82</f>
        <v>31</v>
      </c>
      <c r="D87" s="151">
        <f ca="1">'график анн Комп 7%'!E82</f>
        <v>1856247.8940883162</v>
      </c>
      <c r="E87" s="47">
        <f ca="1">'график анн Комп 7%'!H82</f>
        <v>13979.442988392693</v>
      </c>
      <c r="F87" s="47">
        <f ca="1">'график анн Комп 7%'!F82</f>
        <v>2926.2705574847787</v>
      </c>
      <c r="G87" s="47">
        <f ca="1">'график анн Комп 7%'!G82</f>
        <v>11053.172430907915</v>
      </c>
      <c r="H87" s="157">
        <f>'график анн Комп 7%'!O82</f>
        <v>0</v>
      </c>
      <c r="I87" s="223" t="str">
        <f>'график анн Комп 7%'!M82</f>
        <v/>
      </c>
      <c r="J87" s="223" t="str">
        <f>'график анн Комп 7%'!N82</f>
        <v/>
      </c>
      <c r="K87" s="223" t="str">
        <f>'график анн Комп 7%'!I82</f>
        <v/>
      </c>
      <c r="L87" s="223" t="str">
        <f>'график анн Комп 7%'!J82</f>
        <v/>
      </c>
      <c r="M87" s="157">
        <f>'график анн Комп 7%'!K82</f>
        <v>0</v>
      </c>
      <c r="N87" s="223" t="str">
        <f>'график анн Комп 7%'!L82</f>
        <v/>
      </c>
      <c r="O87" s="51" t="str">
        <f>'график анн Комп 7%'!P82</f>
        <v/>
      </c>
      <c r="P87" s="49" t="str">
        <f>'график анн Комп 7%'!Q82</f>
        <v/>
      </c>
    </row>
    <row r="88" spans="1:16" x14ac:dyDescent="0.35">
      <c r="A88" s="154">
        <f>'график анн Комп 7%'!A83</f>
        <v>59</v>
      </c>
      <c r="B88" s="149">
        <f ca="1">'график анн Комп 7%'!C83</f>
        <v>46283</v>
      </c>
      <c r="C88" s="156">
        <f ca="1">'график анн Комп 7%'!D83</f>
        <v>31</v>
      </c>
      <c r="D88" s="151">
        <f ca="1">'график анн Комп 7%'!E83</f>
        <v>1853289.6622426</v>
      </c>
      <c r="E88" s="47">
        <f ca="1">'график анн Комп 7%'!H83</f>
        <v>13994.006996871396</v>
      </c>
      <c r="F88" s="47">
        <f ca="1">'график анн Комп 7%'!F83</f>
        <v>2958.2318457162</v>
      </c>
      <c r="G88" s="47">
        <f ca="1">'график анн Комп 7%'!G83</f>
        <v>11035.775151155196</v>
      </c>
      <c r="H88" s="157">
        <f>'график анн Комп 7%'!O83</f>
        <v>0</v>
      </c>
      <c r="I88" s="223" t="str">
        <f>'график анн Комп 7%'!M83</f>
        <v/>
      </c>
      <c r="J88" s="223" t="str">
        <f>'график анн Комп 7%'!N83</f>
        <v/>
      </c>
      <c r="K88" s="223" t="str">
        <f>'график анн Комп 7%'!I83</f>
        <v/>
      </c>
      <c r="L88" s="223" t="str">
        <f>'график анн Комп 7%'!J83</f>
        <v/>
      </c>
      <c r="M88" s="157">
        <f>'график анн Комп 7%'!K83</f>
        <v>0</v>
      </c>
      <c r="N88" s="223" t="str">
        <f>'график анн Комп 7%'!L83</f>
        <v/>
      </c>
      <c r="O88" s="51" t="str">
        <f>'график анн Комп 7%'!P83</f>
        <v/>
      </c>
      <c r="P88" s="49" t="str">
        <f>'график анн Комп 7%'!Q83</f>
        <v/>
      </c>
    </row>
    <row r="89" spans="1:16" x14ac:dyDescent="0.35">
      <c r="A89" s="154">
        <f>'график анн Комп 7%'!A84</f>
        <v>60</v>
      </c>
      <c r="B89" s="149">
        <f ca="1">'график анн Комп 7%'!C84</f>
        <v>46313</v>
      </c>
      <c r="C89" s="156">
        <f ca="1">'график анн Комп 7%'!D84</f>
        <v>30</v>
      </c>
      <c r="D89" s="151">
        <f ca="1">'график анн Комп 7%'!E84</f>
        <v>1849646.1527595124</v>
      </c>
      <c r="E89" s="47">
        <f ca="1">'график анн Комп 7%'!H84</f>
        <v>14306.271923387409</v>
      </c>
      <c r="F89" s="47">
        <f ca="1">'график анн Комп 7%'!F84</f>
        <v>3643.5094830875169</v>
      </c>
      <c r="G89" s="47">
        <f ca="1">'график анн Комп 7%'!G84</f>
        <v>10662.762440299892</v>
      </c>
      <c r="H89" s="157">
        <f>'график анн Комп 7%'!O84</f>
        <v>0</v>
      </c>
      <c r="I89" s="223" t="str">
        <f>'график анн Комп 7%'!M84</f>
        <v/>
      </c>
      <c r="J89" s="223" t="str">
        <f>'график анн Комп 7%'!N84</f>
        <v/>
      </c>
      <c r="K89" s="223" t="str">
        <f>'график анн Комп 7%'!I84</f>
        <v/>
      </c>
      <c r="L89" s="223" t="str">
        <f>'график анн Комп 7%'!J84</f>
        <v/>
      </c>
      <c r="M89" s="157">
        <f>'график анн Комп 7%'!K84</f>
        <v>0</v>
      </c>
      <c r="N89" s="223" t="str">
        <f>'график анн Комп 7%'!L84</f>
        <v/>
      </c>
      <c r="O89" s="51" t="str">
        <f>'график анн Комп 7%'!P84</f>
        <v/>
      </c>
      <c r="P89" s="49" t="str">
        <f>'график анн Комп 7%'!Q84</f>
        <v/>
      </c>
    </row>
    <row r="90" spans="1:16" x14ac:dyDescent="0.35">
      <c r="A90" s="154">
        <f>'график анн Комп 7%'!A85</f>
        <v>61</v>
      </c>
      <c r="B90" s="149">
        <f ca="1">'график анн Комп 7%'!C85</f>
        <v>46344</v>
      </c>
      <c r="C90" s="156">
        <f ca="1">'график анн Комп 7%'!D85</f>
        <v>31</v>
      </c>
      <c r="D90" s="151">
        <f ca="1">'график анн Комп 7%'!E85</f>
        <v>1846615.8154289157</v>
      </c>
      <c r="E90" s="47">
        <f ca="1">'график анн Комп 7%'!H85</f>
        <v>14026.863773030042</v>
      </c>
      <c r="F90" s="47">
        <f ca="1">'график анн Комп 7%'!F85</f>
        <v>3030.3373305967762</v>
      </c>
      <c r="G90" s="47">
        <f ca="1">'график анн Комп 7%'!G85</f>
        <v>10996.526442433265</v>
      </c>
      <c r="H90" s="157">
        <f>'график анн Комп 7%'!O85</f>
        <v>0</v>
      </c>
      <c r="I90" s="223" t="str">
        <f>'график анн Комп 7%'!M85</f>
        <v/>
      </c>
      <c r="J90" s="223">
        <f>'график анн Комп 7%'!N85</f>
        <v>0</v>
      </c>
      <c r="K90" s="223" t="str">
        <f>'график анн Комп 7%'!I85</f>
        <v/>
      </c>
      <c r="L90" s="223" t="str">
        <f>'график анн Комп 7%'!J85</f>
        <v/>
      </c>
      <c r="M90" s="201">
        <f>'график анн Комп 7%'!K85</f>
        <v>7500</v>
      </c>
      <c r="N90" s="223" t="str">
        <f>'график анн Комп 7%'!L85</f>
        <v/>
      </c>
      <c r="O90" s="51" t="str">
        <f>'график анн Комп 7%'!P85</f>
        <v/>
      </c>
      <c r="P90" s="49" t="str">
        <f>'график анн Комп 7%'!Q85</f>
        <v/>
      </c>
    </row>
    <row r="91" spans="1:16" x14ac:dyDescent="0.35">
      <c r="A91" s="154">
        <f>'график анн Комп 7%'!A86</f>
        <v>62</v>
      </c>
      <c r="B91" s="149">
        <f ca="1">'график анн Комп 7%'!C86</f>
        <v>46374</v>
      </c>
      <c r="C91" s="156">
        <f ca="1">'график анн Комп 7%'!D86</f>
        <v>30</v>
      </c>
      <c r="D91" s="151">
        <f ca="1">'график анн Комп 7%'!E86</f>
        <v>1842901.764299233</v>
      </c>
      <c r="E91" s="47">
        <f ca="1">'график анн Комп 7%'!H86</f>
        <v>14338.416095164006</v>
      </c>
      <c r="F91" s="47">
        <f ca="1">'график анн Комп 7%'!F86</f>
        <v>3714.0511296825716</v>
      </c>
      <c r="G91" s="47">
        <f ca="1">'график анн Комп 7%'!G86</f>
        <v>10624.364965481434</v>
      </c>
      <c r="H91" s="157">
        <f>'график анн Комп 7%'!O86</f>
        <v>0</v>
      </c>
      <c r="I91" s="223" t="str">
        <f>'график анн Комп 7%'!M86</f>
        <v/>
      </c>
      <c r="J91" s="223" t="str">
        <f>'график анн Комп 7%'!N86</f>
        <v/>
      </c>
      <c r="K91" s="223" t="str">
        <f>'график анн Комп 7%'!I86</f>
        <v/>
      </c>
      <c r="L91" s="223" t="str">
        <f>'график анн Комп 7%'!J86</f>
        <v/>
      </c>
      <c r="M91" s="157">
        <f>'график анн Комп 7%'!K86</f>
        <v>0</v>
      </c>
      <c r="N91" s="223" t="str">
        <f>'график анн Комп 7%'!L86</f>
        <v/>
      </c>
      <c r="O91" s="51" t="str">
        <f>'график анн Комп 7%'!P86</f>
        <v/>
      </c>
      <c r="P91" s="49" t="str">
        <f>'график анн Комп 7%'!Q86</f>
        <v/>
      </c>
    </row>
    <row r="92" spans="1:16" x14ac:dyDescent="0.35">
      <c r="A92" s="154">
        <f>'график анн Комп 7%'!A87</f>
        <v>63</v>
      </c>
      <c r="B92" s="149">
        <f ca="1">'график анн Комп 7%'!C87</f>
        <v>46405</v>
      </c>
      <c r="C92" s="156">
        <f ca="1">'график анн Комп 7%'!D87</f>
        <v>31</v>
      </c>
      <c r="D92" s="151">
        <f ca="1">'график анн Комп 7%'!E87</f>
        <v>1839797.7634644287</v>
      </c>
      <c r="E92" s="47">
        <f ca="1">'график анн Комп 7%'!H87</f>
        <v>14060.430502007972</v>
      </c>
      <c r="F92" s="47">
        <f ca="1">'график анн Комп 7%'!F87</f>
        <v>3104.000834804312</v>
      </c>
      <c r="G92" s="47">
        <f ca="1">'график анн Комп 7%'!G87</f>
        <v>10956.42966720366</v>
      </c>
      <c r="H92" s="157">
        <f>'график анн Комп 7%'!O87</f>
        <v>0</v>
      </c>
      <c r="I92" s="223" t="str">
        <f>'график анн Комп 7%'!M87</f>
        <v/>
      </c>
      <c r="J92" s="223" t="str">
        <f>'график анн Комп 7%'!N87</f>
        <v/>
      </c>
      <c r="K92" s="223" t="str">
        <f>'график анн Комп 7%'!I87</f>
        <v/>
      </c>
      <c r="L92" s="223" t="str">
        <f>'график анн Комп 7%'!J87</f>
        <v/>
      </c>
      <c r="M92" s="157">
        <f>'график анн Комп 7%'!K87</f>
        <v>0</v>
      </c>
      <c r="N92" s="223" t="str">
        <f>'график анн Комп 7%'!L87</f>
        <v/>
      </c>
      <c r="O92" s="51" t="str">
        <f>'график анн Комп 7%'!P87</f>
        <v/>
      </c>
      <c r="P92" s="49" t="str">
        <f>'график анн Комп 7%'!Q87</f>
        <v/>
      </c>
    </row>
    <row r="93" spans="1:16" x14ac:dyDescent="0.35">
      <c r="A93" s="154">
        <f>'график анн Комп 7%'!A88</f>
        <v>64</v>
      </c>
      <c r="B93" s="149">
        <f ca="1">'график анн Комп 7%'!C88</f>
        <v>46436</v>
      </c>
      <c r="C93" s="156">
        <f ca="1">'график анн Комп 7%'!D88</f>
        <v>31</v>
      </c>
      <c r="D93" s="151">
        <f ca="1">'график анн Комп 7%'!E88</f>
        <v>1836659.8601372188</v>
      </c>
      <c r="E93" s="47">
        <f ca="1">'график анн Комп 7%'!H88</f>
        <v>14075.879071642232</v>
      </c>
      <c r="F93" s="47">
        <f ca="1">'график анн Комп 7%'!F88</f>
        <v>3137.903327209875</v>
      </c>
      <c r="G93" s="47">
        <f ca="1">'график анн Комп 7%'!G88</f>
        <v>10937.975744432357</v>
      </c>
      <c r="H93" s="157">
        <f>'график анн Комп 7%'!O88</f>
        <v>0</v>
      </c>
      <c r="I93" s="223" t="str">
        <f>'график анн Комп 7%'!M88</f>
        <v/>
      </c>
      <c r="J93" s="223" t="str">
        <f>'график анн Комп 7%'!N88</f>
        <v/>
      </c>
      <c r="K93" s="223" t="str">
        <f>'график анн Комп 7%'!I88</f>
        <v/>
      </c>
      <c r="L93" s="223" t="str">
        <f>'график анн Комп 7%'!J88</f>
        <v/>
      </c>
      <c r="M93" s="157">
        <f>'график анн Комп 7%'!K88</f>
        <v>0</v>
      </c>
      <c r="N93" s="223" t="str">
        <f>'график анн Комп 7%'!L88</f>
        <v/>
      </c>
      <c r="O93" s="51" t="str">
        <f>'график анн Комп 7%'!P88</f>
        <v/>
      </c>
      <c r="P93" s="49" t="str">
        <f>'график анн Комп 7%'!Q88</f>
        <v/>
      </c>
    </row>
    <row r="94" spans="1:16" x14ac:dyDescent="0.35">
      <c r="A94" s="154">
        <f>'график анн Комп 7%'!A89</f>
        <v>65</v>
      </c>
      <c r="B94" s="149">
        <f ca="1">'график анн Комп 7%'!C89</f>
        <v>46464</v>
      </c>
      <c r="C94" s="156">
        <f ca="1">'график анн Комп 7%'!D89</f>
        <v>28</v>
      </c>
      <c r="D94" s="151">
        <f ca="1">'график анн Комп 7%'!E89</f>
        <v>1831546.3597156387</v>
      </c>
      <c r="E94" s="47">
        <f ca="1">'график анн Комп 7%'!H89</f>
        <v>14976.112273276021</v>
      </c>
      <c r="F94" s="47">
        <f ca="1">'график анн Комп 7%'!F89</f>
        <v>5113.5004215802692</v>
      </c>
      <c r="G94" s="47">
        <f ca="1">'график анн Комп 7%'!G89</f>
        <v>9862.6118516957522</v>
      </c>
      <c r="H94" s="157">
        <f>'график анн Комп 7%'!O89</f>
        <v>0</v>
      </c>
      <c r="I94" s="223" t="str">
        <f>'график анн Комп 7%'!M89</f>
        <v/>
      </c>
      <c r="J94" s="223" t="str">
        <f>'график анн Комп 7%'!N89</f>
        <v/>
      </c>
      <c r="K94" s="223" t="str">
        <f>'график анн Комп 7%'!I89</f>
        <v/>
      </c>
      <c r="L94" s="223" t="str">
        <f>'график анн Комп 7%'!J89</f>
        <v/>
      </c>
      <c r="M94" s="157">
        <f>'график анн Комп 7%'!K89</f>
        <v>0</v>
      </c>
      <c r="N94" s="223" t="str">
        <f>'график анн Комп 7%'!L89</f>
        <v/>
      </c>
      <c r="O94" s="51" t="str">
        <f>'график анн Комп 7%'!P89</f>
        <v/>
      </c>
      <c r="P94" s="49" t="str">
        <f>'график анн Комп 7%'!Q89</f>
        <v/>
      </c>
    </row>
    <row r="95" spans="1:16" x14ac:dyDescent="0.35">
      <c r="A95" s="154">
        <f>'график анн Комп 7%'!A90</f>
        <v>66</v>
      </c>
      <c r="B95" s="149">
        <f ca="1">'график анн Комп 7%'!C90</f>
        <v>46495</v>
      </c>
      <c r="C95" s="156">
        <f ca="1">'график анн Комп 7%'!D90</f>
        <v>31</v>
      </c>
      <c r="D95" s="151">
        <f ca="1">'график анн Комп 7%'!E90</f>
        <v>1828318.3329742234</v>
      </c>
      <c r="E95" s="47">
        <f ca="1">'график анн Комп 7%'!H90</f>
        <v>14116.946195067034</v>
      </c>
      <c r="F95" s="47">
        <f ca="1">'график анн Комп 7%'!F90</f>
        <v>3228.0267414151531</v>
      </c>
      <c r="G95" s="47">
        <f ca="1">'график анн Комп 7%'!G90</f>
        <v>10888.919453651881</v>
      </c>
      <c r="H95" s="157">
        <f>'график анн Комп 7%'!O90</f>
        <v>0</v>
      </c>
      <c r="I95" s="223" t="str">
        <f>'график анн Комп 7%'!M90</f>
        <v/>
      </c>
      <c r="J95" s="223" t="str">
        <f>'график анн Комп 7%'!N90</f>
        <v/>
      </c>
      <c r="K95" s="223" t="str">
        <f>'график анн Комп 7%'!I90</f>
        <v/>
      </c>
      <c r="L95" s="223" t="str">
        <f>'график анн Комп 7%'!J90</f>
        <v/>
      </c>
      <c r="M95" s="157">
        <f>'график анн Комп 7%'!K90</f>
        <v>0</v>
      </c>
      <c r="N95" s="223" t="str">
        <f>'график анн Комп 7%'!L90</f>
        <v/>
      </c>
      <c r="O95" s="51" t="str">
        <f>'график анн Комп 7%'!P90</f>
        <v/>
      </c>
      <c r="P95" s="49" t="str">
        <f>'график анн Комп 7%'!Q90</f>
        <v/>
      </c>
    </row>
    <row r="96" spans="1:16" x14ac:dyDescent="0.35">
      <c r="A96" s="154">
        <f>'график анн Комп 7%'!A91</f>
        <v>67</v>
      </c>
      <c r="B96" s="149">
        <f ca="1">'график анн Комп 7%'!C91</f>
        <v>46525</v>
      </c>
      <c r="C96" s="156">
        <f ca="1">'график анн Комп 7%'!D91</f>
        <v>30</v>
      </c>
      <c r="D96" s="151">
        <f ca="1">'график анн Комп 7%'!E91</f>
        <v>1824410.8799614992</v>
      </c>
      <c r="E96" s="47">
        <f ca="1">'график анн Комп 7%'!H91</f>
        <v>14426.544791480032</v>
      </c>
      <c r="F96" s="47">
        <f ca="1">'график анн Комп 7%'!F91</f>
        <v>3907.4530127242251</v>
      </c>
      <c r="G96" s="47">
        <f ca="1">'график анн Комп 7%'!G91</f>
        <v>10519.091778755806</v>
      </c>
      <c r="H96" s="157">
        <f>'график анн Комп 7%'!O91</f>
        <v>0</v>
      </c>
      <c r="I96" s="223" t="str">
        <f>'график анн Комп 7%'!M91</f>
        <v/>
      </c>
      <c r="J96" s="223" t="str">
        <f>'график анн Комп 7%'!N91</f>
        <v/>
      </c>
      <c r="K96" s="223" t="str">
        <f>'график анн Комп 7%'!I91</f>
        <v/>
      </c>
      <c r="L96" s="223" t="str">
        <f>'график анн Комп 7%'!J91</f>
        <v/>
      </c>
      <c r="M96" s="157">
        <f>'график анн Комп 7%'!K91</f>
        <v>0</v>
      </c>
      <c r="N96" s="223" t="str">
        <f>'график анн Комп 7%'!L91</f>
        <v/>
      </c>
      <c r="O96" s="51" t="str">
        <f>'график анн Комп 7%'!P91</f>
        <v/>
      </c>
      <c r="P96" s="49" t="str">
        <f>'график анн Комп 7%'!Q91</f>
        <v/>
      </c>
    </row>
    <row r="97" spans="1:16" x14ac:dyDescent="0.35">
      <c r="A97" s="154">
        <f>'график анн Комп 7%'!A92</f>
        <v>68</v>
      </c>
      <c r="B97" s="149">
        <f ca="1">'график анн Комп 7%'!C92</f>
        <v>46556</v>
      </c>
      <c r="C97" s="156">
        <f ca="1">'график анн Комп 7%'!D92</f>
        <v>31</v>
      </c>
      <c r="D97" s="151">
        <f ca="1">'график анн Комп 7%'!E92</f>
        <v>1821104.9181417613</v>
      </c>
      <c r="E97" s="47">
        <f ca="1">'график анн Комп 7%'!H92</f>
        <v>14152.459380057086</v>
      </c>
      <c r="F97" s="47">
        <f ca="1">'график анн Комп 7%'!F92</f>
        <v>3305.9618197380332</v>
      </c>
      <c r="G97" s="47">
        <f ca="1">'график анн Комп 7%'!G92</f>
        <v>10846.497560319052</v>
      </c>
      <c r="H97" s="157">
        <f>'график анн Комп 7%'!O92</f>
        <v>0</v>
      </c>
      <c r="I97" s="223" t="str">
        <f>'график анн Комп 7%'!M92</f>
        <v/>
      </c>
      <c r="J97" s="223" t="str">
        <f>'график анн Комп 7%'!N92</f>
        <v/>
      </c>
      <c r="K97" s="223" t="str">
        <f>'график анн Комп 7%'!I92</f>
        <v/>
      </c>
      <c r="L97" s="223" t="str">
        <f>'график анн Комп 7%'!J92</f>
        <v/>
      </c>
      <c r="M97" s="157">
        <f>'график анн Комп 7%'!K92</f>
        <v>0</v>
      </c>
      <c r="N97" s="223" t="str">
        <f>'график анн Комп 7%'!L92</f>
        <v/>
      </c>
      <c r="O97" s="51" t="str">
        <f>'график анн Комп 7%'!P92</f>
        <v/>
      </c>
      <c r="P97" s="49" t="str">
        <f>'график анн Комп 7%'!Q92</f>
        <v/>
      </c>
    </row>
    <row r="98" spans="1:16" x14ac:dyDescent="0.35">
      <c r="A98" s="154">
        <f>'график анн Комп 7%'!A93</f>
        <v>69</v>
      </c>
      <c r="B98" s="149">
        <f ca="1">'график анн Комп 7%'!C93</f>
        <v>46586</v>
      </c>
      <c r="C98" s="156">
        <f ca="1">'график анн Комп 7%'!D93</f>
        <v>30</v>
      </c>
      <c r="D98" s="151">
        <f ca="1">'график анн Комп 7%'!E93</f>
        <v>1817121.2203223971</v>
      </c>
      <c r="E98" s="47">
        <f ca="1">'график анн Комп 7%'!H93</f>
        <v>14461.287759358027</v>
      </c>
      <c r="F98" s="47">
        <f ca="1">'график анн Комп 7%'!F93</f>
        <v>3983.6978193643299</v>
      </c>
      <c r="G98" s="47">
        <f ca="1">'график анн Комп 7%'!G93</f>
        <v>10477.589939993697</v>
      </c>
      <c r="H98" s="157">
        <f>'график анн Комп 7%'!O93</f>
        <v>0</v>
      </c>
      <c r="I98" s="223" t="str">
        <f>'график анн Комп 7%'!M93</f>
        <v/>
      </c>
      <c r="J98" s="223" t="str">
        <f>'график анн Комп 7%'!N93</f>
        <v/>
      </c>
      <c r="K98" s="223" t="str">
        <f>'график анн Комп 7%'!I93</f>
        <v/>
      </c>
      <c r="L98" s="223" t="str">
        <f>'график анн Комп 7%'!J93</f>
        <v/>
      </c>
      <c r="M98" s="157">
        <f>'график анн Комп 7%'!K93</f>
        <v>0</v>
      </c>
      <c r="N98" s="223" t="str">
        <f>'график анн Комп 7%'!L93</f>
        <v/>
      </c>
      <c r="O98" s="51" t="str">
        <f>'график анн Комп 7%'!P93</f>
        <v/>
      </c>
      <c r="P98" s="49" t="str">
        <f>'график анн Комп 7%'!Q93</f>
        <v/>
      </c>
    </row>
    <row r="99" spans="1:16" x14ac:dyDescent="0.35">
      <c r="A99" s="154">
        <f>'график анн Комп 7%'!A94</f>
        <v>70</v>
      </c>
      <c r="B99" s="149">
        <f ca="1">'график анн Комп 7%'!C94</f>
        <v>46617</v>
      </c>
      <c r="C99" s="156">
        <f ca="1">'график анн Комп 7%'!D94</f>
        <v>31</v>
      </c>
      <c r="D99" s="151">
        <f ca="1">'график анн Комп 7%'!E94</f>
        <v>1813735.6394420639</v>
      </c>
      <c r="E99" s="47">
        <f ca="1">'график анн Комп 7%'!H94</f>
        <v>14188.739916222545</v>
      </c>
      <c r="F99" s="47">
        <f ca="1">'график анн Комп 7%'!F94</f>
        <v>3385.5808803332257</v>
      </c>
      <c r="G99" s="47">
        <f ca="1">'график анн Комп 7%'!G94</f>
        <v>10803.159035889319</v>
      </c>
      <c r="H99" s="157">
        <f>'график анн Комп 7%'!O94</f>
        <v>0</v>
      </c>
      <c r="I99" s="223" t="str">
        <f>'график анн Комп 7%'!M94</f>
        <v/>
      </c>
      <c r="J99" s="223" t="str">
        <f>'график анн Комп 7%'!N94</f>
        <v/>
      </c>
      <c r="K99" s="223" t="str">
        <f>'график анн Комп 7%'!I94</f>
        <v/>
      </c>
      <c r="L99" s="223" t="str">
        <f>'график анн Комп 7%'!J94</f>
        <v/>
      </c>
      <c r="M99" s="157">
        <f>'график анн Комп 7%'!K94</f>
        <v>0</v>
      </c>
      <c r="N99" s="223" t="str">
        <f>'график анн Комп 7%'!L94</f>
        <v/>
      </c>
      <c r="O99" s="51" t="str">
        <f>'график анн Комп 7%'!P94</f>
        <v/>
      </c>
      <c r="P99" s="49" t="str">
        <f>'график анн Комп 7%'!Q94</f>
        <v/>
      </c>
    </row>
    <row r="100" spans="1:16" x14ac:dyDescent="0.35">
      <c r="A100" s="154">
        <f>'график анн Комп 7%'!A95</f>
        <v>71</v>
      </c>
      <c r="B100" s="149">
        <f ca="1">'график анн Комп 7%'!C95</f>
        <v>46648</v>
      </c>
      <c r="C100" s="156">
        <f ca="1">'график анн Комп 7%'!D95</f>
        <v>31</v>
      </c>
      <c r="D100" s="151">
        <f ca="1">'график анн Комп 7%'!E95</f>
        <v>1810313.0805980661</v>
      </c>
      <c r="E100" s="47">
        <f ca="1">'график анн Комп 7%'!H95</f>
        <v>14205.589905886143</v>
      </c>
      <c r="F100" s="47">
        <f ca="1">'график анн Комп 7%'!F95</f>
        <v>3422.5588439977073</v>
      </c>
      <c r="G100" s="47">
        <f ca="1">'график анн Комп 7%'!G95</f>
        <v>10783.031061888436</v>
      </c>
      <c r="H100" s="157">
        <f>'график анн Комп 7%'!O95</f>
        <v>0</v>
      </c>
      <c r="I100" s="223" t="str">
        <f>'график анн Комп 7%'!M95</f>
        <v/>
      </c>
      <c r="J100" s="223" t="str">
        <f>'график анн Комп 7%'!N95</f>
        <v/>
      </c>
      <c r="K100" s="223" t="str">
        <f>'график анн Комп 7%'!I95</f>
        <v/>
      </c>
      <c r="L100" s="223" t="str">
        <f>'график анн Комп 7%'!J95</f>
        <v/>
      </c>
      <c r="M100" s="157">
        <f>'график анн Комп 7%'!K95</f>
        <v>0</v>
      </c>
      <c r="N100" s="223" t="str">
        <f>'график анн Комп 7%'!L95</f>
        <v/>
      </c>
      <c r="O100" s="51" t="str">
        <f>'график анн Комп 7%'!P95</f>
        <v/>
      </c>
      <c r="P100" s="49" t="str">
        <f>'график анн Комп 7%'!Q95</f>
        <v/>
      </c>
    </row>
    <row r="101" spans="1:16" x14ac:dyDescent="0.35">
      <c r="A101" s="154">
        <f>'график анн Комп 7%'!A96</f>
        <v>72</v>
      </c>
      <c r="B101" s="149">
        <f ca="1">'график анн Комп 7%'!C96</f>
        <v>46678</v>
      </c>
      <c r="C101" s="156">
        <f ca="1">'график анн Комп 7%'!D96</f>
        <v>30</v>
      </c>
      <c r="D101" s="151">
        <f ca="1">'график анн Комп 7%'!E96</f>
        <v>1806215.3145341987</v>
      </c>
      <c r="E101" s="47">
        <f ca="1">'график анн Комп 7%'!H96</f>
        <v>14513.265979636975</v>
      </c>
      <c r="F101" s="47">
        <f ca="1">'график анн Комп 7%'!F96</f>
        <v>4097.7660638672787</v>
      </c>
      <c r="G101" s="47">
        <f ca="1">'график анн Комп 7%'!G96</f>
        <v>10415.499915769697</v>
      </c>
      <c r="H101" s="157">
        <f>'график анн Комп 7%'!O96</f>
        <v>0</v>
      </c>
      <c r="I101" s="223" t="str">
        <f>'график анн Комп 7%'!M96</f>
        <v/>
      </c>
      <c r="J101" s="223" t="str">
        <f>'график анн Комп 7%'!N96</f>
        <v/>
      </c>
      <c r="K101" s="223" t="str">
        <f>'график анн Комп 7%'!I96</f>
        <v/>
      </c>
      <c r="L101" s="223" t="str">
        <f>'график анн Комп 7%'!J96</f>
        <v/>
      </c>
      <c r="M101" s="157">
        <f>'график анн Комп 7%'!K96</f>
        <v>0</v>
      </c>
      <c r="N101" s="223" t="str">
        <f>'график анн Комп 7%'!L96</f>
        <v/>
      </c>
      <c r="O101" s="51" t="str">
        <f>'график анн Комп 7%'!P96</f>
        <v/>
      </c>
      <c r="P101" s="49" t="str">
        <f>'график анн Комп 7%'!Q96</f>
        <v/>
      </c>
    </row>
    <row r="102" spans="1:16" x14ac:dyDescent="0.35">
      <c r="A102" s="154">
        <f>'график анн Комп 7%'!A97</f>
        <v>73</v>
      </c>
      <c r="B102" s="149">
        <f ca="1">'график анн Комп 7%'!C97</f>
        <v>46709</v>
      </c>
      <c r="C102" s="156">
        <f ca="1">'график анн Комп 7%'!D97</f>
        <v>31</v>
      </c>
      <c r="D102" s="151">
        <f ca="1">'график анн Комп 7%'!E97</f>
        <v>1802710.6172593031</v>
      </c>
      <c r="E102" s="47">
        <f ca="1">'график анн Комп 7%'!H97</f>
        <v>14243.018459934441</v>
      </c>
      <c r="F102" s="47">
        <f ca="1">'график анн Комп 7%'!F97</f>
        <v>3504.697274895505</v>
      </c>
      <c r="G102" s="47">
        <f ca="1">'график анн Комп 7%'!G97</f>
        <v>10738.321185038936</v>
      </c>
      <c r="H102" s="157">
        <f>'график анн Комп 7%'!O97</f>
        <v>0</v>
      </c>
      <c r="I102" s="223" t="str">
        <f>'график анн Комп 7%'!M97</f>
        <v/>
      </c>
      <c r="J102" s="223">
        <f>'график анн Комп 7%'!N97</f>
        <v>0</v>
      </c>
      <c r="K102" s="223" t="str">
        <f>'график анн Комп 7%'!I97</f>
        <v/>
      </c>
      <c r="L102" s="223" t="str">
        <f>'график анн Комп 7%'!J97</f>
        <v/>
      </c>
      <c r="M102" s="201">
        <f>'график анн Комп 7%'!K97</f>
        <v>7500</v>
      </c>
      <c r="N102" s="223" t="str">
        <f>'график анн Комп 7%'!L97</f>
        <v/>
      </c>
      <c r="O102" s="51" t="str">
        <f>'график анн Комп 7%'!P97</f>
        <v/>
      </c>
      <c r="P102" s="49" t="str">
        <f>'график анн Комп 7%'!Q97</f>
        <v/>
      </c>
    </row>
    <row r="103" spans="1:16" x14ac:dyDescent="0.35">
      <c r="A103" s="154">
        <f>'график анн Комп 7%'!A98</f>
        <v>74</v>
      </c>
      <c r="B103" s="149">
        <f ca="1">'график анн Комп 7%'!C98</f>
        <v>46739</v>
      </c>
      <c r="C103" s="156">
        <f ca="1">'график анн Комп 7%'!D98</f>
        <v>30</v>
      </c>
      <c r="D103" s="151">
        <f ca="1">'график анн Комп 7%'!E98</f>
        <v>1798532.4941993784</v>
      </c>
      <c r="E103" s="47">
        <f ca="1">'график анн Комп 7%'!H98</f>
        <v>14549.882775663124</v>
      </c>
      <c r="F103" s="47">
        <f ca="1">'график анн Комп 7%'!F98</f>
        <v>4178.1230599246664</v>
      </c>
      <c r="G103" s="47">
        <f ca="1">'график анн Комп 7%'!G98</f>
        <v>10371.759715738457</v>
      </c>
      <c r="H103" s="157">
        <f>'график анн Комп 7%'!O98</f>
        <v>0</v>
      </c>
      <c r="I103" s="223" t="str">
        <f>'график анн Комп 7%'!M98</f>
        <v/>
      </c>
      <c r="J103" s="223" t="str">
        <f>'график анн Комп 7%'!N98</f>
        <v/>
      </c>
      <c r="K103" s="223" t="str">
        <f>'график анн Комп 7%'!I98</f>
        <v/>
      </c>
      <c r="L103" s="223" t="str">
        <f>'график анн Комп 7%'!J98</f>
        <v/>
      </c>
      <c r="M103" s="157">
        <f>'график анн Комп 7%'!K98</f>
        <v>0</v>
      </c>
      <c r="N103" s="223" t="str">
        <f>'график анн Комп 7%'!L98</f>
        <v/>
      </c>
      <c r="O103" s="51" t="str">
        <f>'график анн Комп 7%'!P98</f>
        <v/>
      </c>
      <c r="P103" s="49" t="str">
        <f>'график анн Комп 7%'!Q98</f>
        <v/>
      </c>
    </row>
    <row r="104" spans="1:16" x14ac:dyDescent="0.35">
      <c r="A104" s="154">
        <f>'график анн Комп 7%'!A99</f>
        <v>75</v>
      </c>
      <c r="B104" s="149">
        <f ca="1">'график анн Комп 7%'!C99</f>
        <v>46770</v>
      </c>
      <c r="C104" s="156">
        <f ca="1">'график анн Комп 7%'!D99</f>
        <v>31</v>
      </c>
      <c r="D104" s="151">
        <f ca="1">'график анн Комп 7%'!E99</f>
        <v>1794943.8836873684</v>
      </c>
      <c r="E104" s="47">
        <f ca="1">'график анн Комп 7%'!H99</f>
        <v>14281.255751496727</v>
      </c>
      <c r="F104" s="47">
        <f ca="1">'график анн Комп 7%'!F99</f>
        <v>3588.610512010011</v>
      </c>
      <c r="G104" s="47">
        <f ca="1">'график анн Комп 7%'!G99</f>
        <v>10692.645239486716</v>
      </c>
      <c r="H104" s="157">
        <f>'график анн Комп 7%'!O99</f>
        <v>0</v>
      </c>
      <c r="I104" s="223" t="str">
        <f>'график анн Комп 7%'!M99</f>
        <v/>
      </c>
      <c r="J104" s="223" t="str">
        <f>'график анн Комп 7%'!N99</f>
        <v/>
      </c>
      <c r="K104" s="223" t="str">
        <f>'график анн Комп 7%'!I99</f>
        <v/>
      </c>
      <c r="L104" s="223" t="str">
        <f>'график анн Комп 7%'!J99</f>
        <v/>
      </c>
      <c r="M104" s="157">
        <f>'график анн Комп 7%'!K99</f>
        <v>0</v>
      </c>
      <c r="N104" s="223" t="str">
        <f>'график анн Комп 7%'!L99</f>
        <v/>
      </c>
      <c r="O104" s="51" t="str">
        <f>'график анн Комп 7%'!P99</f>
        <v/>
      </c>
      <c r="P104" s="49" t="str">
        <f>'график анн Комп 7%'!Q99</f>
        <v/>
      </c>
    </row>
    <row r="105" spans="1:16" x14ac:dyDescent="0.35">
      <c r="A105" s="154">
        <f>'график анн Комп 7%'!A100</f>
        <v>76</v>
      </c>
      <c r="B105" s="149">
        <f ca="1">'график анн Комп 7%'!C100</f>
        <v>46801</v>
      </c>
      <c r="C105" s="156">
        <f ca="1">'график анн Комп 7%'!D100</f>
        <v>31</v>
      </c>
      <c r="D105" s="151">
        <f ca="1">'график анн Комп 7%'!E100</f>
        <v>1791262.5128707329</v>
      </c>
      <c r="E105" s="47">
        <f ca="1">'график анн Комп 7%'!H100</f>
        <v>14352.68102924242</v>
      </c>
      <c r="F105" s="47">
        <f ca="1">'график анн Комп 7%'!F100</f>
        <v>3681.3708166353244</v>
      </c>
      <c r="G105" s="47">
        <f ca="1">'график анн Комп 7%'!G100</f>
        <v>10671.310212607095</v>
      </c>
      <c r="H105" s="157">
        <f>'график анн Комп 7%'!O100</f>
        <v>0</v>
      </c>
      <c r="I105" s="223" t="str">
        <f>'график анн Комп 7%'!M100</f>
        <v/>
      </c>
      <c r="J105" s="223" t="str">
        <f>'график анн Комп 7%'!N100</f>
        <v/>
      </c>
      <c r="K105" s="223" t="str">
        <f>'график анн Комп 7%'!I100</f>
        <v/>
      </c>
      <c r="L105" s="223" t="str">
        <f>'график анн Комп 7%'!J100</f>
        <v/>
      </c>
      <c r="M105" s="157">
        <f>'график анн Комп 7%'!K100</f>
        <v>0</v>
      </c>
      <c r="N105" s="223" t="str">
        <f>'график анн Комп 7%'!L100</f>
        <v/>
      </c>
      <c r="O105" s="51" t="str">
        <f>'график анн Комп 7%'!P100</f>
        <v/>
      </c>
      <c r="P105" s="49" t="str">
        <f>'график анн Комп 7%'!Q100</f>
        <v/>
      </c>
    </row>
    <row r="106" spans="1:16" x14ac:dyDescent="0.35">
      <c r="A106" s="154">
        <f>'график анн Комп 7%'!A101</f>
        <v>77</v>
      </c>
      <c r="B106" s="149">
        <f ca="1">'график анн Комп 7%'!C101</f>
        <v>46830</v>
      </c>
      <c r="C106" s="156">
        <f ca="1">'график анн Комп 7%'!D101</f>
        <v>29</v>
      </c>
      <c r="D106" s="151">
        <f ca="1">'график анн Комп 7%'!E101</f>
        <v>1786282.2653568082</v>
      </c>
      <c r="E106" s="47">
        <f ca="1">'график анн Комп 7%'!H101</f>
        <v>14942.611626603133</v>
      </c>
      <c r="F106" s="47">
        <f ca="1">'график анн Комп 7%'!F101</f>
        <v>4980.247513924809</v>
      </c>
      <c r="G106" s="47">
        <f ca="1">'график анн Комп 7%'!G101</f>
        <v>9962.3641126783241</v>
      </c>
      <c r="H106" s="157">
        <f>'график анн Комп 7%'!O101</f>
        <v>0</v>
      </c>
      <c r="I106" s="223" t="str">
        <f>'график анн Комп 7%'!M101</f>
        <v/>
      </c>
      <c r="J106" s="223" t="str">
        <f>'график анн Комп 7%'!N101</f>
        <v/>
      </c>
      <c r="K106" s="223" t="str">
        <f>'график анн Комп 7%'!I101</f>
        <v/>
      </c>
      <c r="L106" s="223" t="str">
        <f>'график анн Комп 7%'!J101</f>
        <v/>
      </c>
      <c r="M106" s="157">
        <f>'график анн Комп 7%'!K101</f>
        <v>0</v>
      </c>
      <c r="N106" s="223" t="str">
        <f>'график анн Комп 7%'!L101</f>
        <v/>
      </c>
      <c r="O106" s="51" t="str">
        <f>'график анн Комп 7%'!P101</f>
        <v/>
      </c>
      <c r="P106" s="49" t="str">
        <f>'график анн Комп 7%'!Q101</f>
        <v/>
      </c>
    </row>
    <row r="107" spans="1:16" x14ac:dyDescent="0.35">
      <c r="A107" s="154">
        <f>'график анн Комп 7%'!A102</f>
        <v>78</v>
      </c>
      <c r="B107" s="149">
        <f ca="1">'график анн Комп 7%'!C102</f>
        <v>46861</v>
      </c>
      <c r="C107" s="156">
        <f ca="1">'график анн Комп 7%'!D102</f>
        <v>31</v>
      </c>
      <c r="D107" s="151">
        <f ca="1">'график анн Комп 7%'!E102</f>
        <v>1782506.5491641166</v>
      </c>
      <c r="E107" s="47">
        <f ca="1">'график анн Комп 7%'!H102</f>
        <v>14395.531304538965</v>
      </c>
      <c r="F107" s="47">
        <f ca="1">'график анн Комп 7%'!F102</f>
        <v>3775.7161926916378</v>
      </c>
      <c r="G107" s="47">
        <f ca="1">'график анн Комп 7%'!G102</f>
        <v>10619.815111847327</v>
      </c>
      <c r="H107" s="157">
        <f>'график анн Комп 7%'!O102</f>
        <v>0</v>
      </c>
      <c r="I107" s="223" t="str">
        <f>'график анн Комп 7%'!M102</f>
        <v/>
      </c>
      <c r="J107" s="223" t="str">
        <f>'график анн Комп 7%'!N102</f>
        <v/>
      </c>
      <c r="K107" s="223" t="str">
        <f>'график анн Комп 7%'!I102</f>
        <v/>
      </c>
      <c r="L107" s="223" t="str">
        <f>'график анн Комп 7%'!J102</f>
        <v/>
      </c>
      <c r="M107" s="157">
        <f>'график анн Комп 7%'!K102</f>
        <v>0</v>
      </c>
      <c r="N107" s="223" t="str">
        <f>'график анн Комп 7%'!L102</f>
        <v/>
      </c>
      <c r="O107" s="51" t="str">
        <f>'график анн Комп 7%'!P102</f>
        <v/>
      </c>
      <c r="P107" s="49" t="str">
        <f>'график анн Комп 7%'!Q102</f>
        <v/>
      </c>
    </row>
    <row r="108" spans="1:16" x14ac:dyDescent="0.35">
      <c r="A108" s="154">
        <f>'график анн Комп 7%'!A103</f>
        <v>79</v>
      </c>
      <c r="B108" s="149">
        <f ca="1">'график анн Комп 7%'!C103</f>
        <v>46891</v>
      </c>
      <c r="C108" s="156">
        <f ca="1">'график анн Комп 7%'!D103</f>
        <v>30</v>
      </c>
      <c r="D108" s="151">
        <f ca="1">'график анн Комп 7%'!E103</f>
        <v>1778063.3941397411</v>
      </c>
      <c r="E108" s="47">
        <f ca="1">'график анн Комп 7%'!H103</f>
        <v>14698.6721565526</v>
      </c>
      <c r="F108" s="47">
        <f ca="1">'график анн Комп 7%'!F103</f>
        <v>4443.15502437549</v>
      </c>
      <c r="G108" s="47">
        <f ca="1">'график анн Комп 7%'!G103</f>
        <v>10255.51713217711</v>
      </c>
      <c r="H108" s="157">
        <f>'график анн Комп 7%'!O103</f>
        <v>0</v>
      </c>
      <c r="I108" s="223" t="str">
        <f>'график анн Комп 7%'!M103</f>
        <v/>
      </c>
      <c r="J108" s="223" t="str">
        <f>'график анн Комп 7%'!N103</f>
        <v/>
      </c>
      <c r="K108" s="223" t="str">
        <f>'график анн Комп 7%'!I103</f>
        <v/>
      </c>
      <c r="L108" s="223" t="str">
        <f>'график анн Комп 7%'!J103</f>
        <v/>
      </c>
      <c r="M108" s="157">
        <f>'график анн Комп 7%'!K103</f>
        <v>0</v>
      </c>
      <c r="N108" s="223" t="str">
        <f>'график анн Комп 7%'!L103</f>
        <v/>
      </c>
      <c r="O108" s="51" t="str">
        <f>'график анн Комп 7%'!P103</f>
        <v/>
      </c>
      <c r="P108" s="49" t="str">
        <f>'график анн Комп 7%'!Q103</f>
        <v/>
      </c>
    </row>
    <row r="109" spans="1:16" x14ac:dyDescent="0.35">
      <c r="A109" s="154">
        <f>'график анн Комп 7%'!A104</f>
        <v>80</v>
      </c>
      <c r="B109" s="149">
        <f ca="1">'график анн Комп 7%'!C104</f>
        <v>46922</v>
      </c>
      <c r="C109" s="156">
        <f ca="1">'график анн Комп 7%'!D104</f>
        <v>31</v>
      </c>
      <c r="D109" s="151">
        <f ca="1">'график анн Комп 7%'!E104</f>
        <v>1774198.1551273938</v>
      </c>
      <c r="E109" s="47">
        <f ca="1">'график анн Комп 7%'!H104</f>
        <v>14436.191245999973</v>
      </c>
      <c r="F109" s="47">
        <f ca="1">'график анн Комп 7%'!F104</f>
        <v>3865.2390123472651</v>
      </c>
      <c r="G109" s="47">
        <f ca="1">'график анн Комп 7%'!G104</f>
        <v>10570.952233652708</v>
      </c>
      <c r="H109" s="157">
        <f>'график анн Комп 7%'!O104</f>
        <v>0</v>
      </c>
      <c r="I109" s="223" t="str">
        <f>'график анн Комп 7%'!M104</f>
        <v/>
      </c>
      <c r="J109" s="223" t="str">
        <f>'график анн Комп 7%'!N104</f>
        <v/>
      </c>
      <c r="K109" s="223" t="str">
        <f>'график анн Комп 7%'!I104</f>
        <v/>
      </c>
      <c r="L109" s="223" t="str">
        <f>'график анн Комп 7%'!J104</f>
        <v/>
      </c>
      <c r="M109" s="157">
        <f>'график анн Комп 7%'!K104</f>
        <v>0</v>
      </c>
      <c r="N109" s="223" t="str">
        <f>'график анн Комп 7%'!L104</f>
        <v/>
      </c>
      <c r="O109" s="51" t="str">
        <f>'график анн Комп 7%'!P104</f>
        <v/>
      </c>
      <c r="P109" s="49" t="str">
        <f>'график анн Комп 7%'!Q104</f>
        <v/>
      </c>
    </row>
    <row r="110" spans="1:16" x14ac:dyDescent="0.35">
      <c r="A110" s="154">
        <f>'график анн Комп 7%'!A105</f>
        <v>81</v>
      </c>
      <c r="B110" s="149">
        <f ca="1">'график анн Комп 7%'!C105</f>
        <v>46952</v>
      </c>
      <c r="C110" s="156">
        <f ca="1">'график анн Комп 7%'!D105</f>
        <v>30</v>
      </c>
      <c r="D110" s="151">
        <f ca="1">'график анн Комп 7%'!E105</f>
        <v>1769667.4214576804</v>
      </c>
      <c r="E110" s="47">
        <f ca="1">'график анн Комп 7%'!H105</f>
        <v>14738.449082775123</v>
      </c>
      <c r="F110" s="47">
        <f ca="1">'график анн Комп 7%'!F105</f>
        <v>4530.7336697134051</v>
      </c>
      <c r="G110" s="47">
        <f ca="1">'график анн Комп 7%'!G105</f>
        <v>10207.715413061718</v>
      </c>
      <c r="H110" s="157">
        <f>'график анн Комп 7%'!O105</f>
        <v>0</v>
      </c>
      <c r="I110" s="223" t="str">
        <f>'график анн Комп 7%'!M105</f>
        <v/>
      </c>
      <c r="J110" s="223" t="str">
        <f>'график анн Комп 7%'!N105</f>
        <v/>
      </c>
      <c r="K110" s="223" t="str">
        <f>'график анн Комп 7%'!I105</f>
        <v/>
      </c>
      <c r="L110" s="223" t="str">
        <f>'график анн Комп 7%'!J105</f>
        <v/>
      </c>
      <c r="M110" s="157">
        <f>'график анн Комп 7%'!K105</f>
        <v>0</v>
      </c>
      <c r="N110" s="223" t="str">
        <f>'график анн Комп 7%'!L105</f>
        <v/>
      </c>
      <c r="O110" s="51" t="str">
        <f>'график анн Комп 7%'!P105</f>
        <v/>
      </c>
      <c r="P110" s="49" t="str">
        <f>'график анн Комп 7%'!Q105</f>
        <v/>
      </c>
    </row>
    <row r="111" spans="1:16" x14ac:dyDescent="0.35">
      <c r="A111" s="154">
        <f>'график анн Комп 7%'!A106</f>
        <v>82</v>
      </c>
      <c r="B111" s="149">
        <f ca="1">'график анн Комп 7%'!C106</f>
        <v>46983</v>
      </c>
      <c r="C111" s="156">
        <f ca="1">'график анн Комп 7%'!D106</f>
        <v>31</v>
      </c>
      <c r="D111" s="151">
        <f ca="1">'график анн Комп 7%'!E106</f>
        <v>1765710.7305745836</v>
      </c>
      <c r="E111" s="47">
        <f ca="1">'график анн Комп 7%'!H106</f>
        <v>14477.727333954717</v>
      </c>
      <c r="F111" s="47">
        <f ca="1">'график анн Комп 7%'!F106</f>
        <v>3956.6908830967259</v>
      </c>
      <c r="G111" s="47">
        <f ca="1">'график анн Комп 7%'!G106</f>
        <v>10521.036450857991</v>
      </c>
      <c r="H111" s="157">
        <f>'график анн Комп 7%'!O106</f>
        <v>0</v>
      </c>
      <c r="I111" s="223" t="str">
        <f>'график анн Комп 7%'!M106</f>
        <v/>
      </c>
      <c r="J111" s="223" t="str">
        <f>'график анн Комп 7%'!N106</f>
        <v/>
      </c>
      <c r="K111" s="223" t="str">
        <f>'график анн Комп 7%'!I106</f>
        <v/>
      </c>
      <c r="L111" s="223" t="str">
        <f>'график анн Комп 7%'!J106</f>
        <v/>
      </c>
      <c r="M111" s="157">
        <f>'график анн Комп 7%'!K106</f>
        <v>0</v>
      </c>
      <c r="N111" s="223" t="str">
        <f>'график анн Комп 7%'!L106</f>
        <v/>
      </c>
      <c r="O111" s="51" t="str">
        <f>'график анн Комп 7%'!P106</f>
        <v/>
      </c>
      <c r="P111" s="49" t="str">
        <f>'график анн Комп 7%'!Q106</f>
        <v/>
      </c>
    </row>
    <row r="112" spans="1:16" x14ac:dyDescent="0.35">
      <c r="A112" s="154">
        <f>'график анн Комп 7%'!A107</f>
        <v>83</v>
      </c>
      <c r="B112" s="149">
        <f ca="1">'график анн Комп 7%'!C107</f>
        <v>47014</v>
      </c>
      <c r="C112" s="156">
        <f ca="1">'график анн Комп 7%'!D107</f>
        <v>31</v>
      </c>
      <c r="D112" s="151">
        <f ca="1">'график анн Комп 7%'!E107</f>
        <v>1761710.9420306275</v>
      </c>
      <c r="E112" s="47">
        <f ca="1">'график анн Комп 7%'!H107</f>
        <v>14497.30165449547</v>
      </c>
      <c r="F112" s="47">
        <f ca="1">'график анн Комп 7%'!F107</f>
        <v>3999.7885439561651</v>
      </c>
      <c r="G112" s="47">
        <f ca="1">'график анн Комп 7%'!G107</f>
        <v>10497.513110539305</v>
      </c>
      <c r="H112" s="157">
        <f>'график анн Комп 7%'!O107</f>
        <v>0</v>
      </c>
      <c r="I112" s="223" t="str">
        <f>'график анн Комп 7%'!M107</f>
        <v/>
      </c>
      <c r="J112" s="223" t="str">
        <f>'график анн Комп 7%'!N107</f>
        <v/>
      </c>
      <c r="K112" s="223" t="str">
        <f>'график анн Комп 7%'!I107</f>
        <v/>
      </c>
      <c r="L112" s="223" t="str">
        <f>'график анн Комп 7%'!J107</f>
        <v/>
      </c>
      <c r="M112" s="157">
        <f>'график анн Комп 7%'!K107</f>
        <v>0</v>
      </c>
      <c r="N112" s="223" t="str">
        <f>'график анн Комп 7%'!L107</f>
        <v/>
      </c>
      <c r="O112" s="51" t="str">
        <f>'график анн Комп 7%'!P107</f>
        <v/>
      </c>
      <c r="P112" s="49" t="str">
        <f>'график анн Комп 7%'!Q107</f>
        <v/>
      </c>
    </row>
    <row r="113" spans="1:16" x14ac:dyDescent="0.35">
      <c r="A113" s="154">
        <f>'график анн Комп 7%'!A108</f>
        <v>84</v>
      </c>
      <c r="B113" s="149">
        <f ca="1">'график анн Комп 7%'!C108</f>
        <v>47044</v>
      </c>
      <c r="C113" s="156">
        <f ca="1">'график анн Комп 7%'!D108</f>
        <v>30</v>
      </c>
      <c r="D113" s="151">
        <f ca="1">'график анн Комп 7%'!E108</f>
        <v>1757048.5808523695</v>
      </c>
      <c r="E113" s="47">
        <f ca="1">'график анн Комп 7%'!H108</f>
        <v>14798.232351584904</v>
      </c>
      <c r="F113" s="47">
        <f ca="1">'график анн Комп 7%'!F108</f>
        <v>4662.3611782580047</v>
      </c>
      <c r="G113" s="47">
        <f ca="1">'график анн Комп 7%'!G108</f>
        <v>10135.871173326899</v>
      </c>
      <c r="H113" s="157">
        <f>'график анн Комп 7%'!O108</f>
        <v>0</v>
      </c>
      <c r="I113" s="223" t="str">
        <f>'график анн Комп 7%'!M108</f>
        <v/>
      </c>
      <c r="J113" s="223" t="str">
        <f>'график анн Комп 7%'!N108</f>
        <v/>
      </c>
      <c r="K113" s="223" t="str">
        <f>'график анн Комп 7%'!I108</f>
        <v/>
      </c>
      <c r="L113" s="223" t="str">
        <f>'график анн Комп 7%'!J108</f>
        <v/>
      </c>
      <c r="M113" s="157">
        <f>'график анн Комп 7%'!K108</f>
        <v>0</v>
      </c>
      <c r="N113" s="223" t="str">
        <f>'график анн Комп 7%'!L108</f>
        <v/>
      </c>
      <c r="O113" s="51" t="str">
        <f>'график анн Комп 7%'!P108</f>
        <v/>
      </c>
      <c r="P113" s="49" t="str">
        <f>'график анн Комп 7%'!Q108</f>
        <v/>
      </c>
    </row>
    <row r="114" spans="1:16" x14ac:dyDescent="0.35">
      <c r="A114" s="154">
        <f>'график анн Комп 7%'!A109</f>
        <v>85</v>
      </c>
      <c r="B114" s="149">
        <f ca="1">'график анн Комп 7%'!C109</f>
        <v>47075</v>
      </c>
      <c r="C114" s="156">
        <f ca="1">'график анн Комп 7%'!D109</f>
        <v>31</v>
      </c>
      <c r="D114" s="151">
        <f ca="1">'график анн Комп 7%'!E109</f>
        <v>1752954.4411442534</v>
      </c>
      <c r="E114" s="47">
        <f ca="1">'график анн Комп 7%'!H109</f>
        <v>14540.15455866318</v>
      </c>
      <c r="F114" s="47">
        <f ca="1">'график анн Комп 7%'!F109</f>
        <v>4094.139708116214</v>
      </c>
      <c r="G114" s="47">
        <f ca="1">'график анн Комп 7%'!G109</f>
        <v>10446.014850546966</v>
      </c>
      <c r="H114" s="157">
        <f>'график анн Комп 7%'!O109</f>
        <v>0</v>
      </c>
      <c r="I114" s="223" t="str">
        <f>'график анн Комп 7%'!M109</f>
        <v/>
      </c>
      <c r="J114" s="223">
        <f>'график анн Комп 7%'!N109</f>
        <v>0</v>
      </c>
      <c r="K114" s="223" t="str">
        <f>'график анн Комп 7%'!I109</f>
        <v/>
      </c>
      <c r="L114" s="223" t="str">
        <f>'график анн Комп 7%'!J109</f>
        <v/>
      </c>
      <c r="M114" s="201">
        <f>'график анн Комп 7%'!K109</f>
        <v>7500</v>
      </c>
      <c r="N114" s="223" t="str">
        <f>'график анн Комп 7%'!L109</f>
        <v/>
      </c>
      <c r="O114" s="51" t="str">
        <f>'график анн Комп 7%'!P109</f>
        <v/>
      </c>
      <c r="P114" s="49" t="str">
        <f>'график анн Комп 7%'!Q109</f>
        <v/>
      </c>
    </row>
    <row r="115" spans="1:16" x14ac:dyDescent="0.35">
      <c r="A115" s="154">
        <f>'график анн Комп 7%'!A110</f>
        <v>86</v>
      </c>
      <c r="B115" s="149">
        <f ca="1">'график анн Комп 7%'!C110</f>
        <v>47105</v>
      </c>
      <c r="C115" s="156">
        <f ca="1">'график анн Комп 7%'!D110</f>
        <v>30</v>
      </c>
      <c r="D115" s="151">
        <f ca="1">'график анн Комп 7%'!E110</f>
        <v>1748199.7778337013</v>
      </c>
      <c r="E115" s="47">
        <f ca="1">'график анн Комп 7%'!H110</f>
        <v>14840.154615765594</v>
      </c>
      <c r="F115" s="47">
        <f ca="1">'график анн Комп 7%'!F110</f>
        <v>4754.6633105520814</v>
      </c>
      <c r="G115" s="47">
        <f ca="1">'график анн Комп 7%'!G110</f>
        <v>10085.491305213513</v>
      </c>
      <c r="H115" s="157">
        <f>'график анн Комп 7%'!O110</f>
        <v>0</v>
      </c>
      <c r="I115" s="223" t="str">
        <f>'график анн Комп 7%'!M110</f>
        <v/>
      </c>
      <c r="J115" s="223" t="str">
        <f>'график анн Комп 7%'!N110</f>
        <v/>
      </c>
      <c r="K115" s="223" t="str">
        <f>'график анн Комп 7%'!I110</f>
        <v/>
      </c>
      <c r="L115" s="223" t="str">
        <f>'график анн Комп 7%'!J110</f>
        <v/>
      </c>
      <c r="M115" s="157">
        <f>'график анн Комп 7%'!K110</f>
        <v>0</v>
      </c>
      <c r="N115" s="223" t="str">
        <f>'график анн Комп 7%'!L110</f>
        <v/>
      </c>
      <c r="O115" s="51" t="str">
        <f>'график анн Комп 7%'!P110</f>
        <v/>
      </c>
      <c r="P115" s="49" t="str">
        <f>'график анн Комп 7%'!Q110</f>
        <v/>
      </c>
    </row>
    <row r="116" spans="1:16" x14ac:dyDescent="0.35">
      <c r="A116" s="154">
        <f>'график анн Комп 7%'!A111</f>
        <v>87</v>
      </c>
      <c r="B116" s="149">
        <f ca="1">'график анн Комп 7%'!C111</f>
        <v>47136</v>
      </c>
      <c r="C116" s="156">
        <f ca="1">'график анн Комп 7%'!D111</f>
        <v>31</v>
      </c>
      <c r="D116" s="151">
        <f ca="1">'график анн Комп 7%'!E111</f>
        <v>1744009.2538684425</v>
      </c>
      <c r="E116" s="47">
        <f ca="1">'график анн Комп 7%'!H111</f>
        <v>14583.930863612688</v>
      </c>
      <c r="F116" s="47">
        <f ca="1">'график анн Комп 7%'!F111</f>
        <v>4190.5239652589007</v>
      </c>
      <c r="G116" s="47">
        <f ca="1">'график анн Комп 7%'!G111</f>
        <v>10393.406898353787</v>
      </c>
      <c r="H116" s="157">
        <f>'график анн Комп 7%'!O111</f>
        <v>0</v>
      </c>
      <c r="I116" s="223" t="str">
        <f>'график анн Комп 7%'!M111</f>
        <v/>
      </c>
      <c r="J116" s="223" t="str">
        <f>'график анн Комп 7%'!N111</f>
        <v/>
      </c>
      <c r="K116" s="223" t="str">
        <f>'график анн Комп 7%'!I111</f>
        <v/>
      </c>
      <c r="L116" s="223" t="str">
        <f>'график анн Комп 7%'!J111</f>
        <v/>
      </c>
      <c r="M116" s="157">
        <f>'график анн Комп 7%'!K111</f>
        <v>0</v>
      </c>
      <c r="N116" s="223" t="str">
        <f>'график анн Комп 7%'!L111</f>
        <v/>
      </c>
      <c r="O116" s="51" t="str">
        <f>'график анн Комп 7%'!P111</f>
        <v/>
      </c>
      <c r="P116" s="49" t="str">
        <f>'график анн Комп 7%'!Q111</f>
        <v/>
      </c>
    </row>
    <row r="117" spans="1:16" x14ac:dyDescent="0.35">
      <c r="A117" s="154">
        <f>'график анн Комп 7%'!A112</f>
        <v>88</v>
      </c>
      <c r="B117" s="149">
        <f ca="1">'график анн Комп 7%'!C112</f>
        <v>47167</v>
      </c>
      <c r="C117" s="156">
        <f ca="1">'график анн Комп 7%'!D112</f>
        <v>31</v>
      </c>
      <c r="D117" s="151">
        <f ca="1">'график анн Комп 7%'!E112</f>
        <v>1739825.1300690263</v>
      </c>
      <c r="E117" s="47">
        <f ca="1">'график анн Комп 7%'!H112</f>
        <v>14552.617171730093</v>
      </c>
      <c r="F117" s="47">
        <f ca="1">'график анн Комп 7%'!F112</f>
        <v>4184.1237994163384</v>
      </c>
      <c r="G117" s="47">
        <f ca="1">'график анн Комп 7%'!G112</f>
        <v>10368.493372313755</v>
      </c>
      <c r="H117" s="157">
        <f>'график анн Комп 7%'!O112</f>
        <v>0</v>
      </c>
      <c r="I117" s="223" t="str">
        <f>'график анн Комп 7%'!M112</f>
        <v/>
      </c>
      <c r="J117" s="223" t="str">
        <f>'график анн Комп 7%'!N112</f>
        <v/>
      </c>
      <c r="K117" s="223" t="str">
        <f>'график анн Комп 7%'!I112</f>
        <v/>
      </c>
      <c r="L117" s="223" t="str">
        <f>'график анн Комп 7%'!J112</f>
        <v/>
      </c>
      <c r="M117" s="157">
        <f>'график анн Комп 7%'!K112</f>
        <v>0</v>
      </c>
      <c r="N117" s="223" t="str">
        <f>'график анн Комп 7%'!L112</f>
        <v/>
      </c>
      <c r="O117" s="51" t="str">
        <f>'график анн Комп 7%'!P112</f>
        <v/>
      </c>
      <c r="P117" s="49" t="str">
        <f>'график анн Комп 7%'!Q112</f>
        <v/>
      </c>
    </row>
    <row r="118" spans="1:16" x14ac:dyDescent="0.35">
      <c r="A118" s="154">
        <f>'график анн Комп 7%'!A113</f>
        <v>89</v>
      </c>
      <c r="B118" s="149">
        <f ca="1">'график анн Комп 7%'!C113</f>
        <v>47195</v>
      </c>
      <c r="C118" s="156">
        <f ca="1">'график анн Комп 7%'!D113</f>
        <v>28</v>
      </c>
      <c r="D118" s="151">
        <f ca="1">'график анн Комп 7%'!E113</f>
        <v>1733756.3351377761</v>
      </c>
      <c r="E118" s="47">
        <f ca="1">'график анн Комп 7%'!H113</f>
        <v>15411.417547511337</v>
      </c>
      <c r="F118" s="47">
        <f ca="1">'график анн Комп 7%'!F113</f>
        <v>6068.7949312502642</v>
      </c>
      <c r="G118" s="47">
        <f ca="1">'график анн Комп 7%'!G113</f>
        <v>9342.6226162610728</v>
      </c>
      <c r="H118" s="157">
        <f>'график анн Комп 7%'!O113</f>
        <v>0</v>
      </c>
      <c r="I118" s="223" t="str">
        <f>'график анн Комп 7%'!M113</f>
        <v/>
      </c>
      <c r="J118" s="223" t="str">
        <f>'график анн Комп 7%'!N113</f>
        <v/>
      </c>
      <c r="K118" s="223" t="str">
        <f>'график анн Комп 7%'!I113</f>
        <v/>
      </c>
      <c r="L118" s="223" t="str">
        <f>'график анн Комп 7%'!J113</f>
        <v/>
      </c>
      <c r="M118" s="157">
        <f>'график анн Комп 7%'!K113</f>
        <v>0</v>
      </c>
      <c r="N118" s="223" t="str">
        <f>'график анн Комп 7%'!L113</f>
        <v/>
      </c>
      <c r="O118" s="51" t="str">
        <f>'график анн Комп 7%'!P113</f>
        <v/>
      </c>
      <c r="P118" s="49" t="str">
        <f>'график анн Комп 7%'!Q113</f>
        <v/>
      </c>
    </row>
    <row r="119" spans="1:16" x14ac:dyDescent="0.35">
      <c r="A119" s="154">
        <f>'график анн Комп 7%'!A114</f>
        <v>90</v>
      </c>
      <c r="B119" s="149">
        <f ca="1">'график анн Комп 7%'!C114</f>
        <v>47226</v>
      </c>
      <c r="C119" s="156">
        <f ca="1">'график анн Комп 7%'!D114</f>
        <v>31</v>
      </c>
      <c r="D119" s="151">
        <f ca="1">'график анн Комп 7%'!E114</f>
        <v>1729460.2269936702</v>
      </c>
      <c r="E119" s="47">
        <f ca="1">'график анн Комп 7%'!H114</f>
        <v>14603.645807801677</v>
      </c>
      <c r="F119" s="47">
        <f ca="1">'график анн Комп 7%'!F114</f>
        <v>4296.1081441058559</v>
      </c>
      <c r="G119" s="47">
        <f ca="1">'график анн Комп 7%'!G114</f>
        <v>10307.537663695821</v>
      </c>
      <c r="H119" s="157">
        <f>'график анн Комп 7%'!O114</f>
        <v>0</v>
      </c>
      <c r="I119" s="223" t="str">
        <f>'график анн Комп 7%'!M114</f>
        <v/>
      </c>
      <c r="J119" s="223" t="str">
        <f>'график анн Комп 7%'!N114</f>
        <v/>
      </c>
      <c r="K119" s="223" t="str">
        <f>'график анн Комп 7%'!I114</f>
        <v/>
      </c>
      <c r="L119" s="223" t="str">
        <f>'график анн Комп 7%'!J114</f>
        <v/>
      </c>
      <c r="M119" s="157">
        <f>'график анн Комп 7%'!K114</f>
        <v>0</v>
      </c>
      <c r="N119" s="223" t="str">
        <f>'график анн Комп 7%'!L114</f>
        <v/>
      </c>
      <c r="O119" s="51" t="str">
        <f>'график анн Комп 7%'!P114</f>
        <v/>
      </c>
      <c r="P119" s="49" t="str">
        <f>'график анн Комп 7%'!Q114</f>
        <v/>
      </c>
    </row>
    <row r="120" spans="1:16" x14ac:dyDescent="0.35">
      <c r="A120" s="154">
        <f>'график анн Комп 7%'!A115</f>
        <v>91</v>
      </c>
      <c r="B120" s="149">
        <f ca="1">'график анн Комп 7%'!C115</f>
        <v>47256</v>
      </c>
      <c r="C120" s="156">
        <f ca="1">'график анн Комп 7%'!D115</f>
        <v>30</v>
      </c>
      <c r="D120" s="151">
        <f ca="1">'график анн Комп 7%'!E115</f>
        <v>1724507.857342938</v>
      </c>
      <c r="E120" s="47">
        <f ca="1">'график анн Комп 7%'!H115</f>
        <v>14902.688764942532</v>
      </c>
      <c r="F120" s="47">
        <f ca="1">'график анн Комп 7%'!F115</f>
        <v>4952.369650732373</v>
      </c>
      <c r="G120" s="47">
        <f ca="1">'график анн Комп 7%'!G115</f>
        <v>9950.3191142101587</v>
      </c>
      <c r="H120" s="157">
        <f>'график анн Комп 7%'!O115</f>
        <v>0</v>
      </c>
      <c r="I120" s="223" t="str">
        <f>'график анн Комп 7%'!M115</f>
        <v/>
      </c>
      <c r="J120" s="223" t="str">
        <f>'график анн Комп 7%'!N115</f>
        <v/>
      </c>
      <c r="K120" s="223" t="str">
        <f>'график анн Комп 7%'!I115</f>
        <v/>
      </c>
      <c r="L120" s="223" t="str">
        <f>'график анн Комп 7%'!J115</f>
        <v/>
      </c>
      <c r="M120" s="157">
        <f>'график анн Комп 7%'!K115</f>
        <v>0</v>
      </c>
      <c r="N120" s="223" t="str">
        <f>'график анн Комп 7%'!L115</f>
        <v/>
      </c>
      <c r="O120" s="51" t="str">
        <f>'график анн Комп 7%'!P115</f>
        <v/>
      </c>
      <c r="P120" s="49" t="str">
        <f>'график анн Комп 7%'!Q115</f>
        <v/>
      </c>
    </row>
    <row r="121" spans="1:16" x14ac:dyDescent="0.35">
      <c r="A121" s="154">
        <f>'график анн Комп 7%'!A116</f>
        <v>92</v>
      </c>
      <c r="B121" s="149">
        <f ca="1">'график анн Комп 7%'!C116</f>
        <v>47287</v>
      </c>
      <c r="C121" s="156">
        <f ca="1">'график анн Комп 7%'!D116</f>
        <v>31</v>
      </c>
      <c r="D121" s="151">
        <f ca="1">'график анн Комп 7%'!E116</f>
        <v>1720110.7355506762</v>
      </c>
      <c r="E121" s="47">
        <f ca="1">'график анн Комп 7%'!H116</f>
        <v>14649.675355095109</v>
      </c>
      <c r="F121" s="47">
        <f ca="1">'график анн Комп 7%'!F116</f>
        <v>4397.1217922617507</v>
      </c>
      <c r="G121" s="47">
        <f ca="1">'график анн Комп 7%'!G116</f>
        <v>10252.553562833358</v>
      </c>
      <c r="H121" s="157">
        <f>'график анн Комп 7%'!O116</f>
        <v>0</v>
      </c>
      <c r="I121" s="223" t="str">
        <f>'график анн Комп 7%'!M116</f>
        <v/>
      </c>
      <c r="J121" s="223" t="str">
        <f>'график анн Комп 7%'!N116</f>
        <v/>
      </c>
      <c r="K121" s="223" t="str">
        <f>'график анн Комп 7%'!I116</f>
        <v/>
      </c>
      <c r="L121" s="223" t="str">
        <f>'график анн Комп 7%'!J116</f>
        <v/>
      </c>
      <c r="M121" s="157">
        <f>'график анн Комп 7%'!K116</f>
        <v>0</v>
      </c>
      <c r="N121" s="223" t="str">
        <f>'график анн Комп 7%'!L116</f>
        <v/>
      </c>
      <c r="O121" s="51" t="str">
        <f>'график анн Комп 7%'!P116</f>
        <v/>
      </c>
      <c r="P121" s="49" t="str">
        <f>'график анн Комп 7%'!Q116</f>
        <v/>
      </c>
    </row>
    <row r="122" spans="1:16" x14ac:dyDescent="0.35">
      <c r="A122" s="154">
        <f>'график анн Комп 7%'!A117</f>
        <v>93</v>
      </c>
      <c r="B122" s="149">
        <f ca="1">'график анн Комп 7%'!C117</f>
        <v>47317</v>
      </c>
      <c r="C122" s="156">
        <f ca="1">'график анн Комп 7%'!D117</f>
        <v>30</v>
      </c>
      <c r="D122" s="151">
        <f ca="1">'график анн Комп 7%'!E117</f>
        <v>1715059.5430561437</v>
      </c>
      <c r="E122" s="47">
        <f ca="1">'график анн Комп 7%'!H117</f>
        <v>14947.720014139199</v>
      </c>
      <c r="F122" s="47">
        <f ca="1">'график анн Комп 7%'!F117</f>
        <v>5051.1924945325663</v>
      </c>
      <c r="G122" s="47">
        <f ca="1">'график анн Комп 7%'!G117</f>
        <v>9896.5275196066323</v>
      </c>
      <c r="H122" s="157">
        <f>'график анн Комп 7%'!O117</f>
        <v>0</v>
      </c>
      <c r="I122" s="223" t="str">
        <f>'график анн Комп 7%'!M117</f>
        <v/>
      </c>
      <c r="J122" s="223" t="str">
        <f>'график анн Комп 7%'!N117</f>
        <v/>
      </c>
      <c r="K122" s="223" t="str">
        <f>'график анн Комп 7%'!I117</f>
        <v/>
      </c>
      <c r="L122" s="223" t="str">
        <f>'график анн Комп 7%'!J117</f>
        <v/>
      </c>
      <c r="M122" s="157">
        <f>'график анн Комп 7%'!K117</f>
        <v>0</v>
      </c>
      <c r="N122" s="223" t="str">
        <f>'график анн Комп 7%'!L117</f>
        <v/>
      </c>
      <c r="O122" s="51" t="str">
        <f>'график анн Комп 7%'!P117</f>
        <v/>
      </c>
      <c r="P122" s="49" t="str">
        <f>'график анн Комп 7%'!Q117</f>
        <v/>
      </c>
    </row>
    <row r="123" spans="1:16" x14ac:dyDescent="0.35">
      <c r="A123" s="154">
        <f>'график анн Комп 7%'!A118</f>
        <v>94</v>
      </c>
      <c r="B123" s="149">
        <f ca="1">'график анн Комп 7%'!C118</f>
        <v>47348</v>
      </c>
      <c r="C123" s="156">
        <f ca="1">'график анн Комп 7%'!D118</f>
        <v>31</v>
      </c>
      <c r="D123" s="151">
        <f ca="1">'график анн Комп 7%'!E118</f>
        <v>1710559.2249632361</v>
      </c>
      <c r="E123" s="47">
        <f ca="1">'график анн Комп 7%'!H118</f>
        <v>14696.699485871521</v>
      </c>
      <c r="F123" s="47">
        <f ca="1">'график анн Комп 7%'!F118</f>
        <v>4500.318092907597</v>
      </c>
      <c r="G123" s="47">
        <f ca="1">'график анн Комп 7%'!G118</f>
        <v>10196.381392963924</v>
      </c>
      <c r="H123" s="157">
        <f>'график анн Комп 7%'!O118</f>
        <v>0</v>
      </c>
      <c r="I123" s="223" t="str">
        <f>'график анн Комп 7%'!M118</f>
        <v/>
      </c>
      <c r="J123" s="223" t="str">
        <f>'график анн Комп 7%'!N118</f>
        <v/>
      </c>
      <c r="K123" s="223" t="str">
        <f>'график анн Комп 7%'!I118</f>
        <v/>
      </c>
      <c r="L123" s="223" t="str">
        <f>'график анн Комп 7%'!J118</f>
        <v/>
      </c>
      <c r="M123" s="157">
        <f>'график анн Комп 7%'!K118</f>
        <v>0</v>
      </c>
      <c r="N123" s="223" t="str">
        <f>'график анн Комп 7%'!L118</f>
        <v/>
      </c>
      <c r="O123" s="51" t="str">
        <f>'график анн Комп 7%'!P118</f>
        <v/>
      </c>
      <c r="P123" s="49" t="str">
        <f>'график анн Комп 7%'!Q118</f>
        <v/>
      </c>
    </row>
    <row r="124" spans="1:16" x14ac:dyDescent="0.35">
      <c r="A124" s="154">
        <f>'график анн Комп 7%'!A119</f>
        <v>95</v>
      </c>
      <c r="B124" s="149">
        <f ca="1">'график анн Комп 7%'!C119</f>
        <v>47379</v>
      </c>
      <c r="C124" s="156">
        <f ca="1">'график анн Комп 7%'!D119</f>
        <v>31</v>
      </c>
      <c r="D124" s="151">
        <f ca="1">'график анн Комп 7%'!E119</f>
        <v>1706009.7535330432</v>
      </c>
      <c r="E124" s="47">
        <f ca="1">'график анн Комп 7%'!H119</f>
        <v>14719.097507371725</v>
      </c>
      <c r="F124" s="47">
        <f ca="1">'график анн Комп 7%'!F119</f>
        <v>4549.4714301930326</v>
      </c>
      <c r="G124" s="47">
        <f ca="1">'график анн Комп 7%'!G119</f>
        <v>10169.626077178693</v>
      </c>
      <c r="H124" s="157">
        <f>'график анн Комп 7%'!O119</f>
        <v>0</v>
      </c>
      <c r="I124" s="223" t="str">
        <f>'график анн Комп 7%'!M119</f>
        <v/>
      </c>
      <c r="J124" s="223" t="str">
        <f>'график анн Комп 7%'!N119</f>
        <v/>
      </c>
      <c r="K124" s="223" t="str">
        <f>'график анн Комп 7%'!I119</f>
        <v/>
      </c>
      <c r="L124" s="223" t="str">
        <f>'график анн Комп 7%'!J119</f>
        <v/>
      </c>
      <c r="M124" s="157">
        <f>'график анн Комп 7%'!K119</f>
        <v>0</v>
      </c>
      <c r="N124" s="223" t="str">
        <f>'график анн Комп 7%'!L119</f>
        <v/>
      </c>
      <c r="O124" s="51" t="str">
        <f>'график анн Комп 7%'!P119</f>
        <v/>
      </c>
      <c r="P124" s="49" t="str">
        <f>'график анн Комп 7%'!Q119</f>
        <v/>
      </c>
    </row>
    <row r="125" spans="1:16" x14ac:dyDescent="0.35">
      <c r="A125" s="154">
        <f>'график анн Комп 7%'!A120</f>
        <v>96</v>
      </c>
      <c r="B125" s="149">
        <f ca="1">'график анн Комп 7%'!C120</f>
        <v>47409</v>
      </c>
      <c r="C125" s="156">
        <f ca="1">'график анн Комп 7%'!D120</f>
        <v>30</v>
      </c>
      <c r="D125" s="151">
        <f ca="1">'график анн Комп 7%'!E120</f>
        <v>1700809.5155902256</v>
      </c>
      <c r="E125" s="47">
        <f ca="1">'график анн Комп 7%'!H120</f>
        <v>15015.636524788511</v>
      </c>
      <c r="F125" s="47">
        <f ca="1">'график анн Комп 7%'!F120</f>
        <v>5200.2379428175773</v>
      </c>
      <c r="G125" s="47">
        <f ca="1">'график анн Комп 7%'!G120</f>
        <v>9815.3985819709342</v>
      </c>
      <c r="H125" s="157">
        <f>'график анн Комп 7%'!O120</f>
        <v>0</v>
      </c>
      <c r="I125" s="223" t="str">
        <f>'график анн Комп 7%'!M120</f>
        <v/>
      </c>
      <c r="J125" s="223" t="str">
        <f>'график анн Комп 7%'!N120</f>
        <v/>
      </c>
      <c r="K125" s="223" t="str">
        <f>'график анн Комп 7%'!I120</f>
        <v/>
      </c>
      <c r="L125" s="223" t="str">
        <f>'график анн Комп 7%'!J120</f>
        <v/>
      </c>
      <c r="M125" s="157">
        <f>'график анн Комп 7%'!K120</f>
        <v>0</v>
      </c>
      <c r="N125" s="223" t="str">
        <f>'график анн Комп 7%'!L120</f>
        <v/>
      </c>
      <c r="O125" s="51" t="str">
        <f>'график анн Комп 7%'!P120</f>
        <v/>
      </c>
      <c r="P125" s="49" t="str">
        <f>'график анн Комп 7%'!Q120</f>
        <v/>
      </c>
    </row>
    <row r="126" spans="1:16" x14ac:dyDescent="0.35">
      <c r="A126" s="154">
        <f>'график анн Комп 7%'!A121</f>
        <v>97</v>
      </c>
      <c r="B126" s="149">
        <f ca="1">'график анн Комп 7%'!C121</f>
        <v>47440</v>
      </c>
      <c r="C126" s="156">
        <f ca="1">'график анн Комп 7%'!D121</f>
        <v>31</v>
      </c>
      <c r="D126" s="151">
        <f ca="1">'график анн Комп 7%'!E121</f>
        <v>1696153.5559644531</v>
      </c>
      <c r="E126" s="47">
        <f ca="1">'график анн Комп 7%'!H121</f>
        <v>14767.621677363539</v>
      </c>
      <c r="F126" s="47">
        <f ca="1">'график анн Комп 7%'!F121</f>
        <v>4655.9596257723351</v>
      </c>
      <c r="G126" s="47">
        <f ca="1">'график анн Комп 7%'!G121</f>
        <v>10111.662051591204</v>
      </c>
      <c r="H126" s="157">
        <f>'график анн Комп 7%'!O121</f>
        <v>0</v>
      </c>
      <c r="I126" s="223" t="str">
        <f>'график анн Комп 7%'!M121</f>
        <v/>
      </c>
      <c r="J126" s="223">
        <f>'график анн Комп 7%'!N121</f>
        <v>0</v>
      </c>
      <c r="K126" s="223" t="str">
        <f>'график анн Комп 7%'!I121</f>
        <v/>
      </c>
      <c r="L126" s="223" t="str">
        <f>'график анн Комп 7%'!J121</f>
        <v/>
      </c>
      <c r="M126" s="201">
        <f>'график анн Комп 7%'!K121</f>
        <v>7500</v>
      </c>
      <c r="N126" s="223" t="str">
        <f>'график анн Комп 7%'!L121</f>
        <v/>
      </c>
      <c r="O126" s="51" t="str">
        <f>'график анн Комп 7%'!P121</f>
        <v/>
      </c>
      <c r="P126" s="49" t="str">
        <f>'график анн Комп 7%'!Q121</f>
        <v/>
      </c>
    </row>
    <row r="127" spans="1:16" x14ac:dyDescent="0.35">
      <c r="A127" s="154">
        <f>'график анн Комп 7%'!A122</f>
        <v>98</v>
      </c>
      <c r="B127" s="149">
        <f ca="1">'график анн Комп 7%'!C122</f>
        <v>47470</v>
      </c>
      <c r="C127" s="156">
        <f ca="1">'график анн Комп 7%'!D122</f>
        <v>30</v>
      </c>
      <c r="D127" s="151">
        <f ca="1">'график анн Комп 7%'!E122</f>
        <v>1690849.1393634996</v>
      </c>
      <c r="E127" s="47">
        <f ca="1">'график анн Комп 7%'!H122</f>
        <v>15063.108292803801</v>
      </c>
      <c r="F127" s="47">
        <f ca="1">'график анн Комп 7%'!F122</f>
        <v>5304.416600953522</v>
      </c>
      <c r="G127" s="47">
        <f ca="1">'график анн Комп 7%'!G122</f>
        <v>9758.6916918502793</v>
      </c>
      <c r="H127" s="157">
        <f>'график анн Комп 7%'!O122</f>
        <v>0</v>
      </c>
      <c r="I127" s="223" t="str">
        <f>'график анн Комп 7%'!M122</f>
        <v/>
      </c>
      <c r="J127" s="223" t="str">
        <f>'график анн Комп 7%'!N122</f>
        <v/>
      </c>
      <c r="K127" s="223" t="str">
        <f>'график анн Комп 7%'!I122</f>
        <v/>
      </c>
      <c r="L127" s="223" t="str">
        <f>'график анн Комп 7%'!J122</f>
        <v/>
      </c>
      <c r="M127" s="157">
        <f>'график анн Комп 7%'!K122</f>
        <v>0</v>
      </c>
      <c r="N127" s="223" t="str">
        <f>'график анн Комп 7%'!L122</f>
        <v/>
      </c>
      <c r="O127" s="51" t="str">
        <f>'график анн Комп 7%'!P122</f>
        <v/>
      </c>
      <c r="P127" s="49" t="str">
        <f>'график анн Комп 7%'!Q122</f>
        <v/>
      </c>
    </row>
    <row r="128" spans="1:16" x14ac:dyDescent="0.35">
      <c r="A128" s="154">
        <f>'график анн Комп 7%'!A123</f>
        <v>99</v>
      </c>
      <c r="B128" s="149">
        <f ca="1">'график анн Комп 7%'!C123</f>
        <v>47501</v>
      </c>
      <c r="C128" s="156">
        <f ca="1">'график анн Комп 7%'!D123</f>
        <v>31</v>
      </c>
      <c r="D128" s="151">
        <f ca="1">'график анн Комп 7%'!E123</f>
        <v>1686084.3905983698</v>
      </c>
      <c r="E128" s="47">
        <f ca="1">'график анн Комп 7%'!H123</f>
        <v>14817.194333400445</v>
      </c>
      <c r="F128" s="47">
        <f ca="1">'график анн Комп 7%'!F123</f>
        <v>4764.7487651297743</v>
      </c>
      <c r="G128" s="47">
        <f ca="1">'график анн Комп 7%'!G123</f>
        <v>10052.44556827067</v>
      </c>
      <c r="H128" s="157">
        <f>'график анн Комп 7%'!O123</f>
        <v>0</v>
      </c>
      <c r="I128" s="223" t="str">
        <f>'график анн Комп 7%'!M123</f>
        <v/>
      </c>
      <c r="J128" s="223" t="str">
        <f>'график анн Комп 7%'!N123</f>
        <v/>
      </c>
      <c r="K128" s="223" t="str">
        <f>'график анн Комп 7%'!I123</f>
        <v/>
      </c>
      <c r="L128" s="223" t="str">
        <f>'график анн Комп 7%'!J123</f>
        <v/>
      </c>
      <c r="M128" s="157">
        <f>'график анн Комп 7%'!K123</f>
        <v>0</v>
      </c>
      <c r="N128" s="223" t="str">
        <f>'график анн Комп 7%'!L123</f>
        <v/>
      </c>
      <c r="O128" s="51" t="str">
        <f>'график анн Комп 7%'!P123</f>
        <v/>
      </c>
      <c r="P128" s="49" t="str">
        <f>'график анн Комп 7%'!Q123</f>
        <v/>
      </c>
    </row>
    <row r="129" spans="1:16" x14ac:dyDescent="0.35">
      <c r="A129" s="154">
        <f>'график анн Комп 7%'!A124</f>
        <v>100</v>
      </c>
      <c r="B129" s="149">
        <f ca="1">'график анн Комп 7%'!C124</f>
        <v>47532</v>
      </c>
      <c r="C129" s="156">
        <f ca="1">'график анн Комп 7%'!D124</f>
        <v>31</v>
      </c>
      <c r="D129" s="151">
        <f ca="1">'график анн Комп 7%'!E124</f>
        <v>1681267.6003334399</v>
      </c>
      <c r="E129" s="47">
        <f ca="1">'график анн Комп 7%'!H124</f>
        <v>14840.908422733964</v>
      </c>
      <c r="F129" s="47">
        <f ca="1">'график анн Комп 7%'!F124</f>
        <v>4816.7902649299576</v>
      </c>
      <c r="G129" s="47">
        <f ca="1">'график анн Комп 7%'!G124</f>
        <v>10024.118157804007</v>
      </c>
      <c r="H129" s="157">
        <f>'график анн Комп 7%'!O124</f>
        <v>0</v>
      </c>
      <c r="I129" s="223" t="str">
        <f>'график анн Комп 7%'!M124</f>
        <v/>
      </c>
      <c r="J129" s="223" t="str">
        <f>'график анн Комп 7%'!N124</f>
        <v/>
      </c>
      <c r="K129" s="223" t="str">
        <f>'график анн Комп 7%'!I124</f>
        <v/>
      </c>
      <c r="L129" s="223" t="str">
        <f>'график анн Комп 7%'!J124</f>
        <v/>
      </c>
      <c r="M129" s="157">
        <f>'график анн Комп 7%'!K124</f>
        <v>0</v>
      </c>
      <c r="N129" s="223" t="str">
        <f>'график анн Комп 7%'!L124</f>
        <v/>
      </c>
      <c r="O129" s="51" t="str">
        <f>'график анн Комп 7%'!P124</f>
        <v/>
      </c>
      <c r="P129" s="49" t="str">
        <f>'график анн Комп 7%'!Q124</f>
        <v/>
      </c>
    </row>
    <row r="130" spans="1:16" x14ac:dyDescent="0.35">
      <c r="A130" s="154">
        <f>'график анн Комп 7%'!A125</f>
        <v>101</v>
      </c>
      <c r="B130" s="149">
        <f ca="1">'график анн Комп 7%'!C125</f>
        <v>47560</v>
      </c>
      <c r="C130" s="156">
        <f ca="1">'график анн Комп 7%'!D125</f>
        <v>28</v>
      </c>
      <c r="D130" s="151">
        <f ca="1">'график анн Комп 7%'!E125</f>
        <v>1674621.123338979</v>
      </c>
      <c r="E130" s="47">
        <f ca="1">'график анн Комп 7%'!H125</f>
        <v>15674.653697621336</v>
      </c>
      <c r="F130" s="47">
        <f ca="1">'график анн Комп 7%'!F125</f>
        <v>6646.4769944609434</v>
      </c>
      <c r="G130" s="47">
        <f ca="1">'график анн Комп 7%'!G125</f>
        <v>9028.1767031603922</v>
      </c>
      <c r="H130" s="157">
        <f>'график анн Комп 7%'!O125</f>
        <v>0</v>
      </c>
      <c r="I130" s="223" t="str">
        <f>'график анн Комп 7%'!M125</f>
        <v/>
      </c>
      <c r="J130" s="223" t="str">
        <f>'график анн Комп 7%'!N125</f>
        <v/>
      </c>
      <c r="K130" s="223" t="str">
        <f>'график анн Комп 7%'!I125</f>
        <v/>
      </c>
      <c r="L130" s="223" t="str">
        <f>'график анн Комп 7%'!J125</f>
        <v/>
      </c>
      <c r="M130" s="157">
        <f>'график анн Комп 7%'!K125</f>
        <v>0</v>
      </c>
      <c r="N130" s="223" t="str">
        <f>'график анн Комп 7%'!L125</f>
        <v/>
      </c>
      <c r="O130" s="51" t="str">
        <f>'график анн Комп 7%'!P125</f>
        <v/>
      </c>
      <c r="P130" s="49" t="str">
        <f>'график анн Комп 7%'!Q125</f>
        <v/>
      </c>
    </row>
    <row r="131" spans="1:16" x14ac:dyDescent="0.35">
      <c r="A131" s="154">
        <f>'график анн Комп 7%'!A126</f>
        <v>102</v>
      </c>
      <c r="B131" s="149">
        <f ca="1">'график анн Комп 7%'!C126</f>
        <v>47591</v>
      </c>
      <c r="C131" s="156">
        <f ca="1">'график анн Комп 7%'!D126</f>
        <v>31</v>
      </c>
      <c r="D131" s="151">
        <f ca="1">'график анн Комп 7%'!E126</f>
        <v>1669679.129070607</v>
      </c>
      <c r="E131" s="47">
        <f ca="1">'график анн Комп 7%'!H126</f>
        <v>14897.960946852892</v>
      </c>
      <c r="F131" s="47">
        <f ca="1">'график анн Комп 7%'!F126</f>
        <v>4941.99426837184</v>
      </c>
      <c r="G131" s="47">
        <f ca="1">'график анн Комп 7%'!G126</f>
        <v>9955.9666784810524</v>
      </c>
      <c r="H131" s="157">
        <f>'график анн Комп 7%'!O126</f>
        <v>0</v>
      </c>
      <c r="I131" s="223" t="str">
        <f>'график анн Комп 7%'!M126</f>
        <v/>
      </c>
      <c r="J131" s="223" t="str">
        <f>'график анн Комп 7%'!N126</f>
        <v/>
      </c>
      <c r="K131" s="223" t="str">
        <f>'график анн Комп 7%'!I126</f>
        <v/>
      </c>
      <c r="L131" s="223" t="str">
        <f>'график анн Комп 7%'!J126</f>
        <v/>
      </c>
      <c r="M131" s="157">
        <f>'график анн Комп 7%'!K126</f>
        <v>0</v>
      </c>
      <c r="N131" s="223" t="str">
        <f>'график анн Комп 7%'!L126</f>
        <v/>
      </c>
      <c r="O131" s="51" t="str">
        <f>'график анн Комп 7%'!P126</f>
        <v/>
      </c>
      <c r="P131" s="49" t="str">
        <f>'график анн Комп 7%'!Q126</f>
        <v/>
      </c>
    </row>
    <row r="132" spans="1:16" x14ac:dyDescent="0.35">
      <c r="A132" s="154">
        <f>'график анн Комп 7%'!A127</f>
        <v>103</v>
      </c>
      <c r="B132" s="149">
        <f ca="1">'график анн Комп 7%'!C127</f>
        <v>47621</v>
      </c>
      <c r="C132" s="156">
        <f ca="1">'график анн Комп 7%'!D127</f>
        <v>30</v>
      </c>
      <c r="D132" s="151">
        <f ca="1">'график анн Комп 7%'!E127</f>
        <v>1664094.8814040194</v>
      </c>
      <c r="E132" s="47">
        <f ca="1">'график анн Комп 7%'!H127</f>
        <v>15190.62073795279</v>
      </c>
      <c r="F132" s="47">
        <f ca="1">'график анн Комп 7%'!F127</f>
        <v>5584.2476665876529</v>
      </c>
      <c r="G132" s="47">
        <f ca="1">'график анн Комп 7%'!G127</f>
        <v>9606.3730713651366</v>
      </c>
      <c r="H132" s="157">
        <f>'график анн Комп 7%'!O127</f>
        <v>0</v>
      </c>
      <c r="I132" s="223" t="str">
        <f>'график анн Комп 7%'!M127</f>
        <v/>
      </c>
      <c r="J132" s="223" t="str">
        <f>'график анн Комп 7%'!N127</f>
        <v/>
      </c>
      <c r="K132" s="223" t="str">
        <f>'график анн Комп 7%'!I127</f>
        <v/>
      </c>
      <c r="L132" s="223" t="str">
        <f>'график анн Комп 7%'!J127</f>
        <v/>
      </c>
      <c r="M132" s="157">
        <f>'график анн Комп 7%'!K127</f>
        <v>0</v>
      </c>
      <c r="N132" s="223" t="str">
        <f>'график анн Комп 7%'!L127</f>
        <v/>
      </c>
      <c r="O132" s="51" t="str">
        <f>'график анн Комп 7%'!P127</f>
        <v/>
      </c>
      <c r="P132" s="49" t="str">
        <f>'график анн Комп 7%'!Q127</f>
        <v/>
      </c>
    </row>
    <row r="133" spans="1:16" x14ac:dyDescent="0.35">
      <c r="A133" s="154">
        <f>'график анн Комп 7%'!A128</f>
        <v>104</v>
      </c>
      <c r="B133" s="149">
        <f ca="1">'график анн Комп 7%'!C128</f>
        <v>47652</v>
      </c>
      <c r="C133" s="156">
        <f ca="1">'график анн Комп 7%'!D128</f>
        <v>31</v>
      </c>
      <c r="D133" s="151">
        <f ca="1">'график анн Комп 7%'!E128</f>
        <v>1659037.9175025027</v>
      </c>
      <c r="E133" s="47">
        <f ca="1">'график анн Комп 7%'!H128</f>
        <v>14950.349908768094</v>
      </c>
      <c r="F133" s="47">
        <f ca="1">'график анн Комп 7%'!F128</f>
        <v>5056.9639015167995</v>
      </c>
      <c r="G133" s="47">
        <f ca="1">'график анн Комп 7%'!G128</f>
        <v>9893.3860072512944</v>
      </c>
      <c r="H133" s="157">
        <f>'график анн Комп 7%'!O128</f>
        <v>0</v>
      </c>
      <c r="I133" s="223" t="str">
        <f>'график анн Комп 7%'!M128</f>
        <v/>
      </c>
      <c r="J133" s="223" t="str">
        <f>'график анн Комп 7%'!N128</f>
        <v/>
      </c>
      <c r="K133" s="223" t="str">
        <f>'график анн Комп 7%'!I128</f>
        <v/>
      </c>
      <c r="L133" s="223" t="str">
        <f>'график анн Комп 7%'!J128</f>
        <v/>
      </c>
      <c r="M133" s="157">
        <f>'график анн Комп 7%'!K128</f>
        <v>0</v>
      </c>
      <c r="N133" s="223" t="str">
        <f>'график анн Комп 7%'!L128</f>
        <v/>
      </c>
      <c r="O133" s="51" t="str">
        <f>'график анн Комп 7%'!P128</f>
        <v/>
      </c>
      <c r="P133" s="49" t="str">
        <f>'график анн Комп 7%'!Q128</f>
        <v/>
      </c>
    </row>
    <row r="134" spans="1:16" x14ac:dyDescent="0.35">
      <c r="A134" s="154">
        <f>'график анн Комп 7%'!A129</f>
        <v>105</v>
      </c>
      <c r="B134" s="149">
        <f ca="1">'график анн Комп 7%'!C129</f>
        <v>47682</v>
      </c>
      <c r="C134" s="156">
        <f ca="1">'график анн Комп 7%'!D129</f>
        <v>30</v>
      </c>
      <c r="D134" s="151">
        <f ca="1">'график анн Комп 7%'!E129</f>
        <v>1653341.1936873405</v>
      </c>
      <c r="E134" s="47">
        <f ca="1">'график анн Комп 7%'!H129</f>
        <v>15241.873477505469</v>
      </c>
      <c r="F134" s="47">
        <f ca="1">'график анн Комп 7%'!F129</f>
        <v>5696.7238151623023</v>
      </c>
      <c r="G134" s="47">
        <f ca="1">'график анн Комп 7%'!G129</f>
        <v>9545.1496623431667</v>
      </c>
      <c r="H134" s="157">
        <f>'график анн Комп 7%'!O129</f>
        <v>0</v>
      </c>
      <c r="I134" s="223" t="str">
        <f>'график анн Комп 7%'!M129</f>
        <v/>
      </c>
      <c r="J134" s="223" t="str">
        <f>'график анн Комп 7%'!N129</f>
        <v/>
      </c>
      <c r="K134" s="223" t="str">
        <f>'график анн Комп 7%'!I129</f>
        <v/>
      </c>
      <c r="L134" s="223" t="str">
        <f>'график анн Комп 7%'!J129</f>
        <v/>
      </c>
      <c r="M134" s="157">
        <f>'график анн Комп 7%'!K129</f>
        <v>0</v>
      </c>
      <c r="N134" s="223" t="str">
        <f>'график анн Комп 7%'!L129</f>
        <v/>
      </c>
      <c r="O134" s="51" t="str">
        <f>'график анн Комп 7%'!P129</f>
        <v/>
      </c>
      <c r="P134" s="49" t="str">
        <f>'график анн Комп 7%'!Q129</f>
        <v/>
      </c>
    </row>
    <row r="135" spans="1:16" x14ac:dyDescent="0.35">
      <c r="A135" s="154">
        <f>'график анн Комп 7%'!A130</f>
        <v>106</v>
      </c>
      <c r="B135" s="149">
        <f ca="1">'график анн Комп 7%'!C130</f>
        <v>47713</v>
      </c>
      <c r="C135" s="156">
        <f ca="1">'график анн Комп 7%'!D130</f>
        <v>31</v>
      </c>
      <c r="D135" s="151">
        <f ca="1">'график анн Комп 7%'!E130</f>
        <v>1648166.7759462311</v>
      </c>
      <c r="E135" s="47">
        <f ca="1">'график анн Комп 7%'!H130</f>
        <v>15003.870865223213</v>
      </c>
      <c r="F135" s="47">
        <f ca="1">'график анн Комп 7%'!F130</f>
        <v>5174.4177411094352</v>
      </c>
      <c r="G135" s="47">
        <f ca="1">'график анн Комп 7%'!G130</f>
        <v>9829.4531241137774</v>
      </c>
      <c r="H135" s="157">
        <f>'график анн Комп 7%'!O130</f>
        <v>0</v>
      </c>
      <c r="I135" s="223" t="str">
        <f>'график анн Комп 7%'!M130</f>
        <v/>
      </c>
      <c r="J135" s="223" t="str">
        <f>'график анн Комп 7%'!N130</f>
        <v/>
      </c>
      <c r="K135" s="223" t="str">
        <f>'график анн Комп 7%'!I130</f>
        <v/>
      </c>
      <c r="L135" s="223" t="str">
        <f>'график анн Комп 7%'!J130</f>
        <v/>
      </c>
      <c r="M135" s="157">
        <f>'график анн Комп 7%'!K130</f>
        <v>0</v>
      </c>
      <c r="N135" s="223" t="str">
        <f>'график анн Комп 7%'!L130</f>
        <v/>
      </c>
      <c r="O135" s="51" t="str">
        <f>'график анн Комп 7%'!P130</f>
        <v/>
      </c>
      <c r="P135" s="49" t="str">
        <f>'график анн Комп 7%'!Q130</f>
        <v/>
      </c>
    </row>
    <row r="136" spans="1:16" x14ac:dyDescent="0.35">
      <c r="A136" s="154">
        <f>'график анн Комп 7%'!A131</f>
        <v>107</v>
      </c>
      <c r="B136" s="149">
        <f ca="1">'график анн Комп 7%'!C131</f>
        <v>47744</v>
      </c>
      <c r="C136" s="156">
        <f ca="1">'график анн Комп 7%'!D131</f>
        <v>31</v>
      </c>
      <c r="D136" s="151">
        <f ca="1">'график анн Комп 7%'!E131</f>
        <v>1642935.8422221991</v>
      </c>
      <c r="E136" s="47">
        <f ca="1">'график анн Комп 7%'!H131</f>
        <v>15029.62387143828</v>
      </c>
      <c r="F136" s="47">
        <f ca="1">'график анн Комп 7%'!F131</f>
        <v>5230.9337240319182</v>
      </c>
      <c r="G136" s="47">
        <f ca="1">'график анн Комп 7%'!G131</f>
        <v>9798.6901474063616</v>
      </c>
      <c r="H136" s="157">
        <f>'график анн Комп 7%'!O131</f>
        <v>0</v>
      </c>
      <c r="I136" s="223" t="str">
        <f>'график анн Комп 7%'!M131</f>
        <v/>
      </c>
      <c r="J136" s="223" t="str">
        <f>'график анн Комп 7%'!N131</f>
        <v/>
      </c>
      <c r="K136" s="223" t="str">
        <f>'график анн Комп 7%'!I131</f>
        <v/>
      </c>
      <c r="L136" s="223" t="str">
        <f>'график анн Комп 7%'!J131</f>
        <v/>
      </c>
      <c r="M136" s="157">
        <f>'график анн Комп 7%'!K131</f>
        <v>0</v>
      </c>
      <c r="N136" s="223" t="str">
        <f>'график анн Комп 7%'!L131</f>
        <v/>
      </c>
      <c r="O136" s="51" t="str">
        <f>'график анн Комп 7%'!P131</f>
        <v/>
      </c>
      <c r="P136" s="49" t="str">
        <f>'график анн Комп 7%'!Q131</f>
        <v/>
      </c>
    </row>
    <row r="137" spans="1:16" x14ac:dyDescent="0.35">
      <c r="A137" s="154">
        <f>'график анн Комп 7%'!A132</f>
        <v>108</v>
      </c>
      <c r="B137" s="149">
        <f ca="1">'график анн Комп 7%'!C132</f>
        <v>47774</v>
      </c>
      <c r="C137" s="156">
        <f ca="1">'график анн Комп 7%'!D132</f>
        <v>30</v>
      </c>
      <c r="D137" s="151">
        <f ca="1">'график анн Комп 7%'!E132</f>
        <v>1637068.9216770877</v>
      </c>
      <c r="E137" s="47">
        <f ca="1">'график анн Комп 7%'!H132</f>
        <v>15319.428130499369</v>
      </c>
      <c r="F137" s="47">
        <f ca="1">'график анн Комп 7%'!F132</f>
        <v>5866.9205451113739</v>
      </c>
      <c r="G137" s="47">
        <f ca="1">'график анн Комп 7%'!G132</f>
        <v>9452.5075853879953</v>
      </c>
      <c r="H137" s="157">
        <f>'график анн Комп 7%'!O132</f>
        <v>0</v>
      </c>
      <c r="I137" s="223" t="str">
        <f>'график анн Комп 7%'!M132</f>
        <v/>
      </c>
      <c r="J137" s="223" t="str">
        <f>'график анн Комп 7%'!N132</f>
        <v/>
      </c>
      <c r="K137" s="223" t="str">
        <f>'график анн Комп 7%'!I132</f>
        <v/>
      </c>
      <c r="L137" s="223" t="str">
        <f>'график анн Комп 7%'!J132</f>
        <v/>
      </c>
      <c r="M137" s="157">
        <f>'график анн Комп 7%'!K132</f>
        <v>0</v>
      </c>
      <c r="N137" s="223" t="str">
        <f>'график анн Комп 7%'!L132</f>
        <v/>
      </c>
      <c r="O137" s="51" t="str">
        <f>'график анн Комп 7%'!P132</f>
        <v/>
      </c>
      <c r="P137" s="49" t="str">
        <f>'график анн Комп 7%'!Q132</f>
        <v/>
      </c>
    </row>
    <row r="138" spans="1:16" x14ac:dyDescent="0.35">
      <c r="A138" s="154">
        <f>'график анн Комп 7%'!A133</f>
        <v>109</v>
      </c>
      <c r="B138" s="149">
        <f ca="1">'график анн Комп 7%'!C133</f>
        <v>47805</v>
      </c>
      <c r="C138" s="156">
        <f ca="1">'график анн Комп 7%'!D133</f>
        <v>31</v>
      </c>
      <c r="D138" s="151">
        <f ca="1">'график анн Комп 7%'!E133</f>
        <v>1631716.7750603727</v>
      </c>
      <c r="E138" s="47">
        <f ca="1">'график анн Комп 7%'!H133</f>
        <v>15084.857740110405</v>
      </c>
      <c r="F138" s="47">
        <f ca="1">'график анн Комп 7%'!F133</f>
        <v>5352.1466167151157</v>
      </c>
      <c r="G138" s="47">
        <f ca="1">'график анн Комп 7%'!G133</f>
        <v>9732.7111233952892</v>
      </c>
      <c r="H138" s="157">
        <f>'график анн Комп 7%'!O133</f>
        <v>0</v>
      </c>
      <c r="I138" s="223" t="str">
        <f>'график анн Комп 7%'!M133</f>
        <v/>
      </c>
      <c r="J138" s="223">
        <f>'график анн Комп 7%'!N133</f>
        <v>0</v>
      </c>
      <c r="K138" s="223" t="str">
        <f>'график анн Комп 7%'!I133</f>
        <v/>
      </c>
      <c r="L138" s="223" t="str">
        <f>'график анн Комп 7%'!J133</f>
        <v/>
      </c>
      <c r="M138" s="201">
        <f>'график анн Комп 7%'!K133</f>
        <v>7500</v>
      </c>
      <c r="N138" s="223" t="str">
        <f>'график анн Комп 7%'!L133</f>
        <v/>
      </c>
      <c r="O138" s="51" t="str">
        <f>'график анн Комп 7%'!P133</f>
        <v/>
      </c>
      <c r="P138" s="49" t="str">
        <f>'график анн Комп 7%'!Q133</f>
        <v/>
      </c>
    </row>
    <row r="139" spans="1:16" x14ac:dyDescent="0.35">
      <c r="A139" s="154">
        <f>'график анн Комп 7%'!A134</f>
        <v>110</v>
      </c>
      <c r="B139" s="149">
        <f ca="1">'график анн Комп 7%'!C134</f>
        <v>47835</v>
      </c>
      <c r="C139" s="156">
        <f ca="1">'график анн Комп 7%'!D134</f>
        <v>30</v>
      </c>
      <c r="D139" s="151">
        <f ca="1">'график анн Комп 7%'!E134</f>
        <v>1625731.2705122193</v>
      </c>
      <c r="E139" s="47">
        <f ca="1">'график анн Комп 7%'!H134</f>
        <v>15373.464075897973</v>
      </c>
      <c r="F139" s="47">
        <f ca="1">'график анн Комп 7%'!F134</f>
        <v>5985.5045481533634</v>
      </c>
      <c r="G139" s="47">
        <f ca="1">'график анн Комп 7%'!G134</f>
        <v>9387.9595277446097</v>
      </c>
      <c r="H139" s="157">
        <f>'график анн Комп 7%'!O134</f>
        <v>0</v>
      </c>
      <c r="I139" s="223" t="str">
        <f>'график анн Комп 7%'!M134</f>
        <v/>
      </c>
      <c r="J139" s="223" t="str">
        <f>'график анн Комп 7%'!N134</f>
        <v/>
      </c>
      <c r="K139" s="223" t="str">
        <f>'график анн Комп 7%'!I134</f>
        <v/>
      </c>
      <c r="L139" s="223" t="str">
        <f>'график анн Комп 7%'!J134</f>
        <v/>
      </c>
      <c r="M139" s="157">
        <f>'график анн Комп 7%'!K134</f>
        <v>0</v>
      </c>
      <c r="N139" s="223" t="str">
        <f>'график анн Комп 7%'!L134</f>
        <v/>
      </c>
      <c r="O139" s="51" t="str">
        <f>'график анн Комп 7%'!P134</f>
        <v/>
      </c>
      <c r="P139" s="49" t="str">
        <f>'график анн Комп 7%'!Q134</f>
        <v/>
      </c>
    </row>
    <row r="140" spans="1:16" x14ac:dyDescent="0.35">
      <c r="A140" s="154">
        <f>'график анн Комп 7%'!A135</f>
        <v>111</v>
      </c>
      <c r="B140" s="149">
        <f ca="1">'график анн Комп 7%'!C135</f>
        <v>47866</v>
      </c>
      <c r="C140" s="156">
        <f ca="1">'график анн Комп 7%'!D135</f>
        <v>31</v>
      </c>
      <c r="D140" s="151">
        <f ca="1">'график анн Комп 7%'!E135</f>
        <v>1620255.2918951374</v>
      </c>
      <c r="E140" s="47">
        <f ca="1">'график анн Комп 7%'!H135</f>
        <v>15141.285074647669</v>
      </c>
      <c r="F140" s="47">
        <f ca="1">'график анн Комп 7%'!F135</f>
        <v>5475.9786170818697</v>
      </c>
      <c r="G140" s="47">
        <f ca="1">'график анн Комп 7%'!G135</f>
        <v>9665.3064575657991</v>
      </c>
      <c r="H140" s="157">
        <f>'график анн Комп 7%'!O135</f>
        <v>0</v>
      </c>
      <c r="I140" s="223" t="str">
        <f>'график анн Комп 7%'!M135</f>
        <v/>
      </c>
      <c r="J140" s="223" t="str">
        <f>'график анн Комп 7%'!N135</f>
        <v/>
      </c>
      <c r="K140" s="223" t="str">
        <f>'график анн Комп 7%'!I135</f>
        <v/>
      </c>
      <c r="L140" s="223" t="str">
        <f>'график анн Комп 7%'!J135</f>
        <v/>
      </c>
      <c r="M140" s="157">
        <f>'график анн Комп 7%'!K135</f>
        <v>0</v>
      </c>
      <c r="N140" s="223" t="str">
        <f>'график анн Комп 7%'!L135</f>
        <v/>
      </c>
      <c r="O140" s="51" t="str">
        <f>'график анн Комп 7%'!P135</f>
        <v/>
      </c>
      <c r="P140" s="49" t="str">
        <f>'график анн Комп 7%'!Q135</f>
        <v/>
      </c>
    </row>
    <row r="141" spans="1:16" x14ac:dyDescent="0.35">
      <c r="A141" s="154">
        <f>'график анн Комп 7%'!A136</f>
        <v>112</v>
      </c>
      <c r="B141" s="149">
        <f ca="1">'график анн Комп 7%'!C136</f>
        <v>47897</v>
      </c>
      <c r="C141" s="156">
        <f ca="1">'график анн Комп 7%'!D136</f>
        <v>31</v>
      </c>
      <c r="D141" s="151">
        <f ca="1">'график анн Комп 7%'!E136</f>
        <v>1614719.5035894122</v>
      </c>
      <c r="E141" s="47">
        <f ca="1">'график анн Комп 7%'!H136</f>
        <v>15168.538945211478</v>
      </c>
      <c r="F141" s="47">
        <f ca="1">'график анн Комп 7%'!F136</f>
        <v>5535.7883057253166</v>
      </c>
      <c r="G141" s="47">
        <f ca="1">'график анн Комп 7%'!G136</f>
        <v>9632.7506394861612</v>
      </c>
      <c r="H141" s="157">
        <f>'график анн Комп 7%'!O136</f>
        <v>0</v>
      </c>
      <c r="I141" s="223" t="str">
        <f>'график анн Комп 7%'!M136</f>
        <v/>
      </c>
      <c r="J141" s="223" t="str">
        <f>'график анн Комп 7%'!N136</f>
        <v/>
      </c>
      <c r="K141" s="223" t="str">
        <f>'график анн Комп 7%'!I136</f>
        <v/>
      </c>
      <c r="L141" s="223" t="str">
        <f>'график анн Комп 7%'!J136</f>
        <v/>
      </c>
      <c r="M141" s="157">
        <f>'график анн Комп 7%'!K136</f>
        <v>0</v>
      </c>
      <c r="N141" s="223" t="str">
        <f>'график анн Комп 7%'!L136</f>
        <v/>
      </c>
      <c r="O141" s="51" t="str">
        <f>'график анн Комп 7%'!P136</f>
        <v/>
      </c>
      <c r="P141" s="49" t="str">
        <f>'график анн Комп 7%'!Q136</f>
        <v/>
      </c>
    </row>
    <row r="142" spans="1:16" x14ac:dyDescent="0.35">
      <c r="A142" s="154">
        <f>'график анн Комп 7%'!A137</f>
        <v>113</v>
      </c>
      <c r="B142" s="149">
        <f ca="1">'график анн Комп 7%'!C137</f>
        <v>47925</v>
      </c>
      <c r="C142" s="156">
        <f ca="1">'график анн Комп 7%'!D137</f>
        <v>28</v>
      </c>
      <c r="D142" s="151">
        <f ca="1">'график анн Комп 7%'!E137</f>
        <v>1607416.5159463049</v>
      </c>
      <c r="E142" s="47">
        <f ca="1">'график анн Комп 7%'!H137</f>
        <v>15973.81018292983</v>
      </c>
      <c r="F142" s="47">
        <f ca="1">'график анн Комп 7%'!F137</f>
        <v>7302.9876431072316</v>
      </c>
      <c r="G142" s="47">
        <f ca="1">'график анн Комп 7%'!G137</f>
        <v>8670.8225398225986</v>
      </c>
      <c r="H142" s="157">
        <f>'график анн Комп 7%'!O137</f>
        <v>0</v>
      </c>
      <c r="I142" s="223" t="str">
        <f>'график анн Комп 7%'!M137</f>
        <v/>
      </c>
      <c r="J142" s="223" t="str">
        <f>'график анн Комп 7%'!N137</f>
        <v/>
      </c>
      <c r="K142" s="223" t="str">
        <f>'график анн Комп 7%'!I137</f>
        <v/>
      </c>
      <c r="L142" s="223" t="str">
        <f>'график анн Комп 7%'!J137</f>
        <v/>
      </c>
      <c r="M142" s="157">
        <f>'график анн Комп 7%'!K137</f>
        <v>0</v>
      </c>
      <c r="N142" s="223" t="str">
        <f>'график анн Комп 7%'!L137</f>
        <v/>
      </c>
      <c r="O142" s="51" t="str">
        <f>'график анн Комп 7%'!P137</f>
        <v/>
      </c>
      <c r="P142" s="49" t="str">
        <f>'график анн Комп 7%'!Q137</f>
        <v/>
      </c>
    </row>
    <row r="143" spans="1:16" x14ac:dyDescent="0.35">
      <c r="A143" s="154">
        <f>'график анн Комп 7%'!A138</f>
        <v>114</v>
      </c>
      <c r="B143" s="149">
        <f ca="1">'график анн Комп 7%'!C138</f>
        <v>47956</v>
      </c>
      <c r="C143" s="156">
        <f ca="1">'график анн Комп 7%'!D138</f>
        <v>31</v>
      </c>
      <c r="D143" s="151">
        <f ca="1">'график анн Комп 7%'!E138</f>
        <v>1601740.5000674354</v>
      </c>
      <c r="E143" s="47">
        <f ca="1">'график анн Комп 7%'!H138</f>
        <v>15232.437357235172</v>
      </c>
      <c r="F143" s="47">
        <f ca="1">'график анн Комп 7%'!F138</f>
        <v>5676.015878869468</v>
      </c>
      <c r="G143" s="47">
        <f ca="1">'график анн Комп 7%'!G138</f>
        <v>9556.4214783657044</v>
      </c>
      <c r="H143" s="157">
        <f>'график анн Комп 7%'!O138</f>
        <v>0</v>
      </c>
      <c r="I143" s="223" t="str">
        <f>'график анн Комп 7%'!M138</f>
        <v/>
      </c>
      <c r="J143" s="223" t="str">
        <f>'график анн Комп 7%'!N138</f>
        <v/>
      </c>
      <c r="K143" s="223" t="str">
        <f>'график анн Комп 7%'!I138</f>
        <v/>
      </c>
      <c r="L143" s="223" t="str">
        <f>'график анн Комп 7%'!J138</f>
        <v/>
      </c>
      <c r="M143" s="157">
        <f>'график анн Комп 7%'!K138</f>
        <v>0</v>
      </c>
      <c r="N143" s="223" t="str">
        <f>'график анн Комп 7%'!L138</f>
        <v/>
      </c>
      <c r="O143" s="51" t="str">
        <f>'график анн Комп 7%'!P138</f>
        <v/>
      </c>
      <c r="P143" s="49" t="str">
        <f>'график анн Комп 7%'!Q138</f>
        <v/>
      </c>
    </row>
    <row r="144" spans="1:16" x14ac:dyDescent="0.35">
      <c r="A144" s="154">
        <f>'график анн Комп 7%'!A139</f>
        <v>115</v>
      </c>
      <c r="B144" s="149">
        <f ca="1">'график анн Комп 7%'!C139</f>
        <v>47986</v>
      </c>
      <c r="C144" s="156">
        <f ca="1">'график анн Комп 7%'!D139</f>
        <v>30</v>
      </c>
      <c r="D144" s="151">
        <f ca="1">'график анн Комп 7%'!E139</f>
        <v>1595438.1503989457</v>
      </c>
      <c r="E144" s="47">
        <f ca="1">'график анн Комп 7%'!H139</f>
        <v>15517.84295654889</v>
      </c>
      <c r="F144" s="47">
        <f ca="1">'график анн Комп 7%'!F139</f>
        <v>6302.3496684896709</v>
      </c>
      <c r="G144" s="47">
        <f ca="1">'график анн Комп 7%'!G139</f>
        <v>9215.4932880592187</v>
      </c>
      <c r="H144" s="157">
        <f>'график анн Комп 7%'!O139</f>
        <v>0</v>
      </c>
      <c r="I144" s="223" t="str">
        <f>'график анн Комп 7%'!M139</f>
        <v/>
      </c>
      <c r="J144" s="223" t="str">
        <f>'график анн Комп 7%'!N139</f>
        <v/>
      </c>
      <c r="K144" s="223" t="str">
        <f>'график анн Комп 7%'!I139</f>
        <v/>
      </c>
      <c r="L144" s="223" t="str">
        <f>'график анн Комп 7%'!J139</f>
        <v/>
      </c>
      <c r="M144" s="157">
        <f>'график анн Комп 7%'!K139</f>
        <v>0</v>
      </c>
      <c r="N144" s="223" t="str">
        <f>'график анн Комп 7%'!L139</f>
        <v/>
      </c>
      <c r="O144" s="51" t="str">
        <f>'график анн Комп 7%'!P139</f>
        <v/>
      </c>
      <c r="P144" s="49" t="str">
        <f>'график анн Комп 7%'!Q139</f>
        <v/>
      </c>
    </row>
    <row r="145" spans="1:16" x14ac:dyDescent="0.35">
      <c r="A145" s="154">
        <f>'график анн Комп 7%'!A140</f>
        <v>116</v>
      </c>
      <c r="B145" s="149">
        <f ca="1">'график анн Комп 7%'!C140</f>
        <v>48017</v>
      </c>
      <c r="C145" s="156">
        <f ca="1">'график анн Комп 7%'!D140</f>
        <v>31</v>
      </c>
      <c r="D145" s="151">
        <f ca="1">'график анн Комп 7%'!E140</f>
        <v>1589631.3045143471</v>
      </c>
      <c r="E145" s="47">
        <f ca="1">'график анн Комп 7%'!H140</f>
        <v>15292.05351847718</v>
      </c>
      <c r="F145" s="47">
        <f ca="1">'график анн Комп 7%'!F140</f>
        <v>5806.8458845985151</v>
      </c>
      <c r="G145" s="47">
        <f ca="1">'график анн Комп 7%'!G140</f>
        <v>9485.2076338786646</v>
      </c>
      <c r="H145" s="157">
        <f>'график анн Комп 7%'!O140</f>
        <v>0</v>
      </c>
      <c r="I145" s="223" t="str">
        <f>'график анн Комп 7%'!M140</f>
        <v/>
      </c>
      <c r="J145" s="223" t="str">
        <f>'график анн Комп 7%'!N140</f>
        <v/>
      </c>
      <c r="K145" s="223" t="str">
        <f>'график анн Комп 7%'!I140</f>
        <v/>
      </c>
      <c r="L145" s="223" t="str">
        <f>'график анн Комп 7%'!J140</f>
        <v/>
      </c>
      <c r="M145" s="157">
        <f>'график анн Комп 7%'!K140</f>
        <v>0</v>
      </c>
      <c r="N145" s="223" t="str">
        <f>'график анн Комп 7%'!L140</f>
        <v/>
      </c>
      <c r="O145" s="51" t="str">
        <f>'график анн Комп 7%'!P140</f>
        <v/>
      </c>
      <c r="P145" s="49" t="str">
        <f>'график анн Комп 7%'!Q140</f>
        <v/>
      </c>
    </row>
    <row r="146" spans="1:16" x14ac:dyDescent="0.35">
      <c r="A146" s="154">
        <f>'график анн Комп 7%'!A141</f>
        <v>117</v>
      </c>
      <c r="B146" s="149">
        <f ca="1">'график анн Комп 7%'!C141</f>
        <v>48047</v>
      </c>
      <c r="C146" s="156">
        <f ca="1">'график анн Комп 7%'!D141</f>
        <v>30</v>
      </c>
      <c r="D146" s="151">
        <f ca="1">'график анн Комп 7%'!E141</f>
        <v>1583200.9623076553</v>
      </c>
      <c r="E146" s="47">
        <f ca="1">'график анн Комп 7%'!H141</f>
        <v>15576.16615047308</v>
      </c>
      <c r="F146" s="47">
        <f ca="1">'график анн Комп 7%'!F141</f>
        <v>6430.3422066919047</v>
      </c>
      <c r="G146" s="47">
        <f ca="1">'график анн Комп 7%'!G141</f>
        <v>9145.8239437811753</v>
      </c>
      <c r="H146" s="157">
        <f>'график анн Комп 7%'!O141</f>
        <v>0</v>
      </c>
      <c r="I146" s="223" t="str">
        <f>'график анн Комп 7%'!M141</f>
        <v/>
      </c>
      <c r="J146" s="223" t="str">
        <f>'график анн Комп 7%'!N141</f>
        <v/>
      </c>
      <c r="K146" s="223" t="str">
        <f>'график анн Комп 7%'!I141</f>
        <v/>
      </c>
      <c r="L146" s="223" t="str">
        <f>'график анн Комп 7%'!J141</f>
        <v/>
      </c>
      <c r="M146" s="157">
        <f>'график анн Комп 7%'!K141</f>
        <v>0</v>
      </c>
      <c r="N146" s="223" t="str">
        <f>'график анн Комп 7%'!L141</f>
        <v/>
      </c>
      <c r="O146" s="51" t="str">
        <f>'график анн Комп 7%'!P141</f>
        <v/>
      </c>
      <c r="P146" s="49" t="str">
        <f>'график анн Комп 7%'!Q141</f>
        <v/>
      </c>
    </row>
    <row r="147" spans="1:16" x14ac:dyDescent="0.35">
      <c r="A147" s="154">
        <f>'график анн Комп 7%'!A142</f>
        <v>118</v>
      </c>
      <c r="B147" s="149">
        <f ca="1">'график анн Комп 7%'!C142</f>
        <v>48078</v>
      </c>
      <c r="C147" s="156">
        <f ca="1">'график анн Комп 7%'!D142</f>
        <v>31</v>
      </c>
      <c r="D147" s="151">
        <f ca="1">'график анн Комп 7%'!E142</f>
        <v>1577260.4595078656</v>
      </c>
      <c r="E147" s="47">
        <f ca="1">'график анн Комп 7%'!H142</f>
        <v>15352.957835974821</v>
      </c>
      <c r="F147" s="47">
        <f ca="1">'график анн Комп 7%'!F142</f>
        <v>5940.5027997895813</v>
      </c>
      <c r="G147" s="47">
        <f ca="1">'график анн Комп 7%'!G142</f>
        <v>9412.4550361852398</v>
      </c>
      <c r="H147" s="157">
        <f>'график анн Комп 7%'!O142</f>
        <v>0</v>
      </c>
      <c r="I147" s="223" t="str">
        <f>'график анн Комп 7%'!M142</f>
        <v/>
      </c>
      <c r="J147" s="223" t="str">
        <f>'график анн Комп 7%'!N142</f>
        <v/>
      </c>
      <c r="K147" s="223" t="str">
        <f>'график анн Комп 7%'!I142</f>
        <v/>
      </c>
      <c r="L147" s="223" t="str">
        <f>'график анн Комп 7%'!J142</f>
        <v/>
      </c>
      <c r="M147" s="157">
        <f>'график анн Комп 7%'!K142</f>
        <v>0</v>
      </c>
      <c r="N147" s="223" t="str">
        <f>'график анн Комп 7%'!L142</f>
        <v/>
      </c>
      <c r="O147" s="51" t="str">
        <f>'график анн Комп 7%'!P142</f>
        <v/>
      </c>
      <c r="P147" s="49" t="str">
        <f>'график анн Комп 7%'!Q142</f>
        <v/>
      </c>
    </row>
    <row r="148" spans="1:16" x14ac:dyDescent="0.35">
      <c r="A148" s="154">
        <f>'график анн Комп 7%'!A143</f>
        <v>119</v>
      </c>
      <c r="B148" s="149">
        <f ca="1">'график анн Комп 7%'!C143</f>
        <v>48109</v>
      </c>
      <c r="C148" s="156">
        <f ca="1">'график анн Комп 7%'!D143</f>
        <v>31</v>
      </c>
      <c r="D148" s="151">
        <f ca="1">'график анн Комп 7%'!E143</f>
        <v>1571255.0733972222</v>
      </c>
      <c r="E148" s="47">
        <f ca="1">'график анн Комп 7%'!H143</f>
        <v>15382.523637032624</v>
      </c>
      <c r="F148" s="47">
        <f ca="1">'график анн Комп 7%'!F143</f>
        <v>6005.3861106433942</v>
      </c>
      <c r="G148" s="47">
        <f ca="1">'график анн Комп 7%'!G143</f>
        <v>9377.1375263892296</v>
      </c>
      <c r="H148" s="157">
        <f>'график анн Комп 7%'!O143</f>
        <v>0</v>
      </c>
      <c r="I148" s="223" t="str">
        <f>'график анн Комп 7%'!M143</f>
        <v/>
      </c>
      <c r="J148" s="223" t="str">
        <f>'график анн Комп 7%'!N143</f>
        <v/>
      </c>
      <c r="K148" s="223" t="str">
        <f>'график анн Комп 7%'!I143</f>
        <v/>
      </c>
      <c r="L148" s="223" t="str">
        <f>'график анн Комп 7%'!J143</f>
        <v/>
      </c>
      <c r="M148" s="157">
        <f>'график анн Комп 7%'!K143</f>
        <v>0</v>
      </c>
      <c r="N148" s="223" t="str">
        <f>'график анн Комп 7%'!L143</f>
        <v/>
      </c>
      <c r="O148" s="51" t="str">
        <f>'график анн Комп 7%'!P143</f>
        <v/>
      </c>
      <c r="P148" s="49" t="str">
        <f>'график анн Комп 7%'!Q143</f>
        <v/>
      </c>
    </row>
    <row r="149" spans="1:16" x14ac:dyDescent="0.35">
      <c r="A149" s="154">
        <f>'график анн Комп 7%'!A144</f>
        <v>120</v>
      </c>
      <c r="B149" s="149">
        <f ca="1">'график анн Комп 7%'!C144</f>
        <v>48139</v>
      </c>
      <c r="C149" s="156">
        <f ca="1">'график анн Комп 7%'!D144</f>
        <v>30</v>
      </c>
      <c r="D149" s="151">
        <f ca="1">'график анн Комп 7%'!E144</f>
        <v>1564630.4969449143</v>
      </c>
      <c r="E149" s="47">
        <f ca="1">'график анн Комп 7%'!H144</f>
        <v>15664.674134867339</v>
      </c>
      <c r="F149" s="47">
        <f ca="1">'график анн Комп 7%'!F144</f>
        <v>6624.5764523079779</v>
      </c>
      <c r="G149" s="47">
        <f ca="1">'график анн Комп 7%'!G144</f>
        <v>9040.0976825593607</v>
      </c>
      <c r="H149" s="157">
        <f>'график анн Комп 7%'!O144</f>
        <v>0</v>
      </c>
      <c r="I149" s="223" t="str">
        <f>'график анн Комп 7%'!M144</f>
        <v/>
      </c>
      <c r="J149" s="223" t="str">
        <f>'график анн Комп 7%'!N144</f>
        <v/>
      </c>
      <c r="K149" s="223" t="str">
        <f>'график анн Комп 7%'!I144</f>
        <v/>
      </c>
      <c r="L149" s="223" t="str">
        <f>'график анн Комп 7%'!J144</f>
        <v/>
      </c>
      <c r="M149" s="157">
        <f>'график анн Комп 7%'!K144</f>
        <v>0</v>
      </c>
      <c r="N149" s="223" t="str">
        <f>'график анн Комп 7%'!L144</f>
        <v/>
      </c>
      <c r="O149" s="51" t="str">
        <f>'график анн Комп 7%'!P144</f>
        <v/>
      </c>
      <c r="P149" s="49" t="str">
        <f>'график анн Комп 7%'!Q144</f>
        <v/>
      </c>
    </row>
    <row r="150" spans="1:16" x14ac:dyDescent="0.35">
      <c r="A150" s="154">
        <f>'график анн Комп 7%'!A145</f>
        <v>121</v>
      </c>
      <c r="B150" s="149">
        <f ca="1">'график анн Комп 7%'!C145</f>
        <v>48170</v>
      </c>
      <c r="C150" s="156">
        <f ca="1">'график анн Комп 7%'!D145</f>
        <v>31</v>
      </c>
      <c r="D150" s="151">
        <f ca="1">'график анн Комп 7%'!E145</f>
        <v>1558487.1639609737</v>
      </c>
      <c r="E150" s="47">
        <f ca="1">'график анн Комп 7%'!H145</f>
        <v>15445.382787695245</v>
      </c>
      <c r="F150" s="47">
        <f ca="1">'график анн Комп 7%'!F145</f>
        <v>6143.3329839405487</v>
      </c>
      <c r="G150" s="47">
        <f ca="1">'график анн Комп 7%'!G145</f>
        <v>9302.0498037546968</v>
      </c>
      <c r="H150" s="157">
        <f>'график анн Комп 7%'!O145</f>
        <v>0</v>
      </c>
      <c r="I150" s="223" t="str">
        <f>'график анн Комп 7%'!M145</f>
        <v/>
      </c>
      <c r="J150" s="223">
        <f>'график анн Комп 7%'!N145</f>
        <v>0</v>
      </c>
      <c r="K150" s="223" t="str">
        <f>'график анн Комп 7%'!I145</f>
        <v/>
      </c>
      <c r="L150" s="223" t="str">
        <f>'график анн Комп 7%'!J145</f>
        <v/>
      </c>
      <c r="M150" s="201">
        <f>'график анн Комп 7%'!K145</f>
        <v>7500</v>
      </c>
      <c r="N150" s="223" t="str">
        <f>'график анн Комп 7%'!L145</f>
        <v/>
      </c>
      <c r="O150" s="51" t="str">
        <f>'график анн Комп 7%'!P145</f>
        <v/>
      </c>
      <c r="P150" s="49" t="str">
        <f>'график анн Комп 7%'!Q145</f>
        <v/>
      </c>
    </row>
    <row r="151" spans="1:16" x14ac:dyDescent="0.35">
      <c r="A151" s="154">
        <f>'график анн Комп 7%'!A146</f>
        <v>122</v>
      </c>
      <c r="B151" s="149">
        <f ca="1">'график анн Комп 7%'!C146</f>
        <v>48200</v>
      </c>
      <c r="C151" s="156">
        <f ca="1">'график анн Комп 7%'!D146</f>
        <v>30</v>
      </c>
      <c r="D151" s="151">
        <f ca="1">'график анн Комп 7%'!E146</f>
        <v>1551727.6324549534</v>
      </c>
      <c r="E151" s="47">
        <f ca="1">'график анн Комп 7%'!H146</f>
        <v>15726.169983604123</v>
      </c>
      <c r="F151" s="47">
        <f ca="1">'график анн Комп 7%'!F146</f>
        <v>6759.5315060204375</v>
      </c>
      <c r="G151" s="47">
        <f ca="1">'график анн Комп 7%'!G146</f>
        <v>8966.638477583685</v>
      </c>
      <c r="H151" s="157">
        <f>'график анн Комп 7%'!O146</f>
        <v>0</v>
      </c>
      <c r="I151" s="223" t="str">
        <f>'график анн Комп 7%'!M146</f>
        <v/>
      </c>
      <c r="J151" s="223" t="str">
        <f>'график анн Комп 7%'!N146</f>
        <v/>
      </c>
      <c r="K151" s="223" t="str">
        <f>'график анн Комп 7%'!I146</f>
        <v/>
      </c>
      <c r="L151" s="223" t="str">
        <f>'график анн Комп 7%'!J146</f>
        <v/>
      </c>
      <c r="M151" s="157">
        <f>'график анн Комп 7%'!K146</f>
        <v>0</v>
      </c>
      <c r="N151" s="223" t="str">
        <f>'график анн Комп 7%'!L146</f>
        <v/>
      </c>
      <c r="O151" s="51" t="str">
        <f>'график анн Комп 7%'!P146</f>
        <v/>
      </c>
      <c r="P151" s="49" t="str">
        <f>'график анн Комп 7%'!Q146</f>
        <v/>
      </c>
    </row>
    <row r="152" spans="1:16" x14ac:dyDescent="0.35">
      <c r="A152" s="154">
        <f>'график анн Комп 7%'!A147</f>
        <v>123</v>
      </c>
      <c r="B152" s="149">
        <f ca="1">'график анн Комп 7%'!C147</f>
        <v>48231</v>
      </c>
      <c r="C152" s="156">
        <f ca="1">'график анн Комп 7%'!D147</f>
        <v>31</v>
      </c>
      <c r="D152" s="151">
        <f ca="1">'график анн Комп 7%'!E147</f>
        <v>1545443.3719105315</v>
      </c>
      <c r="E152" s="47">
        <f ca="1">'график анн Комп 7%'!H147</f>
        <v>15509.600167510214</v>
      </c>
      <c r="F152" s="47">
        <f ca="1">'график анн Комп 7%'!F147</f>
        <v>6284.2605444218607</v>
      </c>
      <c r="G152" s="47">
        <f ca="1">'график анн Комп 7%'!G147</f>
        <v>9225.3396230883536</v>
      </c>
      <c r="H152" s="157">
        <f>'график анн Комп 7%'!O147</f>
        <v>0</v>
      </c>
      <c r="I152" s="223" t="str">
        <f>'график анн Комп 7%'!M147</f>
        <v/>
      </c>
      <c r="J152" s="223" t="str">
        <f>'график анн Комп 7%'!N147</f>
        <v/>
      </c>
      <c r="K152" s="223" t="str">
        <f>'график анн Комп 7%'!I147</f>
        <v/>
      </c>
      <c r="L152" s="223" t="str">
        <f>'график анн Комп 7%'!J147</f>
        <v/>
      </c>
      <c r="M152" s="157">
        <f>'график анн Комп 7%'!K147</f>
        <v>0</v>
      </c>
      <c r="N152" s="223" t="str">
        <f>'график анн Комп 7%'!L147</f>
        <v/>
      </c>
      <c r="O152" s="51" t="str">
        <f>'график анн Комп 7%'!P147</f>
        <v/>
      </c>
      <c r="P152" s="49" t="str">
        <f>'график анн Комп 7%'!Q147</f>
        <v/>
      </c>
    </row>
    <row r="153" spans="1:16" x14ac:dyDescent="0.35">
      <c r="A153" s="154">
        <f>'график анн Комп 7%'!A148</f>
        <v>124</v>
      </c>
      <c r="B153" s="149">
        <f ca="1">'график анн Комп 7%'!C148</f>
        <v>48262</v>
      </c>
      <c r="C153" s="156">
        <f ca="1">'график анн Комп 7%'!D148</f>
        <v>31</v>
      </c>
      <c r="D153" s="151">
        <f ca="1">'график анн Комп 7%'!E148</f>
        <v>1539044.3542626132</v>
      </c>
      <c r="E153" s="47">
        <f ca="1">'график анн Комп 7%'!H148</f>
        <v>15586.996050783564</v>
      </c>
      <c r="F153" s="47">
        <f ca="1">'график анн Комп 7%'!F148</f>
        <v>6399.0176479182119</v>
      </c>
      <c r="G153" s="47">
        <f ca="1">'график анн Комп 7%'!G148</f>
        <v>9187.9784028653521</v>
      </c>
      <c r="H153" s="157">
        <f>'график анн Комп 7%'!O148</f>
        <v>0</v>
      </c>
      <c r="I153" s="223" t="str">
        <f>'график анн Комп 7%'!M148</f>
        <v/>
      </c>
      <c r="J153" s="223" t="str">
        <f>'график анн Комп 7%'!N148</f>
        <v/>
      </c>
      <c r="K153" s="223" t="str">
        <f>'график анн Комп 7%'!I148</f>
        <v/>
      </c>
      <c r="L153" s="223" t="str">
        <f>'график анн Комп 7%'!J148</f>
        <v/>
      </c>
      <c r="M153" s="157">
        <f>'график анн Комп 7%'!K148</f>
        <v>0</v>
      </c>
      <c r="N153" s="223" t="str">
        <f>'график анн Комп 7%'!L148</f>
        <v/>
      </c>
      <c r="O153" s="51" t="str">
        <f>'график анн Комп 7%'!P148</f>
        <v/>
      </c>
      <c r="P153" s="49" t="str">
        <f>'график анн Комп 7%'!Q148</f>
        <v/>
      </c>
    </row>
    <row r="154" spans="1:16" x14ac:dyDescent="0.35">
      <c r="A154" s="154">
        <f>'график анн Комп 7%'!A149</f>
        <v>125</v>
      </c>
      <c r="B154" s="149">
        <f ca="1">'график анн Комп 7%'!C149</f>
        <v>48291</v>
      </c>
      <c r="C154" s="156">
        <f ca="1">'график анн Комп 7%'!D149</f>
        <v>29</v>
      </c>
      <c r="D154" s="151">
        <f ca="1">'график анн Комп 7%'!E149</f>
        <v>1531494.1001893629</v>
      </c>
      <c r="E154" s="47">
        <f ca="1">'график анн Комп 7%'!H149</f>
        <v>16109.870618875222</v>
      </c>
      <c r="F154" s="47">
        <f ca="1">'график анн Комп 7%'!F149</f>
        <v>7550.2540732502766</v>
      </c>
      <c r="G154" s="47">
        <f ca="1">'график анн Комп 7%'!G149</f>
        <v>8559.6165456249455</v>
      </c>
      <c r="H154" s="157">
        <f>'график анн Комп 7%'!O149</f>
        <v>0</v>
      </c>
      <c r="I154" s="223" t="str">
        <f>'график анн Комп 7%'!M149</f>
        <v/>
      </c>
      <c r="J154" s="223" t="str">
        <f>'график анн Комп 7%'!N149</f>
        <v/>
      </c>
      <c r="K154" s="223" t="str">
        <f>'график анн Комп 7%'!I149</f>
        <v/>
      </c>
      <c r="L154" s="223" t="str">
        <f>'график анн Комп 7%'!J149</f>
        <v/>
      </c>
      <c r="M154" s="157">
        <f>'график анн Комп 7%'!K149</f>
        <v>0</v>
      </c>
      <c r="N154" s="223" t="str">
        <f>'график анн Комп 7%'!L149</f>
        <v/>
      </c>
      <c r="O154" s="51" t="str">
        <f>'график анн Комп 7%'!P149</f>
        <v/>
      </c>
      <c r="P154" s="49" t="str">
        <f>'график анн Комп 7%'!Q149</f>
        <v/>
      </c>
    </row>
    <row r="155" spans="1:16" x14ac:dyDescent="0.35">
      <c r="A155" s="154">
        <f>'график анн Комп 7%'!A150</f>
        <v>126</v>
      </c>
      <c r="B155" s="149">
        <f ca="1">'график анн Комп 7%'!C150</f>
        <v>48322</v>
      </c>
      <c r="C155" s="156">
        <f ca="1">'график анн Комп 7%'!D150</f>
        <v>31</v>
      </c>
      <c r="D155" s="151">
        <f ca="1">'график анн Комп 7%'!E150</f>
        <v>1524943.1421954238</v>
      </c>
      <c r="E155" s="47">
        <f ca="1">'график анн Комп 7%'!H150</f>
        <v>15656.005110133305</v>
      </c>
      <c r="F155" s="47">
        <f ca="1">'график анн Комп 7%'!F150</f>
        <v>6550.9579939390096</v>
      </c>
      <c r="G155" s="47">
        <f ca="1">'график анн Комп 7%'!G150</f>
        <v>9105.0471161942951</v>
      </c>
      <c r="H155" s="157">
        <f>'график анн Комп 7%'!O150</f>
        <v>0</v>
      </c>
      <c r="I155" s="223" t="str">
        <f>'график анн Комп 7%'!M150</f>
        <v/>
      </c>
      <c r="J155" s="223" t="str">
        <f>'график анн Комп 7%'!N150</f>
        <v/>
      </c>
      <c r="K155" s="223" t="str">
        <f>'график анн Комп 7%'!I150</f>
        <v/>
      </c>
      <c r="L155" s="223" t="str">
        <f>'график анн Комп 7%'!J150</f>
        <v/>
      </c>
      <c r="M155" s="157">
        <f>'график анн Комп 7%'!K150</f>
        <v>0</v>
      </c>
      <c r="N155" s="223" t="str">
        <f>'график анн Комп 7%'!L150</f>
        <v/>
      </c>
      <c r="O155" s="51" t="str">
        <f>'график анн Комп 7%'!P150</f>
        <v/>
      </c>
      <c r="P155" s="49" t="str">
        <f>'график анн Комп 7%'!Q150</f>
        <v/>
      </c>
    </row>
    <row r="156" spans="1:16" x14ac:dyDescent="0.35">
      <c r="A156" s="154">
        <f>'график анн Комп 7%'!A151</f>
        <v>127</v>
      </c>
      <c r="B156" s="149">
        <f ca="1">'график анн Комп 7%'!C151</f>
        <v>48352</v>
      </c>
      <c r="C156" s="156">
        <f ca="1">'график анн Комп 7%'!D151</f>
        <v>30</v>
      </c>
      <c r="D156" s="151">
        <f ca="1">'график анн Комп 7%'!E151</f>
        <v>1517785.0155205424</v>
      </c>
      <c r="E156" s="47">
        <f ca="1">'график анн Комп 7%'!H151</f>
        <v>15931.772150526451</v>
      </c>
      <c r="F156" s="47">
        <f ca="1">'график анн Комп 7%'!F151</f>
        <v>7158.1266748815451</v>
      </c>
      <c r="G156" s="47">
        <f ca="1">'график анн Комп 7%'!G151</f>
        <v>8773.6454756449057</v>
      </c>
      <c r="H156" s="157">
        <f>'график анн Комп 7%'!O151</f>
        <v>0</v>
      </c>
      <c r="I156" s="223" t="str">
        <f>'график анн Комп 7%'!M151</f>
        <v/>
      </c>
      <c r="J156" s="223" t="str">
        <f>'график анн Комп 7%'!N151</f>
        <v/>
      </c>
      <c r="K156" s="223" t="str">
        <f>'график анн Комп 7%'!I151</f>
        <v/>
      </c>
      <c r="L156" s="223" t="str">
        <f>'график анн Комп 7%'!J151</f>
        <v/>
      </c>
      <c r="M156" s="157">
        <f>'график анн Комп 7%'!K151</f>
        <v>0</v>
      </c>
      <c r="N156" s="223" t="str">
        <f>'график анн Комп 7%'!L151</f>
        <v/>
      </c>
      <c r="O156" s="51" t="str">
        <f>'график анн Комп 7%'!P151</f>
        <v/>
      </c>
      <c r="P156" s="49" t="str">
        <f>'график анн Комп 7%'!Q151</f>
        <v/>
      </c>
    </row>
    <row r="157" spans="1:16" x14ac:dyDescent="0.35">
      <c r="A157" s="154">
        <f>'график анн Комп 7%'!A152</f>
        <v>128</v>
      </c>
      <c r="B157" s="149">
        <f ca="1">'график анн Комп 7%'!C152</f>
        <v>48383</v>
      </c>
      <c r="C157" s="156">
        <f ca="1">'график анн Комп 7%'!D152</f>
        <v>31</v>
      </c>
      <c r="D157" s="151">
        <f ca="1">'график анн Комп 7%'!E152</f>
        <v>1511084.7333819566</v>
      </c>
      <c r="E157" s="47">
        <f ca="1">'график анн Комп 7%'!H152</f>
        <v>15723.825929488734</v>
      </c>
      <c r="F157" s="47">
        <f ca="1">'график анн Комп 7%'!F152</f>
        <v>6700.2821385857824</v>
      </c>
      <c r="G157" s="47">
        <f ca="1">'график анн Комп 7%'!G152</f>
        <v>9023.5437909029515</v>
      </c>
      <c r="H157" s="157">
        <f>'график анн Комп 7%'!O152</f>
        <v>0</v>
      </c>
      <c r="I157" s="223" t="str">
        <f>'график анн Комп 7%'!M152</f>
        <v/>
      </c>
      <c r="J157" s="223" t="str">
        <f>'график анн Комп 7%'!N152</f>
        <v/>
      </c>
      <c r="K157" s="223" t="str">
        <f>'график анн Комп 7%'!I152</f>
        <v/>
      </c>
      <c r="L157" s="223" t="str">
        <f>'график анн Комп 7%'!J152</f>
        <v/>
      </c>
      <c r="M157" s="157">
        <f>'график анн Комп 7%'!K152</f>
        <v>0</v>
      </c>
      <c r="N157" s="223" t="str">
        <f>'график анн Комп 7%'!L152</f>
        <v/>
      </c>
      <c r="O157" s="51" t="str">
        <f>'график анн Комп 7%'!P152</f>
        <v/>
      </c>
      <c r="P157" s="49" t="str">
        <f>'график анн Комп 7%'!Q152</f>
        <v/>
      </c>
    </row>
    <row r="158" spans="1:16" x14ac:dyDescent="0.35">
      <c r="A158" s="154">
        <f>'график анн Комп 7%'!A153</f>
        <v>129</v>
      </c>
      <c r="B158" s="149">
        <f ca="1">'график анн Комп 7%'!C153</f>
        <v>48413</v>
      </c>
      <c r="C158" s="156">
        <f ca="1">'график анн Комп 7%'!D153</f>
        <v>30</v>
      </c>
      <c r="D158" s="151">
        <f ca="1">'график анн Комп 7%'!E153</f>
        <v>1503780.5254469593</v>
      </c>
      <c r="E158" s="47">
        <f ca="1">'график анн Комп 7%'!H153</f>
        <v>15998.120099660588</v>
      </c>
      <c r="F158" s="47">
        <f ca="1">'график анн Комп 7%'!F153</f>
        <v>7304.2079349972755</v>
      </c>
      <c r="G158" s="47">
        <f ca="1">'график анн Комп 7%'!G153</f>
        <v>8693.9121646633121</v>
      </c>
      <c r="H158" s="157">
        <f>'график анн Комп 7%'!O153</f>
        <v>0</v>
      </c>
      <c r="I158" s="223" t="str">
        <f>'график анн Комп 7%'!M153</f>
        <v/>
      </c>
      <c r="J158" s="223" t="str">
        <f>'график анн Комп 7%'!N153</f>
        <v/>
      </c>
      <c r="K158" s="223" t="str">
        <f>'график анн Комп 7%'!I153</f>
        <v/>
      </c>
      <c r="L158" s="223" t="str">
        <f>'график анн Комп 7%'!J153</f>
        <v/>
      </c>
      <c r="M158" s="157">
        <f>'график анн Комп 7%'!K153</f>
        <v>0</v>
      </c>
      <c r="N158" s="223" t="str">
        <f>'график анн Комп 7%'!L153</f>
        <v/>
      </c>
      <c r="O158" s="51" t="str">
        <f>'график анн Комп 7%'!P153</f>
        <v/>
      </c>
      <c r="P158" s="49" t="str">
        <f>'график анн Комп 7%'!Q153</f>
        <v/>
      </c>
    </row>
    <row r="159" spans="1:16" x14ac:dyDescent="0.35">
      <c r="A159" s="154">
        <f>'график анн Комп 7%'!A154</f>
        <v>130</v>
      </c>
      <c r="B159" s="149">
        <f ca="1">'график анн Комп 7%'!C154</f>
        <v>48444</v>
      </c>
      <c r="C159" s="156">
        <f ca="1">'график анн Комп 7%'!D154</f>
        <v>31</v>
      </c>
      <c r="D159" s="151">
        <f ca="1">'график анн Комп 7%'!E154</f>
        <v>1496927.7015047469</v>
      </c>
      <c r="E159" s="47">
        <f ca="1">'график анн Комп 7%'!H154</f>
        <v>15793.108161992966</v>
      </c>
      <c r="F159" s="47">
        <f ca="1">'график анн Комп 7%'!F154</f>
        <v>6852.8239422124116</v>
      </c>
      <c r="G159" s="47">
        <f ca="1">'график анн Комп 7%'!G154</f>
        <v>8940.2842197805548</v>
      </c>
      <c r="H159" s="157">
        <f>'график анн Комп 7%'!O154</f>
        <v>0</v>
      </c>
      <c r="I159" s="223" t="str">
        <f>'график анн Комп 7%'!M154</f>
        <v/>
      </c>
      <c r="J159" s="223" t="str">
        <f>'график анн Комп 7%'!N154</f>
        <v/>
      </c>
      <c r="K159" s="223" t="str">
        <f>'график анн Комп 7%'!I154</f>
        <v/>
      </c>
      <c r="L159" s="223" t="str">
        <f>'график анн Комп 7%'!J154</f>
        <v/>
      </c>
      <c r="M159" s="157">
        <f>'график анн Комп 7%'!K154</f>
        <v>0</v>
      </c>
      <c r="N159" s="223" t="str">
        <f>'график анн Комп 7%'!L154</f>
        <v/>
      </c>
      <c r="O159" s="51" t="str">
        <f>'график анн Комп 7%'!P154</f>
        <v/>
      </c>
      <c r="P159" s="49" t="str">
        <f>'график анн Комп 7%'!Q154</f>
        <v/>
      </c>
    </row>
    <row r="160" spans="1:16" x14ac:dyDescent="0.35">
      <c r="A160" s="154">
        <f>'график анн Комп 7%'!A155</f>
        <v>131</v>
      </c>
      <c r="B160" s="149">
        <f ca="1">'график анн Комп 7%'!C155</f>
        <v>48475</v>
      </c>
      <c r="C160" s="156">
        <f ca="1">'график анн Комп 7%'!D155</f>
        <v>31</v>
      </c>
      <c r="D160" s="151">
        <f ca="1">'график анн Комп 7%'!E155</f>
        <v>1490000.2342075398</v>
      </c>
      <c r="E160" s="47">
        <f ca="1">'график анн Комп 7%'!H155</f>
        <v>15827.010070536606</v>
      </c>
      <c r="F160" s="47">
        <f ca="1">'график анн Комп 7%'!F155</f>
        <v>6927.467297207013</v>
      </c>
      <c r="G160" s="47">
        <f ca="1">'график анн Комп 7%'!G155</f>
        <v>8899.5427733295928</v>
      </c>
      <c r="H160" s="157">
        <f>'график анн Комп 7%'!O155</f>
        <v>0</v>
      </c>
      <c r="I160" s="223" t="str">
        <f>'график анн Комп 7%'!M155</f>
        <v/>
      </c>
      <c r="J160" s="223" t="str">
        <f>'график анн Комп 7%'!N155</f>
        <v/>
      </c>
      <c r="K160" s="223" t="str">
        <f>'график анн Комп 7%'!I155</f>
        <v/>
      </c>
      <c r="L160" s="223" t="str">
        <f>'график анн Комп 7%'!J155</f>
        <v/>
      </c>
      <c r="M160" s="157">
        <f>'график анн Комп 7%'!K155</f>
        <v>0</v>
      </c>
      <c r="N160" s="223" t="str">
        <f>'график анн Комп 7%'!L155</f>
        <v/>
      </c>
      <c r="O160" s="51" t="str">
        <f>'график анн Комп 7%'!P155</f>
        <v/>
      </c>
      <c r="P160" s="49" t="str">
        <f>'график анн Комп 7%'!Q155</f>
        <v/>
      </c>
    </row>
    <row r="161" spans="1:16" x14ac:dyDescent="0.35">
      <c r="A161" s="154">
        <f>'график анн Комп 7%'!A156</f>
        <v>132</v>
      </c>
      <c r="B161" s="149">
        <f ca="1">'график анн Комп 7%'!C156</f>
        <v>48505</v>
      </c>
      <c r="C161" s="156">
        <f ca="1">'график анн Комп 7%'!D156</f>
        <v>30</v>
      </c>
      <c r="D161" s="151">
        <f ca="1">'график анн Комп 7%'!E156</f>
        <v>1482473.7749123925</v>
      </c>
      <c r="E161" s="47">
        <f ca="1">'график анн Комп 7%'!H156</f>
        <v>16099.063382368739</v>
      </c>
      <c r="F161" s="47">
        <f ca="1">'график анн Комп 7%'!F156</f>
        <v>7526.459295147275</v>
      </c>
      <c r="G161" s="47">
        <f ca="1">'график анн Комп 7%'!G156</f>
        <v>8572.6040872214635</v>
      </c>
      <c r="H161" s="157">
        <f>'график анн Комп 7%'!O156</f>
        <v>0</v>
      </c>
      <c r="I161" s="223" t="str">
        <f>'график анн Комп 7%'!M156</f>
        <v/>
      </c>
      <c r="J161" s="223" t="str">
        <f>'график анн Комп 7%'!N156</f>
        <v/>
      </c>
      <c r="K161" s="223" t="str">
        <f>'график анн Комп 7%'!I156</f>
        <v/>
      </c>
      <c r="L161" s="223" t="str">
        <f>'график анн Комп 7%'!J156</f>
        <v/>
      </c>
      <c r="M161" s="157">
        <f>'график анн Комп 7%'!K156</f>
        <v>0</v>
      </c>
      <c r="N161" s="223" t="str">
        <f>'график анн Комп 7%'!L156</f>
        <v/>
      </c>
      <c r="O161" s="51" t="str">
        <f>'график анн Комп 7%'!P156</f>
        <v/>
      </c>
      <c r="P161" s="49" t="str">
        <f>'график анн Комп 7%'!Q156</f>
        <v/>
      </c>
    </row>
    <row r="162" spans="1:16" x14ac:dyDescent="0.35">
      <c r="A162" s="154">
        <f>'график анн Комп 7%'!A157</f>
        <v>133</v>
      </c>
      <c r="B162" s="149">
        <f ca="1">'график анн Комп 7%'!C157</f>
        <v>48536</v>
      </c>
      <c r="C162" s="156">
        <f ca="1">'график анн Комп 7%'!D157</f>
        <v>31</v>
      </c>
      <c r="D162" s="151">
        <f ca="1">'график анн Комп 7%'!E157</f>
        <v>1475388.8703918164</v>
      </c>
      <c r="E162" s="47">
        <f ca="1">'график анн Комп 7%'!H157</f>
        <v>15898.515730329214</v>
      </c>
      <c r="F162" s="47">
        <f ca="1">'график анн Комп 7%'!F157</f>
        <v>7084.9045205760849</v>
      </c>
      <c r="G162" s="47">
        <f ca="1">'график анн Комп 7%'!G157</f>
        <v>8813.6112097531295</v>
      </c>
      <c r="H162" s="157">
        <f>'график анн Комп 7%'!O157</f>
        <v>0</v>
      </c>
      <c r="I162" s="223" t="str">
        <f>'график анн Комп 7%'!M157</f>
        <v/>
      </c>
      <c r="J162" s="223">
        <f>'график анн Комп 7%'!N157</f>
        <v>0</v>
      </c>
      <c r="K162" s="223" t="str">
        <f>'график анн Комп 7%'!I157</f>
        <v/>
      </c>
      <c r="L162" s="223" t="str">
        <f>'график анн Комп 7%'!J157</f>
        <v/>
      </c>
      <c r="M162" s="201">
        <f>'график анн Комп 7%'!K157</f>
        <v>7500</v>
      </c>
      <c r="N162" s="223" t="str">
        <f>'график анн Комп 7%'!L157</f>
        <v/>
      </c>
      <c r="O162" s="51" t="str">
        <f>'график анн Комп 7%'!P157</f>
        <v/>
      </c>
      <c r="P162" s="49" t="str">
        <f>'график анн Комп 7%'!Q157</f>
        <v/>
      </c>
    </row>
    <row r="163" spans="1:16" x14ac:dyDescent="0.35">
      <c r="A163" s="154">
        <f>'график анн Комп 7%'!A158</f>
        <v>134</v>
      </c>
      <c r="B163" s="149">
        <f ca="1">'график анн Комп 7%'!C158</f>
        <v>48566</v>
      </c>
      <c r="C163" s="156">
        <f ca="1">'график анн Комп 7%'!D158</f>
        <v>30</v>
      </c>
      <c r="D163" s="151">
        <f ca="1">'график анн Комп 7%'!E158</f>
        <v>1467708.3929502182</v>
      </c>
      <c r="E163" s="47">
        <f ca="1">'график анн Комп 7%'!H158</f>
        <v>16169.016147962137</v>
      </c>
      <c r="F163" s="47">
        <f ca="1">'график анн Комп 7%'!F158</f>
        <v>7680.4774415982611</v>
      </c>
      <c r="G163" s="47">
        <f ca="1">'график анн Комп 7%'!G158</f>
        <v>8488.5387063638755</v>
      </c>
      <c r="H163" s="157">
        <f>'график анн Комп 7%'!O158</f>
        <v>0</v>
      </c>
      <c r="I163" s="223" t="str">
        <f>'график анн Комп 7%'!M158</f>
        <v/>
      </c>
      <c r="J163" s="223" t="str">
        <f>'график анн Комп 7%'!N158</f>
        <v/>
      </c>
      <c r="K163" s="223" t="str">
        <f>'график анн Комп 7%'!I158</f>
        <v/>
      </c>
      <c r="L163" s="223" t="str">
        <f>'график анн Комп 7%'!J158</f>
        <v/>
      </c>
      <c r="M163" s="157">
        <f>'график анн Комп 7%'!K158</f>
        <v>0</v>
      </c>
      <c r="N163" s="223" t="str">
        <f>'график анн Комп 7%'!L158</f>
        <v/>
      </c>
      <c r="O163" s="51" t="str">
        <f>'график анн Комп 7%'!P158</f>
        <v/>
      </c>
      <c r="P163" s="49" t="str">
        <f>'график анн Комп 7%'!Q158</f>
        <v/>
      </c>
    </row>
    <row r="164" spans="1:16" x14ac:dyDescent="0.35">
      <c r="A164" s="154">
        <f>'график анн Комп 7%'!A159</f>
        <v>135</v>
      </c>
      <c r="B164" s="149">
        <f ca="1">'график анн Комп 7%'!C159</f>
        <v>48597</v>
      </c>
      <c r="C164" s="156">
        <f ca="1">'график анн Комп 7%'!D159</f>
        <v>31</v>
      </c>
      <c r="D164" s="151">
        <f ca="1">'график анн Комп 7%'!E159</f>
        <v>1460462.6587254608</v>
      </c>
      <c r="E164" s="47">
        <f ca="1">'график анн Комп 7%'!H159</f>
        <v>15971.562204762926</v>
      </c>
      <c r="F164" s="47">
        <f ca="1">'график анн Комп 7%'!F159</f>
        <v>7245.7342247575198</v>
      </c>
      <c r="G164" s="47">
        <f ca="1">'график анн Комп 7%'!G159</f>
        <v>8725.8279800054061</v>
      </c>
      <c r="H164" s="157">
        <f>'график анн Комп 7%'!O159</f>
        <v>0</v>
      </c>
      <c r="I164" s="223" t="str">
        <f>'график анн Комп 7%'!M159</f>
        <v/>
      </c>
      <c r="J164" s="223" t="str">
        <f>'график анн Комп 7%'!N159</f>
        <v/>
      </c>
      <c r="K164" s="223" t="str">
        <f>'график анн Комп 7%'!I159</f>
        <v/>
      </c>
      <c r="L164" s="223" t="str">
        <f>'график анн Комп 7%'!J159</f>
        <v/>
      </c>
      <c r="M164" s="157">
        <f>'график анн Комп 7%'!K159</f>
        <v>0</v>
      </c>
      <c r="N164" s="223" t="str">
        <f>'график анн Комп 7%'!L159</f>
        <v/>
      </c>
      <c r="O164" s="51" t="str">
        <f>'график анн Комп 7%'!P159</f>
        <v/>
      </c>
      <c r="P164" s="49" t="str">
        <f>'график анн Комп 7%'!Q159</f>
        <v/>
      </c>
    </row>
    <row r="165" spans="1:16" x14ac:dyDescent="0.35">
      <c r="A165" s="154">
        <f>'график анн Комп 7%'!A160</f>
        <v>136</v>
      </c>
      <c r="B165" s="149">
        <f ca="1">'график анн Комп 7%'!C160</f>
        <v>48628</v>
      </c>
      <c r="C165" s="156">
        <f ca="1">'график анн Комп 7%'!D160</f>
        <v>31</v>
      </c>
      <c r="D165" s="151">
        <f ca="1">'график анн Комп 7%'!E160</f>
        <v>1453181.5846350938</v>
      </c>
      <c r="E165" s="47">
        <f ca="1">'график анн Комп 7%'!H160</f>
        <v>15963.824691556778</v>
      </c>
      <c r="F165" s="47">
        <f ca="1">'график анн Комп 7%'!F160</f>
        <v>7281.0740903670521</v>
      </c>
      <c r="G165" s="47">
        <f ca="1">'график анн Комп 7%'!G160</f>
        <v>8682.7506011897258</v>
      </c>
      <c r="H165" s="157">
        <f>'график анн Комп 7%'!O160</f>
        <v>0</v>
      </c>
      <c r="I165" s="223" t="str">
        <f>'график анн Комп 7%'!M160</f>
        <v/>
      </c>
      <c r="J165" s="223" t="str">
        <f>'график анн Комп 7%'!N160</f>
        <v/>
      </c>
      <c r="K165" s="223" t="str">
        <f>'график анн Комп 7%'!I160</f>
        <v/>
      </c>
      <c r="L165" s="223" t="str">
        <f>'график анн Комп 7%'!J160</f>
        <v/>
      </c>
      <c r="M165" s="157">
        <f>'график анн Комп 7%'!K160</f>
        <v>0</v>
      </c>
      <c r="N165" s="223" t="str">
        <f>'график анн Комп 7%'!L160</f>
        <v/>
      </c>
      <c r="O165" s="51" t="str">
        <f>'график анн Комп 7%'!P160</f>
        <v/>
      </c>
      <c r="P165" s="49" t="str">
        <f>'график анн Комп 7%'!Q160</f>
        <v/>
      </c>
    </row>
    <row r="166" spans="1:16" x14ac:dyDescent="0.35">
      <c r="A166" s="154">
        <f>'график анн Комп 7%'!A161</f>
        <v>137</v>
      </c>
      <c r="B166" s="149">
        <f ca="1">'график анн Комп 7%'!C161</f>
        <v>48656</v>
      </c>
      <c r="C166" s="156">
        <f ca="1">'график анн Комп 7%'!D161</f>
        <v>28</v>
      </c>
      <c r="D166" s="151">
        <f ca="1">'график анн Комп 7%'!E161</f>
        <v>1444284.9922287792</v>
      </c>
      <c r="E166" s="47">
        <f ca="1">'график анн Комп 7%'!H161</f>
        <v>16699.978449834613</v>
      </c>
      <c r="F166" s="47">
        <f ca="1">'график анн Комп 7%'!F161</f>
        <v>8896.5924063146558</v>
      </c>
      <c r="G166" s="47">
        <f ca="1">'график анн Комп 7%'!G161</f>
        <v>7803.3860435199567</v>
      </c>
      <c r="H166" s="157">
        <f>'график анн Комп 7%'!O161</f>
        <v>0</v>
      </c>
      <c r="I166" s="223" t="str">
        <f>'график анн Комп 7%'!M161</f>
        <v/>
      </c>
      <c r="J166" s="223" t="str">
        <f>'график анн Комп 7%'!N161</f>
        <v/>
      </c>
      <c r="K166" s="223" t="str">
        <f>'график анн Комп 7%'!I161</f>
        <v/>
      </c>
      <c r="L166" s="223" t="str">
        <f>'график анн Комп 7%'!J161</f>
        <v/>
      </c>
      <c r="M166" s="157">
        <f>'график анн Комп 7%'!K161</f>
        <v>0</v>
      </c>
      <c r="N166" s="223" t="str">
        <f>'график анн Комп 7%'!L161</f>
        <v/>
      </c>
      <c r="O166" s="51" t="str">
        <f>'график анн Комп 7%'!P161</f>
        <v/>
      </c>
      <c r="P166" s="49" t="str">
        <f>'график анн Комп 7%'!Q161</f>
        <v/>
      </c>
    </row>
    <row r="167" spans="1:16" x14ac:dyDescent="0.35">
      <c r="A167" s="154">
        <f>'график анн Комп 7%'!A162</f>
        <v>138</v>
      </c>
      <c r="B167" s="149">
        <f ca="1">'график анн Комп 7%'!C162</f>
        <v>48687</v>
      </c>
      <c r="C167" s="156">
        <f ca="1">'график анн Комп 7%'!D162</f>
        <v>31</v>
      </c>
      <c r="D167" s="151">
        <f ca="1">'график анн Комп 7%'!E162</f>
        <v>1436827.2225623692</v>
      </c>
      <c r="E167" s="47">
        <f ca="1">'график анн Комп 7%'!H162</f>
        <v>16044.340716098892</v>
      </c>
      <c r="F167" s="47">
        <f ca="1">'график анн Комп 7%'!F162</f>
        <v>7457.769666409984</v>
      </c>
      <c r="G167" s="47">
        <f ca="1">'график анн Комп 7%'!G162</f>
        <v>8586.5710496889078</v>
      </c>
      <c r="H167" s="157">
        <f>'график анн Комп 7%'!O162</f>
        <v>0</v>
      </c>
      <c r="I167" s="223" t="str">
        <f>'график анн Комп 7%'!M162</f>
        <v/>
      </c>
      <c r="J167" s="223" t="str">
        <f>'график анн Комп 7%'!N162</f>
        <v/>
      </c>
      <c r="K167" s="223" t="str">
        <f>'график анн Комп 7%'!I162</f>
        <v/>
      </c>
      <c r="L167" s="223" t="str">
        <f>'график анн Комп 7%'!J162</f>
        <v/>
      </c>
      <c r="M167" s="157">
        <f>'график анн Комп 7%'!K162</f>
        <v>0</v>
      </c>
      <c r="N167" s="223" t="str">
        <f>'график анн Комп 7%'!L162</f>
        <v/>
      </c>
      <c r="O167" s="51" t="str">
        <f>'график анн Комп 7%'!P162</f>
        <v/>
      </c>
      <c r="P167" s="49" t="str">
        <f>'график анн Комп 7%'!Q162</f>
        <v/>
      </c>
    </row>
    <row r="168" spans="1:16" x14ac:dyDescent="0.35">
      <c r="A168" s="154">
        <f>'график анн Комп 7%'!A163</f>
        <v>139</v>
      </c>
      <c r="B168" s="149">
        <f ca="1">'график анн Комп 7%'!C163</f>
        <v>48717</v>
      </c>
      <c r="C168" s="156">
        <f ca="1">'график анн Комп 7%'!D163</f>
        <v>30</v>
      </c>
      <c r="D168" s="151">
        <f ca="1">'график анн Комп 7%'!E163</f>
        <v>1428781.7621415108</v>
      </c>
      <c r="E168" s="47">
        <f ca="1">'график анн Комп 7%'!H163</f>
        <v>16312.137591765068</v>
      </c>
      <c r="F168" s="47">
        <f ca="1">'график анн Комп 7%'!F163</f>
        <v>8045.4604208582859</v>
      </c>
      <c r="G168" s="47">
        <f ca="1">'график анн Комп 7%'!G163</f>
        <v>8266.6771709067816</v>
      </c>
      <c r="H168" s="157">
        <f>'график анн Комп 7%'!O163</f>
        <v>0</v>
      </c>
      <c r="I168" s="223" t="str">
        <f>'график анн Комп 7%'!M163</f>
        <v/>
      </c>
      <c r="J168" s="223" t="str">
        <f>'график анн Комп 7%'!N163</f>
        <v/>
      </c>
      <c r="K168" s="223" t="str">
        <f>'график анн Комп 7%'!I163</f>
        <v/>
      </c>
      <c r="L168" s="223" t="str">
        <f>'график анн Комп 7%'!J163</f>
        <v/>
      </c>
      <c r="M168" s="157">
        <f>'график анн Комп 7%'!K163</f>
        <v>0</v>
      </c>
      <c r="N168" s="223" t="str">
        <f>'график анн Комп 7%'!L163</f>
        <v/>
      </c>
      <c r="O168" s="51" t="str">
        <f>'график анн Комп 7%'!P163</f>
        <v/>
      </c>
      <c r="P168" s="49" t="str">
        <f>'график анн Комп 7%'!Q163</f>
        <v/>
      </c>
    </row>
    <row r="169" spans="1:16" x14ac:dyDescent="0.35">
      <c r="A169" s="154">
        <f>'график анн Комп 7%'!A164</f>
        <v>140</v>
      </c>
      <c r="B169" s="149">
        <f ca="1">'график анн Комп 7%'!C164</f>
        <v>48748</v>
      </c>
      <c r="C169" s="156">
        <f ca="1">'график анн Комп 7%'!D164</f>
        <v>31</v>
      </c>
      <c r="D169" s="151">
        <f ca="1">'график анн Комп 7%'!E164</f>
        <v>1421154.6632228654</v>
      </c>
      <c r="E169" s="47">
        <f ca="1">'график анн Комп 7%'!H164</f>
        <v>16121.500079870211</v>
      </c>
      <c r="F169" s="47">
        <f ca="1">'график анн Комп 7%'!F164</f>
        <v>7627.0989186453371</v>
      </c>
      <c r="G169" s="47">
        <f ca="1">'график анн Комп 7%'!G164</f>
        <v>8494.4011612248742</v>
      </c>
      <c r="H169" s="157">
        <f>'график анн Комп 7%'!O164</f>
        <v>0</v>
      </c>
      <c r="I169" s="223" t="str">
        <f>'график анн Комп 7%'!M164</f>
        <v/>
      </c>
      <c r="J169" s="223" t="str">
        <f>'график анн Комп 7%'!N164</f>
        <v/>
      </c>
      <c r="K169" s="223" t="str">
        <f>'график анн Комп 7%'!I164</f>
        <v/>
      </c>
      <c r="L169" s="223" t="str">
        <f>'график анн Комп 7%'!J164</f>
        <v/>
      </c>
      <c r="M169" s="157">
        <f>'график анн Комп 7%'!K164</f>
        <v>0</v>
      </c>
      <c r="N169" s="223" t="str">
        <f>'график анн Комп 7%'!L164</f>
        <v/>
      </c>
      <c r="O169" s="51" t="str">
        <f>'график анн Комп 7%'!P164</f>
        <v/>
      </c>
      <c r="P169" s="49" t="str">
        <f>'график анн Комп 7%'!Q164</f>
        <v/>
      </c>
    </row>
    <row r="170" spans="1:16" x14ac:dyDescent="0.35">
      <c r="A170" s="154">
        <f>'график анн Комп 7%'!A165</f>
        <v>141</v>
      </c>
      <c r="B170" s="149">
        <f ca="1">'график анн Комп 7%'!C165</f>
        <v>48778</v>
      </c>
      <c r="C170" s="156">
        <f ca="1">'график анн Комп 7%'!D165</f>
        <v>30</v>
      </c>
      <c r="D170" s="151">
        <f ca="1">'график анн Комп 7%'!E165</f>
        <v>1412943.5459967146</v>
      </c>
      <c r="E170" s="47">
        <f ca="1">'график анн Комп 7%'!H165</f>
        <v>16387.623507707118</v>
      </c>
      <c r="F170" s="47">
        <f ca="1">'график анн Комп 7%'!F165</f>
        <v>8211.1172261509055</v>
      </c>
      <c r="G170" s="47">
        <f ca="1">'график анн Комп 7%'!G165</f>
        <v>8176.5062815562133</v>
      </c>
      <c r="H170" s="157">
        <f>'график анн Комп 7%'!O165</f>
        <v>0</v>
      </c>
      <c r="I170" s="223" t="str">
        <f>'график анн Комп 7%'!M165</f>
        <v/>
      </c>
      <c r="J170" s="223" t="str">
        <f>'график анн Комп 7%'!N165</f>
        <v/>
      </c>
      <c r="K170" s="223" t="str">
        <f>'график анн Комп 7%'!I165</f>
        <v/>
      </c>
      <c r="L170" s="223" t="str">
        <f>'график анн Комп 7%'!J165</f>
        <v/>
      </c>
      <c r="M170" s="157">
        <f>'график анн Комп 7%'!K165</f>
        <v>0</v>
      </c>
      <c r="N170" s="223" t="str">
        <f>'график анн Комп 7%'!L165</f>
        <v/>
      </c>
      <c r="O170" s="51" t="str">
        <f>'график анн Комп 7%'!P165</f>
        <v/>
      </c>
      <c r="P170" s="49" t="str">
        <f>'график анн Комп 7%'!Q165</f>
        <v/>
      </c>
    </row>
    <row r="171" spans="1:16" x14ac:dyDescent="0.35">
      <c r="A171" s="154">
        <f>'график анн Комп 7%'!A166</f>
        <v>142</v>
      </c>
      <c r="B171" s="149">
        <f ca="1">'график анн Комп 7%'!C166</f>
        <v>48809</v>
      </c>
      <c r="C171" s="156">
        <f ca="1">'график анн Комп 7%'!D166</f>
        <v>31</v>
      </c>
      <c r="D171" s="151">
        <f ca="1">'график анн Комп 7%'!E166</f>
        <v>1405143.4590438697</v>
      </c>
      <c r="E171" s="47">
        <f ca="1">'график анн Комп 7%'!H166</f>
        <v>16200.326664660997</v>
      </c>
      <c r="F171" s="47">
        <f ca="1">'график анн Комп 7%'!F166</f>
        <v>7800.086952844913</v>
      </c>
      <c r="G171" s="47">
        <f ca="1">'график анн Комп 7%'!G166</f>
        <v>8400.2397118160843</v>
      </c>
      <c r="H171" s="157">
        <f>'график анн Комп 7%'!O166</f>
        <v>0</v>
      </c>
      <c r="I171" s="223" t="str">
        <f>'график анн Комп 7%'!M166</f>
        <v/>
      </c>
      <c r="J171" s="223" t="str">
        <f>'график анн Комп 7%'!N166</f>
        <v/>
      </c>
      <c r="K171" s="223" t="str">
        <f>'график анн Комп 7%'!I166</f>
        <v/>
      </c>
      <c r="L171" s="223" t="str">
        <f>'график анн Комп 7%'!J166</f>
        <v/>
      </c>
      <c r="M171" s="157">
        <f>'график анн Комп 7%'!K166</f>
        <v>0</v>
      </c>
      <c r="N171" s="223" t="str">
        <f>'график анн Комп 7%'!L166</f>
        <v/>
      </c>
      <c r="O171" s="51" t="str">
        <f>'график анн Комп 7%'!P166</f>
        <v/>
      </c>
      <c r="P171" s="49" t="str">
        <f>'график анн Комп 7%'!Q166</f>
        <v/>
      </c>
    </row>
    <row r="172" spans="1:16" x14ac:dyDescent="0.35">
      <c r="A172" s="154">
        <f>'график анн Комп 7%'!A167</f>
        <v>143</v>
      </c>
      <c r="B172" s="149">
        <f ca="1">'график анн Комп 7%'!C167</f>
        <v>48840</v>
      </c>
      <c r="C172" s="156">
        <f ca="1">'график анн Комп 7%'!D167</f>
        <v>31</v>
      </c>
      <c r="D172" s="151">
        <f ca="1">'график анн Комп 7%'!E167</f>
        <v>1397258.1780454188</v>
      </c>
      <c r="E172" s="47">
        <f ca="1">'график анн Комп 7%'!H167</f>
        <v>16239.147590574799</v>
      </c>
      <c r="F172" s="47">
        <f ca="1">'график анн Комп 7%'!F167</f>
        <v>7885.2809984509695</v>
      </c>
      <c r="G172" s="47">
        <f ca="1">'график анн Комп 7%'!G167</f>
        <v>8353.8665921238298</v>
      </c>
      <c r="H172" s="157">
        <f>'график анн Комп 7%'!O167</f>
        <v>0</v>
      </c>
      <c r="I172" s="223" t="str">
        <f>'график анн Комп 7%'!M167</f>
        <v/>
      </c>
      <c r="J172" s="223" t="str">
        <f>'график анн Комп 7%'!N167</f>
        <v/>
      </c>
      <c r="K172" s="223" t="str">
        <f>'график анн Комп 7%'!I167</f>
        <v/>
      </c>
      <c r="L172" s="223" t="str">
        <f>'график анн Комп 7%'!J167</f>
        <v/>
      </c>
      <c r="M172" s="157">
        <f>'график анн Комп 7%'!K167</f>
        <v>0</v>
      </c>
      <c r="N172" s="223" t="str">
        <f>'график анн Комп 7%'!L167</f>
        <v/>
      </c>
      <c r="O172" s="51" t="str">
        <f>'график анн Комп 7%'!P167</f>
        <v/>
      </c>
      <c r="P172" s="49" t="str">
        <f>'график анн Комп 7%'!Q167</f>
        <v/>
      </c>
    </row>
    <row r="173" spans="1:16" x14ac:dyDescent="0.35">
      <c r="A173" s="154">
        <f>'график анн Комп 7%'!A168</f>
        <v>144</v>
      </c>
      <c r="B173" s="149">
        <f ca="1">'график анн Комп 7%'!C168</f>
        <v>48870</v>
      </c>
      <c r="C173" s="156">
        <f ca="1">'график анн Комп 7%'!D168</f>
        <v>30</v>
      </c>
      <c r="D173" s="151">
        <f ca="1">'график анн Комп 7%'!E168</f>
        <v>1388794.4782444334</v>
      </c>
      <c r="E173" s="47">
        <f ca="1">'график анн Комп 7%'!H168</f>
        <v>16502.719455493287</v>
      </c>
      <c r="F173" s="47">
        <f ca="1">'график анн Комп 7%'!F168</f>
        <v>8463.699800985396</v>
      </c>
      <c r="G173" s="47">
        <f ca="1">'график анн Комп 7%'!G168</f>
        <v>8039.0196545078907</v>
      </c>
      <c r="H173" s="157">
        <f>'график анн Комп 7%'!O168</f>
        <v>0</v>
      </c>
      <c r="I173" s="223" t="str">
        <f>'график анн Комп 7%'!M168</f>
        <v/>
      </c>
      <c r="J173" s="223" t="str">
        <f>'график анн Комп 7%'!N168</f>
        <v/>
      </c>
      <c r="K173" s="223" t="str">
        <f>'график анн Комп 7%'!I168</f>
        <v/>
      </c>
      <c r="L173" s="223" t="str">
        <f>'график анн Комп 7%'!J168</f>
        <v/>
      </c>
      <c r="M173" s="157">
        <f>'график анн Комп 7%'!K168</f>
        <v>0</v>
      </c>
      <c r="N173" s="223" t="str">
        <f>'график анн Комп 7%'!L168</f>
        <v/>
      </c>
      <c r="O173" s="51" t="str">
        <f>'график анн Комп 7%'!P168</f>
        <v/>
      </c>
      <c r="P173" s="49" t="str">
        <f>'график анн Комп 7%'!Q168</f>
        <v/>
      </c>
    </row>
    <row r="174" spans="1:16" x14ac:dyDescent="0.35">
      <c r="A174" s="154">
        <f>'график анн Комп 7%'!A169</f>
        <v>145</v>
      </c>
      <c r="B174" s="149">
        <f ca="1">'график анн Комп 7%'!C169</f>
        <v>48901</v>
      </c>
      <c r="C174" s="156">
        <f ca="1">'график анн Комп 7%'!D169</f>
        <v>31</v>
      </c>
      <c r="D174" s="151">
        <f ca="1">'график анн Комп 7%'!E169</f>
        <v>1380730.6305422699</v>
      </c>
      <c r="E174" s="47">
        <f ca="1">'график анн Комп 7%'!H169</f>
        <v>16320.516244054954</v>
      </c>
      <c r="F174" s="47">
        <f ca="1">'график анн Комп 7%'!F169</f>
        <v>8063.8477021633898</v>
      </c>
      <c r="G174" s="47">
        <f ca="1">'график анн Комп 7%'!G169</f>
        <v>8256.668541891564</v>
      </c>
      <c r="H174" s="157">
        <f>'график анн Комп 7%'!O169</f>
        <v>0</v>
      </c>
      <c r="I174" s="223" t="str">
        <f>'график анн Комп 7%'!M169</f>
        <v/>
      </c>
      <c r="J174" s="223">
        <f>'график анн Комп 7%'!N169</f>
        <v>0</v>
      </c>
      <c r="K174" s="223" t="str">
        <f>'график анн Комп 7%'!I169</f>
        <v/>
      </c>
      <c r="L174" s="223" t="str">
        <f>'график анн Комп 7%'!J169</f>
        <v/>
      </c>
      <c r="M174" s="201">
        <f>'график анн Комп 7%'!K169</f>
        <v>7500</v>
      </c>
      <c r="N174" s="223" t="str">
        <f>'график анн Комп 7%'!L169</f>
        <v/>
      </c>
      <c r="O174" s="51" t="str">
        <f>'график анн Комп 7%'!P169</f>
        <v/>
      </c>
      <c r="P174" s="49" t="str">
        <f>'график анн Комп 7%'!Q169</f>
        <v/>
      </c>
    </row>
    <row r="175" spans="1:16" x14ac:dyDescent="0.35">
      <c r="A175" s="154">
        <f>'график анн Комп 7%'!A170</f>
        <v>146</v>
      </c>
      <c r="B175" s="149">
        <f ca="1">'график анн Комп 7%'!C170</f>
        <v>48931</v>
      </c>
      <c r="C175" s="156">
        <f ca="1">'график анн Комп 7%'!D170</f>
        <v>30</v>
      </c>
      <c r="D175" s="151">
        <f ca="1">'график анн Комп 7%'!E170</f>
        <v>1372092.2368282238</v>
      </c>
      <c r="E175" s="47">
        <f ca="1">'график анн Комп 7%'!H170</f>
        <v>16582.323369220783</v>
      </c>
      <c r="F175" s="47">
        <f ca="1">'график анн Комп 7%'!F170</f>
        <v>8638.3937140460785</v>
      </c>
      <c r="G175" s="47">
        <f ca="1">'график анн Комп 7%'!G170</f>
        <v>7943.9296551747047</v>
      </c>
      <c r="H175" s="157">
        <f>'график анн Комп 7%'!O170</f>
        <v>0</v>
      </c>
      <c r="I175" s="223" t="str">
        <f>'график анн Комп 7%'!M170</f>
        <v/>
      </c>
      <c r="J175" s="223" t="str">
        <f>'график анн Комп 7%'!N170</f>
        <v/>
      </c>
      <c r="K175" s="223" t="str">
        <f>'график анн Комп 7%'!I170</f>
        <v/>
      </c>
      <c r="L175" s="223" t="str">
        <f>'график анн Комп 7%'!J170</f>
        <v/>
      </c>
      <c r="M175" s="157">
        <f>'график анн Комп 7%'!K170</f>
        <v>0</v>
      </c>
      <c r="N175" s="223" t="str">
        <f>'график анн Комп 7%'!L170</f>
        <v/>
      </c>
      <c r="O175" s="51" t="str">
        <f>'график анн Комп 7%'!P170</f>
        <v/>
      </c>
      <c r="P175" s="49" t="str">
        <f>'график анн Комп 7%'!Q170</f>
        <v/>
      </c>
    </row>
    <row r="176" spans="1:16" x14ac:dyDescent="0.35">
      <c r="A176" s="154">
        <f>'график анн Комп 7%'!A171</f>
        <v>147</v>
      </c>
      <c r="B176" s="149">
        <f ca="1">'график анн Комп 7%'!C171</f>
        <v>48962</v>
      </c>
      <c r="C176" s="156">
        <f ca="1">'график анн Комп 7%'!D171</f>
        <v>31</v>
      </c>
      <c r="D176" s="151">
        <f ca="1">'график анн Комп 7%'!E171</f>
        <v>1363845.964042143</v>
      </c>
      <c r="E176" s="47">
        <f ca="1">'график анн Комп 7%'!H171</f>
        <v>16403.643070785602</v>
      </c>
      <c r="F176" s="47">
        <f ca="1">'график анн Комп 7%'!F171</f>
        <v>8246.2727860808172</v>
      </c>
      <c r="G176" s="47">
        <f ca="1">'график анн Комп 7%'!G171</f>
        <v>8157.3702847047834</v>
      </c>
      <c r="H176" s="157">
        <f>'график анн Комп 7%'!O171</f>
        <v>0</v>
      </c>
      <c r="I176" s="223" t="str">
        <f>'график анн Комп 7%'!M171</f>
        <v/>
      </c>
      <c r="J176" s="223" t="str">
        <f>'график анн Комп 7%'!N171</f>
        <v/>
      </c>
      <c r="K176" s="223" t="str">
        <f>'график анн Комп 7%'!I171</f>
        <v/>
      </c>
      <c r="L176" s="223" t="str">
        <f>'график анн Комп 7%'!J171</f>
        <v/>
      </c>
      <c r="M176" s="157">
        <f>'график анн Комп 7%'!K171</f>
        <v>0</v>
      </c>
      <c r="N176" s="223" t="str">
        <f>'график анн Комп 7%'!L171</f>
        <v/>
      </c>
      <c r="O176" s="51" t="str">
        <f>'график анн Комп 7%'!P171</f>
        <v/>
      </c>
      <c r="P176" s="49" t="str">
        <f>'график анн Комп 7%'!Q171</f>
        <v/>
      </c>
    </row>
    <row r="177" spans="1:16" x14ac:dyDescent="0.35">
      <c r="A177" s="154">
        <f>'график анн Комп 7%'!A172</f>
        <v>148</v>
      </c>
      <c r="B177" s="149">
        <f ca="1">'график анн Комп 7%'!C172</f>
        <v>48993</v>
      </c>
      <c r="C177" s="156">
        <f ca="1">'график анн Комп 7%'!D172</f>
        <v>31</v>
      </c>
      <c r="D177" s="151">
        <f ca="1">'график анн Комп 7%'!E172</f>
        <v>1355509.6238832157</v>
      </c>
      <c r="E177" s="47">
        <f ca="1">'график анн Комп 7%'!H172</f>
        <v>16444.684657479283</v>
      </c>
      <c r="F177" s="47">
        <f ca="1">'график анн Комп 7%'!F172</f>
        <v>8336.3401589273653</v>
      </c>
      <c r="G177" s="47">
        <f ca="1">'график анн Комп 7%'!G172</f>
        <v>8108.3444985519191</v>
      </c>
      <c r="H177" s="157">
        <f>'график анн Комп 7%'!O172</f>
        <v>0</v>
      </c>
      <c r="I177" s="223" t="str">
        <f>'график анн Комп 7%'!M172</f>
        <v/>
      </c>
      <c r="J177" s="223" t="str">
        <f>'график анн Комп 7%'!N172</f>
        <v/>
      </c>
      <c r="K177" s="223" t="str">
        <f>'график анн Комп 7%'!I172</f>
        <v/>
      </c>
      <c r="L177" s="223" t="str">
        <f>'график анн Комп 7%'!J172</f>
        <v/>
      </c>
      <c r="M177" s="157">
        <f>'график анн Комп 7%'!K172</f>
        <v>0</v>
      </c>
      <c r="N177" s="223" t="str">
        <f>'график анн Комп 7%'!L172</f>
        <v/>
      </c>
      <c r="O177" s="51" t="str">
        <f>'график анн Комп 7%'!P172</f>
        <v/>
      </c>
      <c r="P177" s="49" t="str">
        <f>'график анн Комп 7%'!Q172</f>
        <v/>
      </c>
    </row>
    <row r="178" spans="1:16" x14ac:dyDescent="0.35">
      <c r="A178" s="154">
        <f>'график анн Комп 7%'!A173</f>
        <v>149</v>
      </c>
      <c r="B178" s="149">
        <f ca="1">'график анн Комп 7%'!C173</f>
        <v>49021</v>
      </c>
      <c r="C178" s="156">
        <f ca="1">'график анн Комп 7%'!D173</f>
        <v>28</v>
      </c>
      <c r="D178" s="151">
        <f ca="1">'график анн Комп 7%'!E173</f>
        <v>1345649.4775145028</v>
      </c>
      <c r="E178" s="47">
        <f ca="1">'график анн Комп 7%'!H173</f>
        <v>17139.04736271593</v>
      </c>
      <c r="F178" s="47">
        <f ca="1">'график анн Комп 7%'!F173</f>
        <v>9860.146368712909</v>
      </c>
      <c r="G178" s="47">
        <f ca="1">'график анн Комп 7%'!G173</f>
        <v>7278.9009940030219</v>
      </c>
      <c r="H178" s="157">
        <f>'график анн Комп 7%'!O173</f>
        <v>0</v>
      </c>
      <c r="I178" s="223" t="str">
        <f>'график анн Комп 7%'!M173</f>
        <v/>
      </c>
      <c r="J178" s="223" t="str">
        <f>'график анн Комп 7%'!N173</f>
        <v/>
      </c>
      <c r="K178" s="223" t="str">
        <f>'график анн Комп 7%'!I173</f>
        <v/>
      </c>
      <c r="L178" s="223" t="str">
        <f>'график анн Комп 7%'!J173</f>
        <v/>
      </c>
      <c r="M178" s="157">
        <f>'график анн Комп 7%'!K173</f>
        <v>0</v>
      </c>
      <c r="N178" s="223" t="str">
        <f>'график анн Комп 7%'!L173</f>
        <v/>
      </c>
      <c r="O178" s="51" t="str">
        <f>'график анн Комп 7%'!P173</f>
        <v/>
      </c>
      <c r="P178" s="49" t="str">
        <f>'график анн Комп 7%'!Q173</f>
        <v/>
      </c>
    </row>
    <row r="179" spans="1:16" x14ac:dyDescent="0.35">
      <c r="A179" s="154">
        <f>'график анн Комп 7%'!A174</f>
        <v>150</v>
      </c>
      <c r="B179" s="149">
        <f ca="1">'график анн Комп 7%'!C174</f>
        <v>49052</v>
      </c>
      <c r="C179" s="156">
        <f ca="1">'график анн Комп 7%'!D174</f>
        <v>31</v>
      </c>
      <c r="D179" s="151">
        <f ca="1">'график анн Комп 7%'!E174</f>
        <v>1337114.3918399834</v>
      </c>
      <c r="E179" s="47">
        <f ca="1">'график анн Комп 7%'!H174</f>
        <v>16535.248321660412</v>
      </c>
      <c r="F179" s="47">
        <f ca="1">'график анн Комп 7%'!F174</f>
        <v>8535.0856745193942</v>
      </c>
      <c r="G179" s="47">
        <f ca="1">'график анн Комп 7%'!G174</f>
        <v>8000.1626471410173</v>
      </c>
      <c r="H179" s="157">
        <f>'график анн Комп 7%'!O174</f>
        <v>0</v>
      </c>
      <c r="I179" s="223" t="str">
        <f>'график анн Комп 7%'!M174</f>
        <v/>
      </c>
      <c r="J179" s="223" t="str">
        <f>'график анн Комп 7%'!N174</f>
        <v/>
      </c>
      <c r="K179" s="223" t="str">
        <f>'график анн Комп 7%'!I174</f>
        <v/>
      </c>
      <c r="L179" s="223" t="str">
        <f>'график анн Комп 7%'!J174</f>
        <v/>
      </c>
      <c r="M179" s="157">
        <f>'график анн Комп 7%'!K174</f>
        <v>0</v>
      </c>
      <c r="N179" s="223" t="str">
        <f>'график анн Комп 7%'!L174</f>
        <v/>
      </c>
      <c r="O179" s="51" t="str">
        <f>'график анн Комп 7%'!P174</f>
        <v/>
      </c>
      <c r="P179" s="49" t="str">
        <f>'график анн Комп 7%'!Q174</f>
        <v/>
      </c>
    </row>
    <row r="180" spans="1:16" x14ac:dyDescent="0.35">
      <c r="A180" s="154">
        <f>'график анн Комп 7%'!A175</f>
        <v>151</v>
      </c>
      <c r="B180" s="149">
        <f ca="1">'график анн Комп 7%'!C175</f>
        <v>49082</v>
      </c>
      <c r="C180" s="156">
        <f ca="1">'график анн Комп 7%'!D175</f>
        <v>30</v>
      </c>
      <c r="D180" s="151">
        <f ca="1">'график анн Комп 7%'!E175</f>
        <v>1328014.9804576815</v>
      </c>
      <c r="E180" s="47">
        <f ca="1">'график анн Комп 7%'!H175</f>
        <v>16792.398294258095</v>
      </c>
      <c r="F180" s="47">
        <f ca="1">'график анн Комп 7%'!F175</f>
        <v>9099.4113823020271</v>
      </c>
      <c r="G180" s="47">
        <f ca="1">'график анн Комп 7%'!G175</f>
        <v>7692.986911956069</v>
      </c>
      <c r="H180" s="157">
        <f>'график анн Комп 7%'!O175</f>
        <v>0</v>
      </c>
      <c r="I180" s="223" t="str">
        <f>'график анн Комп 7%'!M175</f>
        <v/>
      </c>
      <c r="J180" s="223" t="str">
        <f>'график анн Комп 7%'!N175</f>
        <v/>
      </c>
      <c r="K180" s="223" t="str">
        <f>'график анн Комп 7%'!I175</f>
        <v/>
      </c>
      <c r="L180" s="223" t="str">
        <f>'график анн Комп 7%'!J175</f>
        <v/>
      </c>
      <c r="M180" s="157">
        <f>'график анн Комп 7%'!K175</f>
        <v>0</v>
      </c>
      <c r="N180" s="223" t="str">
        <f>'график анн Комп 7%'!L175</f>
        <v/>
      </c>
      <c r="O180" s="51" t="str">
        <f>'график анн Комп 7%'!P175</f>
        <v/>
      </c>
      <c r="P180" s="49" t="str">
        <f>'график анн Комп 7%'!Q175</f>
        <v/>
      </c>
    </row>
    <row r="181" spans="1:16" x14ac:dyDescent="0.35">
      <c r="A181" s="154">
        <f>'график анн Комп 7%'!A176</f>
        <v>152</v>
      </c>
      <c r="B181" s="149">
        <f ca="1">'график анн Комп 7%'!C176</f>
        <v>49113</v>
      </c>
      <c r="C181" s="156">
        <f ca="1">'график анн Комп 7%'!D176</f>
        <v>31</v>
      </c>
      <c r="D181" s="151">
        <f ca="1">'график анн Комп 7%'!E176</f>
        <v>1319287.2874243492</v>
      </c>
      <c r="E181" s="47">
        <f ca="1">'график анн Комп 7%'!H176</f>
        <v>16623.014971943758</v>
      </c>
      <c r="F181" s="47">
        <f ca="1">'график анн Комп 7%'!F176</f>
        <v>8727.6930333323344</v>
      </c>
      <c r="G181" s="47">
        <f ca="1">'график анн Комп 7%'!G176</f>
        <v>7895.3219386114224</v>
      </c>
      <c r="H181" s="157">
        <f>'график анн Комп 7%'!O176</f>
        <v>0</v>
      </c>
      <c r="I181" s="223" t="str">
        <f>'график анн Комп 7%'!M176</f>
        <v/>
      </c>
      <c r="J181" s="223" t="str">
        <f>'график анн Комп 7%'!N176</f>
        <v/>
      </c>
      <c r="K181" s="223" t="str">
        <f>'график анн Комп 7%'!I176</f>
        <v/>
      </c>
      <c r="L181" s="223" t="str">
        <f>'график анн Комп 7%'!J176</f>
        <v/>
      </c>
      <c r="M181" s="157">
        <f>'график анн Комп 7%'!K176</f>
        <v>0</v>
      </c>
      <c r="N181" s="223" t="str">
        <f>'график анн Комп 7%'!L176</f>
        <v/>
      </c>
      <c r="O181" s="51" t="str">
        <f>'график анн Комп 7%'!P176</f>
        <v/>
      </c>
      <c r="P181" s="49" t="str">
        <f>'график анн Комп 7%'!Q176</f>
        <v/>
      </c>
    </row>
    <row r="182" spans="1:16" x14ac:dyDescent="0.35">
      <c r="A182" s="154">
        <f>'график анн Комп 7%'!A177</f>
        <v>153</v>
      </c>
      <c r="B182" s="149">
        <f ca="1">'график анн Комп 7%'!C177</f>
        <v>49143</v>
      </c>
      <c r="C182" s="156">
        <f ca="1">'график анн Комп 7%'!D177</f>
        <v>30</v>
      </c>
      <c r="D182" s="151">
        <f ca="1">'график анн Комп 7%'!E177</f>
        <v>1309999.445990443</v>
      </c>
      <c r="E182" s="47">
        <f ca="1">'график анн Комп 7%'!H177</f>
        <v>16878.261443744901</v>
      </c>
      <c r="F182" s="47">
        <f ca="1">'график анн Комп 7%'!F177</f>
        <v>9287.8414339061801</v>
      </c>
      <c r="G182" s="47">
        <f ca="1">'график анн Комп 7%'!G177</f>
        <v>7590.4200098387219</v>
      </c>
      <c r="H182" s="157">
        <f>'график анн Комп 7%'!O177</f>
        <v>0</v>
      </c>
      <c r="I182" s="223" t="str">
        <f>'график анн Комп 7%'!M177</f>
        <v/>
      </c>
      <c r="J182" s="223" t="str">
        <f>'график анн Комп 7%'!N177</f>
        <v/>
      </c>
      <c r="K182" s="223" t="str">
        <f>'график анн Комп 7%'!I177</f>
        <v/>
      </c>
      <c r="L182" s="223" t="str">
        <f>'график анн Комп 7%'!J177</f>
        <v/>
      </c>
      <c r="M182" s="157">
        <f>'график анн Комп 7%'!K177</f>
        <v>0</v>
      </c>
      <c r="N182" s="223" t="str">
        <f>'график анн Комп 7%'!L177</f>
        <v/>
      </c>
      <c r="O182" s="51" t="str">
        <f>'график анн Комп 7%'!P177</f>
        <v/>
      </c>
      <c r="P182" s="49" t="str">
        <f>'график анн Комп 7%'!Q177</f>
        <v/>
      </c>
    </row>
    <row r="183" spans="1:16" x14ac:dyDescent="0.35">
      <c r="A183" s="154">
        <f>'график анн Комп 7%'!A178</f>
        <v>154</v>
      </c>
      <c r="B183" s="149">
        <f ca="1">'график анн Комп 7%'!C178</f>
        <v>49174</v>
      </c>
      <c r="C183" s="156">
        <f ca="1">'график анн Комп 7%'!D178</f>
        <v>31</v>
      </c>
      <c r="D183" s="151">
        <f ca="1">'график анн Комп 7%'!E178</f>
        <v>1301074.9838346255</v>
      </c>
      <c r="E183" s="47">
        <f ca="1">'график анн Комп 7%'!H178</f>
        <v>16712.678040199062</v>
      </c>
      <c r="F183" s="47">
        <f ca="1">'график анн Комп 7%'!F178</f>
        <v>8924.4621558175222</v>
      </c>
      <c r="G183" s="47">
        <f ca="1">'график анн Комп 7%'!G178</f>
        <v>7788.2158843815387</v>
      </c>
      <c r="H183" s="157">
        <f>'график анн Комп 7%'!O178</f>
        <v>0</v>
      </c>
      <c r="I183" s="223" t="str">
        <f>'график анн Комп 7%'!M178</f>
        <v/>
      </c>
      <c r="J183" s="223" t="str">
        <f>'график анн Комп 7%'!N178</f>
        <v/>
      </c>
      <c r="K183" s="223" t="str">
        <f>'график анн Комп 7%'!I178</f>
        <v/>
      </c>
      <c r="L183" s="223" t="str">
        <f>'график анн Комп 7%'!J178</f>
        <v/>
      </c>
      <c r="M183" s="157">
        <f>'график анн Комп 7%'!K178</f>
        <v>0</v>
      </c>
      <c r="N183" s="223" t="str">
        <f>'график анн Комп 7%'!L178</f>
        <v/>
      </c>
      <c r="O183" s="51" t="str">
        <f>'график анн Комп 7%'!P178</f>
        <v/>
      </c>
      <c r="P183" s="49" t="str">
        <f>'график анн Комп 7%'!Q178</f>
        <v/>
      </c>
    </row>
    <row r="184" spans="1:16" x14ac:dyDescent="0.35">
      <c r="A184" s="154">
        <f>'график анн Комп 7%'!A179</f>
        <v>155</v>
      </c>
      <c r="B184" s="149">
        <f ca="1">'график анн Комп 7%'!C179</f>
        <v>49205</v>
      </c>
      <c r="C184" s="156">
        <f ca="1">'график анн Комп 7%'!D179</f>
        <v>31</v>
      </c>
      <c r="D184" s="151">
        <f ca="1">'график анн Комп 7%'!E179</f>
        <v>1292053.0469916014</v>
      </c>
      <c r="E184" s="47">
        <f ca="1">'график анн Комп 7%'!H179</f>
        <v>16757.094966095658</v>
      </c>
      <c r="F184" s="47">
        <f ca="1">'график анн Комп 7%'!F179</f>
        <v>9021.9368430240465</v>
      </c>
      <c r="G184" s="47">
        <f ca="1">'график анн Комп 7%'!G179</f>
        <v>7735.1581230716101</v>
      </c>
      <c r="H184" s="157">
        <f>'график анн Комп 7%'!O179</f>
        <v>0</v>
      </c>
      <c r="I184" s="223" t="str">
        <f>'график анн Комп 7%'!M179</f>
        <v/>
      </c>
      <c r="J184" s="223" t="str">
        <f>'график анн Комп 7%'!N179</f>
        <v/>
      </c>
      <c r="K184" s="223" t="str">
        <f>'график анн Комп 7%'!I179</f>
        <v/>
      </c>
      <c r="L184" s="223" t="str">
        <f>'график анн Комп 7%'!J179</f>
        <v/>
      </c>
      <c r="M184" s="157">
        <f>'график анн Комп 7%'!K179</f>
        <v>0</v>
      </c>
      <c r="N184" s="223" t="str">
        <f>'график анн Комп 7%'!L179</f>
        <v/>
      </c>
      <c r="O184" s="51" t="str">
        <f>'график анн Комп 7%'!P179</f>
        <v/>
      </c>
      <c r="P184" s="49" t="str">
        <f>'график анн Комп 7%'!Q179</f>
        <v/>
      </c>
    </row>
    <row r="185" spans="1:16" x14ac:dyDescent="0.35">
      <c r="A185" s="154">
        <f>'график анн Комп 7%'!A180</f>
        <v>156</v>
      </c>
      <c r="B185" s="149">
        <f ca="1">'график анн Комп 7%'!C180</f>
        <v>49235</v>
      </c>
      <c r="C185" s="156">
        <f ca="1">'график анн Комп 7%'!D180</f>
        <v>30</v>
      </c>
      <c r="D185" s="151">
        <f ca="1">'график анн Комп 7%'!E180</f>
        <v>1282477.343367039</v>
      </c>
      <c r="E185" s="47">
        <f ca="1">'график анн Комп 7%'!H180</f>
        <v>17009.433483966193</v>
      </c>
      <c r="F185" s="47">
        <f ca="1">'график анн Комп 7%'!F180</f>
        <v>9575.7036245624586</v>
      </c>
      <c r="G185" s="47">
        <f ca="1">'график анн Комп 7%'!G180</f>
        <v>7433.7298594037338</v>
      </c>
      <c r="H185" s="157">
        <f>'график анн Комп 7%'!O180</f>
        <v>0</v>
      </c>
      <c r="I185" s="223" t="str">
        <f>'график анн Комп 7%'!M180</f>
        <v/>
      </c>
      <c r="J185" s="223" t="str">
        <f>'график анн Комп 7%'!N180</f>
        <v/>
      </c>
      <c r="K185" s="223" t="str">
        <f>'график анн Комп 7%'!I180</f>
        <v/>
      </c>
      <c r="L185" s="223" t="str">
        <f>'график анн Комп 7%'!J180</f>
        <v/>
      </c>
      <c r="M185" s="157">
        <f>'график анн Комп 7%'!K180</f>
        <v>0</v>
      </c>
      <c r="N185" s="223" t="str">
        <f>'график анн Комп 7%'!L180</f>
        <v/>
      </c>
      <c r="O185" s="51" t="str">
        <f>'график анн Комп 7%'!P180</f>
        <v/>
      </c>
      <c r="P185" s="49" t="str">
        <f>'график анн Комп 7%'!Q180</f>
        <v/>
      </c>
    </row>
    <row r="186" spans="1:16" x14ac:dyDescent="0.35">
      <c r="A186" s="154">
        <f>'график анн Комп 7%'!A181</f>
        <v>157</v>
      </c>
      <c r="B186" s="149">
        <f ca="1">'график анн Комп 7%'!C181</f>
        <v>49266</v>
      </c>
      <c r="C186" s="156">
        <f ca="1">'график анн Комп 7%'!D181</f>
        <v>31</v>
      </c>
      <c r="D186" s="151">
        <f ca="1">'график анн Комп 7%'!E181</f>
        <v>1273252.2795281571</v>
      </c>
      <c r="E186" s="47">
        <f ca="1">'график анн Комп 7%'!H181</f>
        <v>16849.65516794064</v>
      </c>
      <c r="F186" s="47">
        <f ca="1">'график анн Комп 7%'!F181</f>
        <v>9225.0638388818043</v>
      </c>
      <c r="G186" s="47">
        <f ca="1">'график анн Комп 7%'!G181</f>
        <v>7624.5913290588351</v>
      </c>
      <c r="H186" s="157">
        <f>'график анн Комп 7%'!O181</f>
        <v>0</v>
      </c>
      <c r="I186" s="223" t="str">
        <f>'график анн Комп 7%'!M181</f>
        <v/>
      </c>
      <c r="J186" s="223">
        <f>'график анн Комп 7%'!N181</f>
        <v>0</v>
      </c>
      <c r="K186" s="223" t="str">
        <f>'график анн Комп 7%'!I181</f>
        <v/>
      </c>
      <c r="L186" s="223" t="str">
        <f>'график анн Комп 7%'!J181</f>
        <v/>
      </c>
      <c r="M186" s="201">
        <f>'график анн Комп 7%'!K181</f>
        <v>7500</v>
      </c>
      <c r="N186" s="223" t="str">
        <f>'график анн Комп 7%'!L181</f>
        <v/>
      </c>
      <c r="O186" s="51" t="str">
        <f>'график анн Комп 7%'!P181</f>
        <v/>
      </c>
      <c r="P186" s="49" t="str">
        <f>'график анн Комп 7%'!Q181</f>
        <v/>
      </c>
    </row>
    <row r="187" spans="1:16" x14ac:dyDescent="0.35">
      <c r="A187" s="154">
        <f>'график анн Комп 7%'!A182</f>
        <v>158</v>
      </c>
      <c r="B187" s="149">
        <f ca="1">'график анн Комп 7%'!C182</f>
        <v>49296</v>
      </c>
      <c r="C187" s="156">
        <f ca="1">'график анн Комп 7%'!D182</f>
        <v>30</v>
      </c>
      <c r="D187" s="151">
        <f ca="1">'график анн Комп 7%'!E182</f>
        <v>1263477.8543669537</v>
      </c>
      <c r="E187" s="47">
        <f ca="1">'график анн Комп 7%'!H182</f>
        <v>17099.986221502451</v>
      </c>
      <c r="F187" s="47">
        <f ca="1">'график анн Комп 7%'!F182</f>
        <v>9774.4251612034641</v>
      </c>
      <c r="G187" s="47">
        <f ca="1">'график анн Комп 7%'!G182</f>
        <v>7325.5610602989873</v>
      </c>
      <c r="H187" s="157">
        <f>'график анн Комп 7%'!O182</f>
        <v>0</v>
      </c>
      <c r="I187" s="223" t="str">
        <f>'график анн Комп 7%'!M182</f>
        <v/>
      </c>
      <c r="J187" s="223" t="str">
        <f>'график анн Комп 7%'!N182</f>
        <v/>
      </c>
      <c r="K187" s="223" t="str">
        <f>'график анн Комп 7%'!I182</f>
        <v/>
      </c>
      <c r="L187" s="223" t="str">
        <f>'график анн Комп 7%'!J182</f>
        <v/>
      </c>
      <c r="M187" s="157">
        <f>'график анн Комп 7%'!K182</f>
        <v>0</v>
      </c>
      <c r="N187" s="223" t="str">
        <f>'график анн Комп 7%'!L182</f>
        <v/>
      </c>
      <c r="O187" s="51" t="str">
        <f>'график анн Комп 7%'!P182</f>
        <v/>
      </c>
      <c r="P187" s="49" t="str">
        <f>'график анн Комп 7%'!Q182</f>
        <v/>
      </c>
    </row>
    <row r="188" spans="1:16" x14ac:dyDescent="0.35">
      <c r="A188" s="154">
        <f>'график анн Комп 7%'!A183</f>
        <v>159</v>
      </c>
      <c r="B188" s="149">
        <f ca="1">'график анн Комп 7%'!C183</f>
        <v>49327</v>
      </c>
      <c r="C188" s="156">
        <f ca="1">'график анн Комп 7%'!D183</f>
        <v>31</v>
      </c>
      <c r="D188" s="151">
        <f ca="1">'график анн Комп 7%'!E183</f>
        <v>1254045.2744654755</v>
      </c>
      <c r="E188" s="47">
        <f ca="1">'график анн Комп 7%'!H183</f>
        <v>16944.215364427087</v>
      </c>
      <c r="F188" s="47">
        <f ca="1">'график анн Комп 7%'!F183</f>
        <v>9432.5799014783479</v>
      </c>
      <c r="G188" s="47">
        <f ca="1">'график анн Комп 7%'!G183</f>
        <v>7511.6354629487396</v>
      </c>
      <c r="H188" s="157">
        <f>'график анн Комп 7%'!O183</f>
        <v>0</v>
      </c>
      <c r="I188" s="223" t="str">
        <f>'график анн Комп 7%'!M183</f>
        <v/>
      </c>
      <c r="J188" s="223" t="str">
        <f>'график анн Комп 7%'!N183</f>
        <v/>
      </c>
      <c r="K188" s="223" t="str">
        <f>'график анн Комп 7%'!I183</f>
        <v/>
      </c>
      <c r="L188" s="223" t="str">
        <f>'график анн Комп 7%'!J183</f>
        <v/>
      </c>
      <c r="M188" s="157">
        <f>'график анн Комп 7%'!K183</f>
        <v>0</v>
      </c>
      <c r="N188" s="223" t="str">
        <f>'график анн Комп 7%'!L183</f>
        <v/>
      </c>
      <c r="O188" s="51" t="str">
        <f>'график анн Комп 7%'!P183</f>
        <v/>
      </c>
      <c r="P188" s="49" t="str">
        <f>'график анн Комп 7%'!Q183</f>
        <v/>
      </c>
    </row>
    <row r="189" spans="1:16" x14ac:dyDescent="0.35">
      <c r="A189" s="154">
        <f>'график анн Комп 7%'!A184</f>
        <v>160</v>
      </c>
      <c r="B189" s="149">
        <f ca="1">'график анн Комп 7%'!C184</f>
        <v>49358</v>
      </c>
      <c r="C189" s="156">
        <f ca="1">'график анн Комп 7%'!D184</f>
        <v>31</v>
      </c>
      <c r="D189" s="151">
        <f ca="1">'график анн Комп 7%'!E184</f>
        <v>1244509.6701173251</v>
      </c>
      <c r="E189" s="47">
        <f ca="1">'график анн Комп 7%'!H184</f>
        <v>16991.161185383324</v>
      </c>
      <c r="F189" s="47">
        <f ca="1">'график анн Комп 7%'!F184</f>
        <v>9535.6043481502238</v>
      </c>
      <c r="G189" s="47">
        <f ca="1">'график анн Комп 7%'!G184</f>
        <v>7455.5568372331009</v>
      </c>
      <c r="H189" s="157">
        <f>'график анн Комп 7%'!O184</f>
        <v>0</v>
      </c>
      <c r="I189" s="223" t="str">
        <f>'график анн Комп 7%'!M184</f>
        <v/>
      </c>
      <c r="J189" s="223" t="str">
        <f>'график анн Комп 7%'!N184</f>
        <v/>
      </c>
      <c r="K189" s="223" t="str">
        <f>'график анн Комп 7%'!I184</f>
        <v/>
      </c>
      <c r="L189" s="223" t="str">
        <f>'график анн Комп 7%'!J184</f>
        <v/>
      </c>
      <c r="M189" s="157">
        <f>'график анн Комп 7%'!K184</f>
        <v>0</v>
      </c>
      <c r="N189" s="223" t="str">
        <f>'график анн Комп 7%'!L184</f>
        <v/>
      </c>
      <c r="O189" s="51" t="str">
        <f>'график анн Комп 7%'!P184</f>
        <v/>
      </c>
      <c r="P189" s="49" t="str">
        <f>'график анн Комп 7%'!Q184</f>
        <v/>
      </c>
    </row>
    <row r="190" spans="1:16" x14ac:dyDescent="0.35">
      <c r="A190" s="154">
        <f>'график анн Комп 7%'!A185</f>
        <v>161</v>
      </c>
      <c r="B190" s="149">
        <f ca="1">'график анн Комп 7%'!C185</f>
        <v>49386</v>
      </c>
      <c r="C190" s="156">
        <f ca="1">'график анн Комп 7%'!D185</f>
        <v>28</v>
      </c>
      <c r="D190" s="151">
        <f ca="1">'график анн Комп 7%'!E185</f>
        <v>1233554.486396502</v>
      </c>
      <c r="E190" s="47">
        <f ca="1">'график анн Комп 7%'!H185</f>
        <v>17638.03016857641</v>
      </c>
      <c r="F190" s="47">
        <f ca="1">'график анн Комп 7%'!F185</f>
        <v>10955.183720823101</v>
      </c>
      <c r="G190" s="47">
        <f ca="1">'график анн Комп 7%'!G185</f>
        <v>6682.846447753308</v>
      </c>
      <c r="H190" s="157">
        <f>'график анн Комп 7%'!O185</f>
        <v>0</v>
      </c>
      <c r="I190" s="223" t="str">
        <f>'график анн Комп 7%'!M185</f>
        <v/>
      </c>
      <c r="J190" s="223" t="str">
        <f>'график анн Комп 7%'!N185</f>
        <v/>
      </c>
      <c r="K190" s="223" t="str">
        <f>'график анн Комп 7%'!I185</f>
        <v/>
      </c>
      <c r="L190" s="223" t="str">
        <f>'график анн Комп 7%'!J185</f>
        <v/>
      </c>
      <c r="M190" s="157">
        <f>'график анн Комп 7%'!K185</f>
        <v>0</v>
      </c>
      <c r="N190" s="223" t="str">
        <f>'график анн Комп 7%'!L185</f>
        <v/>
      </c>
      <c r="O190" s="51" t="str">
        <f>'график анн Комп 7%'!P185</f>
        <v/>
      </c>
      <c r="P190" s="49" t="str">
        <f>'график анн Комп 7%'!Q185</f>
        <v/>
      </c>
    </row>
    <row r="191" spans="1:16" x14ac:dyDescent="0.35">
      <c r="A191" s="154">
        <f>'график анн Комп 7%'!A186</f>
        <v>162</v>
      </c>
      <c r="B191" s="149">
        <f ca="1">'график анн Комп 7%'!C186</f>
        <v>49417</v>
      </c>
      <c r="C191" s="156">
        <f ca="1">'график анн Комп 7%'!D186</f>
        <v>31</v>
      </c>
      <c r="D191" s="151">
        <f ca="1">'график анн Комп 7%'!E186</f>
        <v>1223795.0777313223</v>
      </c>
      <c r="E191" s="47">
        <f ca="1">'график анн Комп 7%'!H186</f>
        <v>17093.143556906878</v>
      </c>
      <c r="F191" s="47">
        <f ca="1">'график анн Комп 7%'!F186</f>
        <v>9759.4086651797279</v>
      </c>
      <c r="G191" s="47">
        <f ca="1">'график анн Комп 7%'!G186</f>
        <v>7333.7348917271511</v>
      </c>
      <c r="H191" s="157">
        <f>'график анн Комп 7%'!O186</f>
        <v>0</v>
      </c>
      <c r="I191" s="223" t="str">
        <f>'график анн Комп 7%'!M186</f>
        <v/>
      </c>
      <c r="J191" s="223" t="str">
        <f>'график анн Комп 7%'!N186</f>
        <v/>
      </c>
      <c r="K191" s="223" t="str">
        <f>'график анн Комп 7%'!I186</f>
        <v/>
      </c>
      <c r="L191" s="223" t="str">
        <f>'график анн Комп 7%'!J186</f>
        <v/>
      </c>
      <c r="M191" s="157">
        <f>'график анн Комп 7%'!K186</f>
        <v>0</v>
      </c>
      <c r="N191" s="223" t="str">
        <f>'график анн Комп 7%'!L186</f>
        <v/>
      </c>
      <c r="O191" s="51" t="str">
        <f>'график анн Комп 7%'!P186</f>
        <v/>
      </c>
      <c r="P191" s="49" t="str">
        <f>'график анн Комп 7%'!Q186</f>
        <v/>
      </c>
    </row>
    <row r="192" spans="1:16" x14ac:dyDescent="0.35">
      <c r="A192" s="154">
        <f>'график анн Комп 7%'!A187</f>
        <v>163</v>
      </c>
      <c r="B192" s="149">
        <f ca="1">'график анн Комп 7%'!C187</f>
        <v>49447</v>
      </c>
      <c r="C192" s="156">
        <f ca="1">'график анн Комп 7%'!D187</f>
        <v>30</v>
      </c>
      <c r="D192" s="151">
        <f ca="1">'график анн Комп 7%'!E187</f>
        <v>1213497.8967220853</v>
      </c>
      <c r="E192" s="47">
        <f ca="1">'график анн Комп 7%'!H187</f>
        <v>17338.193785225292</v>
      </c>
      <c r="F192" s="47">
        <f ca="1">'график анн Комп 7%'!F187</f>
        <v>10297.181009236861</v>
      </c>
      <c r="G192" s="47">
        <f ca="1">'график анн Комп 7%'!G187</f>
        <v>7041.0127759884299</v>
      </c>
      <c r="H192" s="157">
        <f>'график анн Комп 7%'!O187</f>
        <v>0</v>
      </c>
      <c r="I192" s="223" t="str">
        <f>'график анн Комп 7%'!M187</f>
        <v/>
      </c>
      <c r="J192" s="223" t="str">
        <f>'график анн Комп 7%'!N187</f>
        <v/>
      </c>
      <c r="K192" s="223" t="str">
        <f>'график анн Комп 7%'!I187</f>
        <v/>
      </c>
      <c r="L192" s="223" t="str">
        <f>'график анн Комп 7%'!J187</f>
        <v/>
      </c>
      <c r="M192" s="157">
        <f>'график анн Комп 7%'!K187</f>
        <v>0</v>
      </c>
      <c r="N192" s="223" t="str">
        <f>'график анн Комп 7%'!L187</f>
        <v/>
      </c>
      <c r="O192" s="51" t="str">
        <f>'график анн Комп 7%'!P187</f>
        <v/>
      </c>
      <c r="P192" s="49" t="str">
        <f>'график анн Комп 7%'!Q187</f>
        <v/>
      </c>
    </row>
    <row r="193" spans="1:16" x14ac:dyDescent="0.35">
      <c r="A193" s="154">
        <f>'график анн Комп 7%'!A188</f>
        <v>164</v>
      </c>
      <c r="B193" s="149">
        <f ca="1">'график анн Комп 7%'!C188</f>
        <v>49478</v>
      </c>
      <c r="C193" s="156">
        <f ca="1">'график анн Комп 7%'!D188</f>
        <v>31</v>
      </c>
      <c r="D193" s="151">
        <f ca="1">'график анн Комп 7%'!E188</f>
        <v>1203519.4261380124</v>
      </c>
      <c r="E193" s="47">
        <f ca="1">'график анн Комп 7%'!H188</f>
        <v>17192.964928968646</v>
      </c>
      <c r="F193" s="47">
        <f ca="1">'график анн Комп 7%'!F188</f>
        <v>9978.4705840729603</v>
      </c>
      <c r="G193" s="47">
        <f ca="1">'график анн Комп 7%'!G188</f>
        <v>7214.4943448956865</v>
      </c>
      <c r="H193" s="157">
        <f>'график анн Комп 7%'!O188</f>
        <v>0</v>
      </c>
      <c r="I193" s="223" t="str">
        <f>'график анн Комп 7%'!M188</f>
        <v/>
      </c>
      <c r="J193" s="223" t="str">
        <f>'график анн Комп 7%'!N188</f>
        <v/>
      </c>
      <c r="K193" s="223" t="str">
        <f>'график анн Комп 7%'!I188</f>
        <v/>
      </c>
      <c r="L193" s="223" t="str">
        <f>'график анн Комп 7%'!J188</f>
        <v/>
      </c>
      <c r="M193" s="157">
        <f>'график анн Комп 7%'!K188</f>
        <v>0</v>
      </c>
      <c r="N193" s="223" t="str">
        <f>'график анн Комп 7%'!L188</f>
        <v/>
      </c>
      <c r="O193" s="51" t="str">
        <f>'график анн Комп 7%'!P188</f>
        <v/>
      </c>
      <c r="P193" s="49" t="str">
        <f>'график анн Комп 7%'!Q188</f>
        <v/>
      </c>
    </row>
    <row r="194" spans="1:16" x14ac:dyDescent="0.35">
      <c r="A194" s="154">
        <f>'график анн Комп 7%'!A189</f>
        <v>165</v>
      </c>
      <c r="B194" s="149">
        <f ca="1">'график анн Комп 7%'!C189</f>
        <v>49508</v>
      </c>
      <c r="C194" s="156">
        <f ca="1">'график анн Комп 7%'!D189</f>
        <v>30</v>
      </c>
      <c r="D194" s="151">
        <f ca="1">'график анн Комп 7%'!E189</f>
        <v>1193007.9342689209</v>
      </c>
      <c r="E194" s="47">
        <f ca="1">'график анн Комп 7%'!H189</f>
        <v>17435.850211255532</v>
      </c>
      <c r="F194" s="47">
        <f ca="1">'график анн Комп 7%'!F189</f>
        <v>10511.491869091626</v>
      </c>
      <c r="G194" s="47">
        <f ca="1">'график анн Комп 7%'!G189</f>
        <v>6924.3583421639078</v>
      </c>
      <c r="H194" s="157">
        <f>'график анн Комп 7%'!O189</f>
        <v>0</v>
      </c>
      <c r="I194" s="223" t="str">
        <f>'график анн Комп 7%'!M189</f>
        <v/>
      </c>
      <c r="J194" s="223" t="str">
        <f>'график анн Комп 7%'!N189</f>
        <v/>
      </c>
      <c r="K194" s="223" t="str">
        <f>'график анн Комп 7%'!I189</f>
        <v/>
      </c>
      <c r="L194" s="223" t="str">
        <f>'график анн Комп 7%'!J189</f>
        <v/>
      </c>
      <c r="M194" s="157">
        <f>'график анн Комп 7%'!K189</f>
        <v>0</v>
      </c>
      <c r="N194" s="223" t="str">
        <f>'график анн Комп 7%'!L189</f>
        <v/>
      </c>
      <c r="O194" s="51" t="str">
        <f>'график анн Комп 7%'!P189</f>
        <v/>
      </c>
      <c r="P194" s="49" t="str">
        <f>'график анн Комп 7%'!Q189</f>
        <v/>
      </c>
    </row>
    <row r="195" spans="1:16" x14ac:dyDescent="0.35">
      <c r="A195" s="154">
        <f>'график анн Комп 7%'!A190</f>
        <v>166</v>
      </c>
      <c r="B195" s="149">
        <f ca="1">'график анн Комп 7%'!C190</f>
        <v>49539</v>
      </c>
      <c r="C195" s="156">
        <f ca="1">'график анн Комп 7%'!D190</f>
        <v>31</v>
      </c>
      <c r="D195" s="151">
        <f ca="1">'график анн Комп 7%'!E190</f>
        <v>1182805.6683853527</v>
      </c>
      <c r="E195" s="47">
        <f ca="1">'график анн Комп 7%'!H190</f>
        <v>17294.943191413629</v>
      </c>
      <c r="F195" s="47">
        <f ca="1">'график анн Комп 7%'!F190</f>
        <v>10202.265883568261</v>
      </c>
      <c r="G195" s="47">
        <f ca="1">'график анн Комп 7%'!G190</f>
        <v>7092.6773078453662</v>
      </c>
      <c r="H195" s="157">
        <f>'график анн Комп 7%'!O190</f>
        <v>0</v>
      </c>
      <c r="I195" s="223" t="str">
        <f>'график анн Комп 7%'!M190</f>
        <v/>
      </c>
      <c r="J195" s="223" t="str">
        <f>'график анн Комп 7%'!N190</f>
        <v/>
      </c>
      <c r="K195" s="223" t="str">
        <f>'график анн Комп 7%'!I190</f>
        <v/>
      </c>
      <c r="L195" s="223" t="str">
        <f>'график анн Комп 7%'!J190</f>
        <v/>
      </c>
      <c r="M195" s="157">
        <f>'график анн Комп 7%'!K190</f>
        <v>0</v>
      </c>
      <c r="N195" s="223" t="str">
        <f>'график анн Комп 7%'!L190</f>
        <v/>
      </c>
      <c r="O195" s="51" t="str">
        <f>'график анн Комп 7%'!P190</f>
        <v/>
      </c>
      <c r="P195" s="49" t="str">
        <f>'график анн Комп 7%'!Q190</f>
        <v/>
      </c>
    </row>
    <row r="196" spans="1:16" x14ac:dyDescent="0.35">
      <c r="A196" s="154">
        <f>'график анн Комп 7%'!A191</f>
        <v>167</v>
      </c>
      <c r="B196" s="149">
        <f ca="1">'график анн Комп 7%'!C191</f>
        <v>49570</v>
      </c>
      <c r="C196" s="156">
        <f ca="1">'график анн Комп 7%'!D191</f>
        <v>31</v>
      </c>
      <c r="D196" s="151">
        <f ca="1">'график анн Комп 7%'!E191</f>
        <v>1172491.9713972053</v>
      </c>
      <c r="E196" s="47">
        <f ca="1">'график анн Комп 7%'!H191</f>
        <v>17345.719728959077</v>
      </c>
      <c r="F196" s="47">
        <f ca="1">'график анн Комп 7%'!F191</f>
        <v>10313.696988147529</v>
      </c>
      <c r="G196" s="47">
        <f ca="1">'график анн Комп 7%'!G191</f>
        <v>7032.0227408115497</v>
      </c>
      <c r="H196" s="157">
        <f>'график анн Комп 7%'!O191</f>
        <v>0</v>
      </c>
      <c r="I196" s="223" t="str">
        <f>'график анн Комп 7%'!M191</f>
        <v/>
      </c>
      <c r="J196" s="223" t="str">
        <f>'график анн Комп 7%'!N191</f>
        <v/>
      </c>
      <c r="K196" s="223" t="str">
        <f>'график анн Комп 7%'!I191</f>
        <v/>
      </c>
      <c r="L196" s="223" t="str">
        <f>'график анн Комп 7%'!J191</f>
        <v/>
      </c>
      <c r="M196" s="157">
        <f>'график анн Комп 7%'!K191</f>
        <v>0</v>
      </c>
      <c r="N196" s="223" t="str">
        <f>'график анн Комп 7%'!L191</f>
        <v/>
      </c>
      <c r="O196" s="51" t="str">
        <f>'график анн Комп 7%'!P191</f>
        <v/>
      </c>
      <c r="P196" s="49" t="str">
        <f>'график анн Комп 7%'!Q191</f>
        <v/>
      </c>
    </row>
    <row r="197" spans="1:16" x14ac:dyDescent="0.35">
      <c r="A197" s="154">
        <f>'график анн Комп 7%'!A192</f>
        <v>168</v>
      </c>
      <c r="B197" s="149">
        <f ca="1">'график анн Комп 7%'!C192</f>
        <v>49600</v>
      </c>
      <c r="C197" s="156">
        <f ca="1">'график анн Комп 7%'!D192</f>
        <v>30</v>
      </c>
      <c r="D197" s="151">
        <f ca="1">'график анн Комп 7%'!E192</f>
        <v>1161652.5235818396</v>
      </c>
      <c r="E197" s="47">
        <f ca="1">'график анн Комп 7%'!H192</f>
        <v>17585.292034363312</v>
      </c>
      <c r="F197" s="47">
        <f ca="1">'график анн Комп 7%'!F192</f>
        <v>10839.447815365693</v>
      </c>
      <c r="G197" s="47">
        <f ca="1">'график анн Комп 7%'!G192</f>
        <v>6745.8442189976195</v>
      </c>
      <c r="H197" s="157">
        <f>'график анн Комп 7%'!O192</f>
        <v>0</v>
      </c>
      <c r="I197" s="223" t="str">
        <f>'график анн Комп 7%'!M192</f>
        <v/>
      </c>
      <c r="J197" s="223" t="str">
        <f>'график анн Комп 7%'!N192</f>
        <v/>
      </c>
      <c r="K197" s="223" t="str">
        <f>'график анн Комп 7%'!I192</f>
        <v/>
      </c>
      <c r="L197" s="223" t="str">
        <f>'график анн Комп 7%'!J192</f>
        <v/>
      </c>
      <c r="M197" s="157">
        <f>'график анн Комп 7%'!K192</f>
        <v>0</v>
      </c>
      <c r="N197" s="223" t="str">
        <f>'график анн Комп 7%'!L192</f>
        <v/>
      </c>
      <c r="O197" s="51" t="str">
        <f>'график анн Комп 7%'!P192</f>
        <v/>
      </c>
      <c r="P197" s="49" t="str">
        <f>'график анн Комп 7%'!Q192</f>
        <v/>
      </c>
    </row>
    <row r="198" spans="1:16" x14ac:dyDescent="0.35">
      <c r="A198" s="154">
        <f>'график анн Комп 7%'!A193</f>
        <v>169</v>
      </c>
      <c r="B198" s="149">
        <f ca="1">'график анн Комп 7%'!C193</f>
        <v>49631</v>
      </c>
      <c r="C198" s="156">
        <f ca="1">'график анн Комп 7%'!D193</f>
        <v>31</v>
      </c>
      <c r="D198" s="151">
        <f ca="1">'график анн Комп 7%'!E193</f>
        <v>1151107.7878893807</v>
      </c>
      <c r="E198" s="47">
        <f ca="1">'график анн Комп 7%'!H193</f>
        <v>17450.998640877056</v>
      </c>
      <c r="F198" s="47">
        <f ca="1">'график анн Комп 7%'!F193</f>
        <v>10544.735692458997</v>
      </c>
      <c r="G198" s="47">
        <f ca="1">'график анн Комп 7%'!G193</f>
        <v>6906.2629484180607</v>
      </c>
      <c r="H198" s="157">
        <f>'график анн Комп 7%'!O193</f>
        <v>0</v>
      </c>
      <c r="I198" s="223" t="str">
        <f>'график анн Комп 7%'!M193</f>
        <v/>
      </c>
      <c r="J198" s="223">
        <f>'график анн Комп 7%'!N193</f>
        <v>0</v>
      </c>
      <c r="K198" s="223" t="str">
        <f>'график анн Комп 7%'!I193</f>
        <v/>
      </c>
      <c r="L198" s="223" t="str">
        <f>'график анн Комп 7%'!J193</f>
        <v/>
      </c>
      <c r="M198" s="201">
        <f>'график анн Комп 7%'!K193</f>
        <v>7500</v>
      </c>
      <c r="N198" s="223" t="str">
        <f>'график анн Комп 7%'!L193</f>
        <v/>
      </c>
      <c r="O198" s="51" t="str">
        <f>'график анн Комп 7%'!P193</f>
        <v/>
      </c>
      <c r="P198" s="49" t="str">
        <f>'график анн Комп 7%'!Q193</f>
        <v/>
      </c>
    </row>
    <row r="199" spans="1:16" x14ac:dyDescent="0.35">
      <c r="A199" s="154">
        <f>'график анн Комп 7%'!A194</f>
        <v>170</v>
      </c>
      <c r="B199" s="149">
        <f ca="1">'график анн Комп 7%'!C194</f>
        <v>49661</v>
      </c>
      <c r="C199" s="156">
        <f ca="1">'график анн Комп 7%'!D194</f>
        <v>30</v>
      </c>
      <c r="D199" s="151">
        <f ca="1">'график анн Комп 7%'!E194</f>
        <v>1140042.3121836775</v>
      </c>
      <c r="E199" s="47">
        <f ca="1">'график анн Комп 7%'!H194</f>
        <v>17688.287636025656</v>
      </c>
      <c r="F199" s="47">
        <f ca="1">'график анн Комп 7%'!F194</f>
        <v>11065.475705703191</v>
      </c>
      <c r="G199" s="47">
        <f ca="1">'график анн Комп 7%'!G194</f>
        <v>6622.8119303224648</v>
      </c>
      <c r="H199" s="157">
        <f>'график анн Комп 7%'!O194</f>
        <v>0</v>
      </c>
      <c r="I199" s="223" t="str">
        <f>'график анн Комп 7%'!M194</f>
        <v/>
      </c>
      <c r="J199" s="223" t="str">
        <f>'график анн Комп 7%'!N194</f>
        <v/>
      </c>
      <c r="K199" s="223" t="str">
        <f>'график анн Комп 7%'!I194</f>
        <v/>
      </c>
      <c r="L199" s="223" t="str">
        <f>'график анн Комп 7%'!J194</f>
        <v/>
      </c>
      <c r="M199" s="157">
        <f>'график анн Комп 7%'!K194</f>
        <v>0</v>
      </c>
      <c r="N199" s="223" t="str">
        <f>'график анн Комп 7%'!L194</f>
        <v/>
      </c>
      <c r="O199" s="51" t="str">
        <f>'график анн Комп 7%'!P194</f>
        <v/>
      </c>
      <c r="P199" s="49" t="str">
        <f>'график анн Комп 7%'!Q194</f>
        <v/>
      </c>
    </row>
    <row r="200" spans="1:16" x14ac:dyDescent="0.35">
      <c r="A200" s="154">
        <f>'график анн Комп 7%'!A195</f>
        <v>171</v>
      </c>
      <c r="B200" s="149">
        <f ca="1">'график анн Комп 7%'!C195</f>
        <v>49692</v>
      </c>
      <c r="C200" s="156">
        <f ca="1">'график анн Комп 7%'!D195</f>
        <v>31</v>
      </c>
      <c r="D200" s="151">
        <f ca="1">'график анн Комп 7%'!E195</f>
        <v>1129261.5456179036</v>
      </c>
      <c r="E200" s="47">
        <f ca="1">'график анн Комп 7%'!H195</f>
        <v>17558.552366975418</v>
      </c>
      <c r="F200" s="47">
        <f ca="1">'график анн Комп 7%'!F195</f>
        <v>10780.766565773829</v>
      </c>
      <c r="G200" s="47">
        <f ca="1">'график анн Комп 7%'!G195</f>
        <v>6777.7858012015895</v>
      </c>
      <c r="H200" s="157">
        <f>'график анн Комп 7%'!O195</f>
        <v>0</v>
      </c>
      <c r="I200" s="223" t="str">
        <f>'график анн Комп 7%'!M195</f>
        <v/>
      </c>
      <c r="J200" s="223" t="str">
        <f>'график анн Комп 7%'!N195</f>
        <v/>
      </c>
      <c r="K200" s="223" t="str">
        <f>'график анн Комп 7%'!I195</f>
        <v/>
      </c>
      <c r="L200" s="223" t="str">
        <f>'график анн Комп 7%'!J195</f>
        <v/>
      </c>
      <c r="M200" s="157">
        <f>'график анн Комп 7%'!K195</f>
        <v>0</v>
      </c>
      <c r="N200" s="223" t="str">
        <f>'график анн Комп 7%'!L195</f>
        <v/>
      </c>
      <c r="O200" s="51" t="str">
        <f>'график анн Комп 7%'!P195</f>
        <v/>
      </c>
      <c r="P200" s="49" t="str">
        <f>'график анн Комп 7%'!Q195</f>
        <v/>
      </c>
    </row>
    <row r="201" spans="1:16" x14ac:dyDescent="0.35">
      <c r="A201" s="154">
        <f>'график анн Комп 7%'!A196</f>
        <v>172</v>
      </c>
      <c r="B201" s="149">
        <f ca="1">'график анн Комп 7%'!C196</f>
        <v>49723</v>
      </c>
      <c r="C201" s="156">
        <f ca="1">'график анн Комп 7%'!D196</f>
        <v>31</v>
      </c>
      <c r="D201" s="151">
        <f ca="1">'график анн Комп 7%'!E196</f>
        <v>1118329.3299680778</v>
      </c>
      <c r="E201" s="47">
        <f ca="1">'график анн Комп 7%'!H196</f>
        <v>17645.907578567894</v>
      </c>
      <c r="F201" s="47">
        <f ca="1">'график анн Комп 7%'!F196</f>
        <v>10932.215649825837</v>
      </c>
      <c r="G201" s="47">
        <f ca="1">'график анн Комп 7%'!G196</f>
        <v>6713.6919287420578</v>
      </c>
      <c r="H201" s="157">
        <f>'график анн Комп 7%'!O196</f>
        <v>0</v>
      </c>
      <c r="I201" s="223" t="str">
        <f>'график анн Комп 7%'!M196</f>
        <v/>
      </c>
      <c r="J201" s="223" t="str">
        <f>'график анн Комп 7%'!N196</f>
        <v/>
      </c>
      <c r="K201" s="223" t="str">
        <f>'график анн Комп 7%'!I196</f>
        <v/>
      </c>
      <c r="L201" s="223" t="str">
        <f>'график анн Комп 7%'!J196</f>
        <v/>
      </c>
      <c r="M201" s="157">
        <f>'график анн Комп 7%'!K196</f>
        <v>0</v>
      </c>
      <c r="N201" s="223" t="str">
        <f>'график анн Комп 7%'!L196</f>
        <v/>
      </c>
      <c r="O201" s="51" t="str">
        <f>'график анн Комп 7%'!P196</f>
        <v/>
      </c>
      <c r="P201" s="49" t="str">
        <f>'график анн Комп 7%'!Q196</f>
        <v/>
      </c>
    </row>
    <row r="202" spans="1:16" x14ac:dyDescent="0.35">
      <c r="A202" s="154">
        <f>'график анн Комп 7%'!A197</f>
        <v>173</v>
      </c>
      <c r="B202" s="149">
        <f ca="1">'график анн Комп 7%'!C197</f>
        <v>49752</v>
      </c>
      <c r="C202" s="156">
        <f ca="1">'график анн Комп 7%'!D197</f>
        <v>29</v>
      </c>
      <c r="D202" s="151">
        <f ca="1">'график анн Комп 7%'!E197</f>
        <v>1106492.1507265104</v>
      </c>
      <c r="E202" s="47">
        <f ca="1">'график анн Комп 7%'!H197</f>
        <v>18056.92866577335</v>
      </c>
      <c r="F202" s="47">
        <f ca="1">'график анн Комп 7%'!F197</f>
        <v>11837.179241567326</v>
      </c>
      <c r="G202" s="47">
        <f ca="1">'график анн Комп 7%'!G197</f>
        <v>6219.7494242060229</v>
      </c>
      <c r="H202" s="157">
        <f>'график анн Комп 7%'!O197</f>
        <v>0</v>
      </c>
      <c r="I202" s="223" t="str">
        <f>'график анн Комп 7%'!M197</f>
        <v/>
      </c>
      <c r="J202" s="223" t="str">
        <f>'график анн Комп 7%'!N197</f>
        <v/>
      </c>
      <c r="K202" s="223" t="str">
        <f>'график анн Комп 7%'!I197</f>
        <v/>
      </c>
      <c r="L202" s="223" t="str">
        <f>'график анн Комп 7%'!J197</f>
        <v/>
      </c>
      <c r="M202" s="157">
        <f>'график анн Комп 7%'!K197</f>
        <v>0</v>
      </c>
      <c r="N202" s="223" t="str">
        <f>'график анн Комп 7%'!L197</f>
        <v/>
      </c>
      <c r="O202" s="51" t="str">
        <f>'график анн Комп 7%'!P197</f>
        <v/>
      </c>
      <c r="P202" s="49" t="str">
        <f>'график анн Комп 7%'!Q197</f>
        <v/>
      </c>
    </row>
    <row r="203" spans="1:16" x14ac:dyDescent="0.35">
      <c r="A203" s="154">
        <f>'график анн Комп 7%'!A198</f>
        <v>174</v>
      </c>
      <c r="B203" s="149">
        <f ca="1">'график анн Комп 7%'!C198</f>
        <v>49783</v>
      </c>
      <c r="C203" s="156">
        <f ca="1">'график анн Комп 7%'!D198</f>
        <v>31</v>
      </c>
      <c r="D203" s="151">
        <f ca="1">'график анн Комп 7%'!E198</f>
        <v>1095311.9228644604</v>
      </c>
      <c r="E203" s="47">
        <f ca="1">'график анн Комп 7%'!H198</f>
        <v>17758.551059519898</v>
      </c>
      <c r="F203" s="47">
        <f ca="1">'график анн Комп 7%'!F198</f>
        <v>11180.227862049958</v>
      </c>
      <c r="G203" s="47">
        <f ca="1">'график анн Комп 7%'!G198</f>
        <v>6578.3231974699393</v>
      </c>
      <c r="H203" s="157">
        <f>'график анн Комп 7%'!O198</f>
        <v>0</v>
      </c>
      <c r="I203" s="223" t="str">
        <f>'график анн Комп 7%'!M198</f>
        <v/>
      </c>
      <c r="J203" s="223" t="str">
        <f>'график анн Комп 7%'!N198</f>
        <v/>
      </c>
      <c r="K203" s="223" t="str">
        <f>'график анн Комп 7%'!I198</f>
        <v/>
      </c>
      <c r="L203" s="223" t="str">
        <f>'график анн Комп 7%'!J198</f>
        <v/>
      </c>
      <c r="M203" s="157">
        <f>'график анн Комп 7%'!K198</f>
        <v>0</v>
      </c>
      <c r="N203" s="223" t="str">
        <f>'график анн Комп 7%'!L198</f>
        <v/>
      </c>
      <c r="O203" s="51" t="str">
        <f>'график анн Комп 7%'!P198</f>
        <v/>
      </c>
      <c r="P203" s="49" t="str">
        <f>'график анн Комп 7%'!Q198</f>
        <v/>
      </c>
    </row>
    <row r="204" spans="1:16" x14ac:dyDescent="0.35">
      <c r="A204" s="154">
        <f>'график анн Комп 7%'!A199</f>
        <v>175</v>
      </c>
      <c r="B204" s="149">
        <f ca="1">'график анн Комп 7%'!C199</f>
        <v>49813</v>
      </c>
      <c r="C204" s="156">
        <f ca="1">'график анн Комп 7%'!D199</f>
        <v>30</v>
      </c>
      <c r="D204" s="151">
        <f ca="1">'график анн Комп 7%'!E199</f>
        <v>1083625.0605497458</v>
      </c>
      <c r="E204" s="47">
        <f ca="1">'график анн Комп 7%'!H199</f>
        <v>17988.656939414122</v>
      </c>
      <c r="F204" s="47">
        <f ca="1">'график анн Комп 7%'!F199</f>
        <v>11686.862314714488</v>
      </c>
      <c r="G204" s="47">
        <f ca="1">'график анн Комп 7%'!G199</f>
        <v>6301.7946246996353</v>
      </c>
      <c r="H204" s="157">
        <f>'график анн Комп 7%'!O199</f>
        <v>0</v>
      </c>
      <c r="I204" s="223" t="str">
        <f>'график анн Комп 7%'!M199</f>
        <v/>
      </c>
      <c r="J204" s="223" t="str">
        <f>'график анн Комп 7%'!N199</f>
        <v/>
      </c>
      <c r="K204" s="223" t="str">
        <f>'график анн Комп 7%'!I199</f>
        <v/>
      </c>
      <c r="L204" s="223" t="str">
        <f>'график анн Комп 7%'!J199</f>
        <v/>
      </c>
      <c r="M204" s="157">
        <f>'график анн Комп 7%'!K199</f>
        <v>0</v>
      </c>
      <c r="N204" s="223" t="str">
        <f>'график анн Комп 7%'!L199</f>
        <v/>
      </c>
      <c r="O204" s="51" t="str">
        <f>'график анн Комп 7%'!P199</f>
        <v/>
      </c>
      <c r="P204" s="49" t="str">
        <f>'график анн Комп 7%'!Q199</f>
        <v/>
      </c>
    </row>
    <row r="205" spans="1:16" x14ac:dyDescent="0.35">
      <c r="A205" s="154">
        <f>'график анн Комп 7%'!A200</f>
        <v>176</v>
      </c>
      <c r="B205" s="149">
        <f ca="1">'график анн Комп 7%'!C200</f>
        <v>49844</v>
      </c>
      <c r="C205" s="156">
        <f ca="1">'график анн Комп 7%'!D200</f>
        <v>31</v>
      </c>
      <c r="D205" s="151">
        <f ca="1">'график анн Комп 7%'!E200</f>
        <v>1072195.7563442567</v>
      </c>
      <c r="E205" s="47">
        <f ca="1">'график анн Комп 7%'!H200</f>
        <v>17871.677853140915</v>
      </c>
      <c r="F205" s="47">
        <f ca="1">'график анн Комп 7%'!F200</f>
        <v>11429.304205488999</v>
      </c>
      <c r="G205" s="47">
        <f ca="1">'график анн Комп 7%'!G200</f>
        <v>6442.3736476519143</v>
      </c>
      <c r="H205" s="157">
        <f>'график анн Комп 7%'!O200</f>
        <v>0</v>
      </c>
      <c r="I205" s="223" t="str">
        <f>'график анн Комп 7%'!M200</f>
        <v/>
      </c>
      <c r="J205" s="223" t="str">
        <f>'график анн Комп 7%'!N200</f>
        <v/>
      </c>
      <c r="K205" s="223" t="str">
        <f>'график анн Комп 7%'!I200</f>
        <v/>
      </c>
      <c r="L205" s="223" t="str">
        <f>'график анн Комп 7%'!J200</f>
        <v/>
      </c>
      <c r="M205" s="157">
        <f>'график анн Комп 7%'!K200</f>
        <v>0</v>
      </c>
      <c r="N205" s="223" t="str">
        <f>'график анн Комп 7%'!L200</f>
        <v/>
      </c>
      <c r="O205" s="51" t="str">
        <f>'график анн Комп 7%'!P200</f>
        <v/>
      </c>
      <c r="P205" s="49" t="str">
        <f>'график анн Комп 7%'!Q200</f>
        <v/>
      </c>
    </row>
    <row r="206" spans="1:16" x14ac:dyDescent="0.35">
      <c r="A206" s="154">
        <f>'график анн Комп 7%'!A201</f>
        <v>177</v>
      </c>
      <c r="B206" s="149">
        <f ca="1">'график анн Комп 7%'!C201</f>
        <v>49874</v>
      </c>
      <c r="C206" s="156">
        <f ca="1">'график анн Комп 7%'!D201</f>
        <v>30</v>
      </c>
      <c r="D206" s="151">
        <f ca="1">'график анн Комп 7%'!E201</f>
        <v>1060265.2268972064</v>
      </c>
      <c r="E206" s="47">
        <f ca="1">'график анн Комп 7%'!H201</f>
        <v>18099.326949305036</v>
      </c>
      <c r="F206" s="47">
        <f ca="1">'график анн Комп 7%'!F201</f>
        <v>11930.529447050407</v>
      </c>
      <c r="G206" s="47">
        <f ca="1">'график анн Комп 7%'!G201</f>
        <v>6168.7975022546279</v>
      </c>
      <c r="H206" s="157">
        <f>'график анн Комп 7%'!O201</f>
        <v>0</v>
      </c>
      <c r="I206" s="223" t="str">
        <f>'график анн Комп 7%'!M201</f>
        <v/>
      </c>
      <c r="J206" s="223" t="str">
        <f>'график анн Комп 7%'!N201</f>
        <v/>
      </c>
      <c r="K206" s="223" t="str">
        <f>'график анн Комп 7%'!I201</f>
        <v/>
      </c>
      <c r="L206" s="223" t="str">
        <f>'график анн Комп 7%'!J201</f>
        <v/>
      </c>
      <c r="M206" s="157">
        <f>'график анн Комп 7%'!K201</f>
        <v>0</v>
      </c>
      <c r="N206" s="223" t="str">
        <f>'график анн Комп 7%'!L201</f>
        <v/>
      </c>
      <c r="O206" s="51" t="str">
        <f>'график анн Комп 7%'!P201</f>
        <v/>
      </c>
      <c r="P206" s="49" t="str">
        <f>'график анн Комп 7%'!Q201</f>
        <v/>
      </c>
    </row>
    <row r="207" spans="1:16" x14ac:dyDescent="0.35">
      <c r="A207" s="154">
        <f>'график анн Комп 7%'!A202</f>
        <v>178</v>
      </c>
      <c r="B207" s="149">
        <f ca="1">'график анн Комп 7%'!C202</f>
        <v>49905</v>
      </c>
      <c r="C207" s="156">
        <f ca="1">'график анн Комп 7%'!D202</f>
        <v>31</v>
      </c>
      <c r="D207" s="151">
        <f ca="1">'график анн Комп 7%'!E202</f>
        <v>1048581.4792140147</v>
      </c>
      <c r="E207" s="47">
        <f ca="1">'график анн Комп 7%'!H202</f>
        <v>17987.242319813518</v>
      </c>
      <c r="F207" s="47">
        <f ca="1">'график анн Комп 7%'!F202</f>
        <v>11683.74768319177</v>
      </c>
      <c r="G207" s="47">
        <f ca="1">'график анн Комп 7%'!G202</f>
        <v>6303.4946366217482</v>
      </c>
      <c r="H207" s="157">
        <f>'график анн Комп 7%'!O202</f>
        <v>0</v>
      </c>
      <c r="I207" s="223" t="str">
        <f>'график анн Комп 7%'!M202</f>
        <v/>
      </c>
      <c r="J207" s="223" t="str">
        <f>'график анн Комп 7%'!N202</f>
        <v/>
      </c>
      <c r="K207" s="223" t="str">
        <f>'график анн Комп 7%'!I202</f>
        <v/>
      </c>
      <c r="L207" s="223" t="str">
        <f>'график анн Комп 7%'!J202</f>
        <v/>
      </c>
      <c r="M207" s="157">
        <f>'график анн Комп 7%'!K202</f>
        <v>0</v>
      </c>
      <c r="N207" s="223" t="str">
        <f>'график анн Комп 7%'!L202</f>
        <v/>
      </c>
      <c r="O207" s="51" t="str">
        <f>'график анн Комп 7%'!P202</f>
        <v/>
      </c>
      <c r="P207" s="49" t="str">
        <f>'график анн Комп 7%'!Q202</f>
        <v/>
      </c>
    </row>
    <row r="208" spans="1:16" x14ac:dyDescent="0.35">
      <c r="A208" s="154">
        <f>'график анн Комп 7%'!A203</f>
        <v>179</v>
      </c>
      <c r="B208" s="149">
        <f ca="1">'график анн Комп 7%'!C203</f>
        <v>49936</v>
      </c>
      <c r="C208" s="156">
        <f ca="1">'график анн Комп 7%'!D203</f>
        <v>31</v>
      </c>
      <c r="D208" s="151">
        <f ca="1">'график анн Комп 7%'!E203</f>
        <v>1036770.4680649382</v>
      </c>
      <c r="E208" s="47">
        <f ca="1">'график анн Комп 7%'!H203</f>
        <v>18045.043504951602</v>
      </c>
      <c r="F208" s="47">
        <f ca="1">'график анн Комп 7%'!F203</f>
        <v>11811.011149076503</v>
      </c>
      <c r="G208" s="47">
        <f ca="1">'график анн Комп 7%'!G203</f>
        <v>6234.0323558751006</v>
      </c>
      <c r="H208" s="157">
        <f>'график анн Комп 7%'!O203</f>
        <v>0</v>
      </c>
      <c r="I208" s="223" t="str">
        <f>'график анн Комп 7%'!M203</f>
        <v/>
      </c>
      <c r="J208" s="223" t="str">
        <f>'график анн Комп 7%'!N203</f>
        <v/>
      </c>
      <c r="K208" s="223" t="str">
        <f>'график анн Комп 7%'!I203</f>
        <v/>
      </c>
      <c r="L208" s="223" t="str">
        <f>'график анн Комп 7%'!J203</f>
        <v/>
      </c>
      <c r="M208" s="157">
        <f>'график анн Комп 7%'!K203</f>
        <v>0</v>
      </c>
      <c r="N208" s="223" t="str">
        <f>'график анн Комп 7%'!L203</f>
        <v/>
      </c>
      <c r="O208" s="51" t="str">
        <f>'график анн Комп 7%'!P203</f>
        <v/>
      </c>
      <c r="P208" s="49" t="str">
        <f>'график анн Комп 7%'!Q203</f>
        <v/>
      </c>
    </row>
    <row r="209" spans="1:16" x14ac:dyDescent="0.35">
      <c r="A209" s="154">
        <f>'график анн Комп 7%'!A204</f>
        <v>180</v>
      </c>
      <c r="B209" s="149">
        <f ca="1">'график анн Комп 7%'!C204</f>
        <v>49966</v>
      </c>
      <c r="C209" s="156">
        <f ca="1">'график анн Комп 7%'!D204</f>
        <v>30</v>
      </c>
      <c r="D209" s="151">
        <f ca="1">'график анн Комп 7%'!E204</f>
        <v>1024466.521234878</v>
      </c>
      <c r="E209" s="47">
        <f ca="1">'график анн Комп 7%'!H204</f>
        <v>18268.927605228411</v>
      </c>
      <c r="F209" s="47">
        <f ca="1">'график анн Комп 7%'!F204</f>
        <v>12303.946830060271</v>
      </c>
      <c r="G209" s="47">
        <f ca="1">'график анн Комп 7%'!G204</f>
        <v>5964.9807751681392</v>
      </c>
      <c r="H209" s="157">
        <f>'график анн Комп 7%'!O204</f>
        <v>0</v>
      </c>
      <c r="I209" s="223" t="str">
        <f>'график анн Комп 7%'!M204</f>
        <v/>
      </c>
      <c r="J209" s="223" t="str">
        <f>'график анн Комп 7%'!N204</f>
        <v/>
      </c>
      <c r="K209" s="223" t="str">
        <f>'график анн Комп 7%'!I204</f>
        <v/>
      </c>
      <c r="L209" s="223" t="str">
        <f>'график анн Комп 7%'!J204</f>
        <v/>
      </c>
      <c r="M209" s="157">
        <f>'график анн Комп 7%'!K204</f>
        <v>0</v>
      </c>
      <c r="N209" s="223" t="str">
        <f>'график анн Комп 7%'!L204</f>
        <v/>
      </c>
      <c r="O209" s="51" t="str">
        <f>'график анн Комп 7%'!P204</f>
        <v/>
      </c>
      <c r="P209" s="49" t="str">
        <f>'график анн Комп 7%'!Q204</f>
        <v/>
      </c>
    </row>
    <row r="210" spans="1:16" x14ac:dyDescent="0.35">
      <c r="A210" s="154">
        <f>'график анн Комп 7%'!A205</f>
        <v>181</v>
      </c>
      <c r="B210" s="149">
        <f ca="1">'график анн Комп 7%'!C205</f>
        <v>49997</v>
      </c>
      <c r="C210" s="156">
        <f ca="1">'график анн Комп 7%'!D205</f>
        <v>31</v>
      </c>
      <c r="D210" s="151">
        <f ca="1">'график анн Комп 7%'!E205</f>
        <v>1012392.8415298462</v>
      </c>
      <c r="E210" s="47">
        <f ca="1">'график анн Комп 7%'!H205</f>
        <v>18164.343680592548</v>
      </c>
      <c r="F210" s="47">
        <f ca="1">'график анн Комп 7%'!F205</f>
        <v>12073.679705031765</v>
      </c>
      <c r="G210" s="47">
        <f ca="1">'график анн Комп 7%'!G205</f>
        <v>6090.6639755607821</v>
      </c>
      <c r="H210" s="157">
        <f>'график анн Комп 7%'!O205</f>
        <v>0</v>
      </c>
      <c r="I210" s="223" t="str">
        <f>'график анн Комп 7%'!M205</f>
        <v/>
      </c>
      <c r="J210" s="223">
        <f>'график анн Комп 7%'!N205</f>
        <v>0</v>
      </c>
      <c r="K210" s="223" t="str">
        <f>'график анн Комп 7%'!I205</f>
        <v/>
      </c>
      <c r="L210" s="223" t="str">
        <f>'график анн Комп 7%'!J205</f>
        <v/>
      </c>
      <c r="M210" s="201">
        <f>'график анн Комп 7%'!K205</f>
        <v>7500</v>
      </c>
      <c r="N210" s="223" t="str">
        <f>'график анн Комп 7%'!L205</f>
        <v/>
      </c>
      <c r="O210" s="51" t="str">
        <f>'график анн Комп 7%'!P205</f>
        <v/>
      </c>
      <c r="P210" s="49" t="str">
        <f>'график анн Комп 7%'!Q205</f>
        <v/>
      </c>
    </row>
    <row r="211" spans="1:16" x14ac:dyDescent="0.35">
      <c r="A211" s="154">
        <f>'график анн Комп 7%'!A206</f>
        <v>182</v>
      </c>
      <c r="B211" s="149">
        <f ca="1">'график анн Комп 7%'!C206</f>
        <v>50027</v>
      </c>
      <c r="C211" s="156">
        <f ca="1">'график анн Комп 7%'!D206</f>
        <v>30</v>
      </c>
      <c r="D211" s="151">
        <f ca="1">'график анн Комп 7%'!E206</f>
        <v>999831.93053811276</v>
      </c>
      <c r="E211" s="47">
        <f ca="1">'график анн Комп 7%'!H206</f>
        <v>18385.636929302433</v>
      </c>
      <c r="F211" s="47">
        <f ca="1">'график анн Комп 7%'!F206</f>
        <v>12560.910991733455</v>
      </c>
      <c r="G211" s="47">
        <f ca="1">'график анн Комп 7%'!G206</f>
        <v>5824.7259375689782</v>
      </c>
      <c r="H211" s="157">
        <f>'график анн Комп 7%'!O206</f>
        <v>0</v>
      </c>
      <c r="I211" s="223" t="str">
        <f>'график анн Комп 7%'!M206</f>
        <v/>
      </c>
      <c r="J211" s="223" t="str">
        <f>'график анн Комп 7%'!N206</f>
        <v/>
      </c>
      <c r="K211" s="223" t="str">
        <f>'график анн Комп 7%'!I206</f>
        <v/>
      </c>
      <c r="L211" s="223" t="str">
        <f>'график анн Комп 7%'!J206</f>
        <v/>
      </c>
      <c r="M211" s="157">
        <f>'график анн Комп 7%'!K206</f>
        <v>0</v>
      </c>
      <c r="N211" s="223" t="str">
        <f>'график анн Комп 7%'!L206</f>
        <v/>
      </c>
      <c r="O211" s="51" t="str">
        <f>'график анн Комп 7%'!P206</f>
        <v/>
      </c>
      <c r="P211" s="49" t="str">
        <f>'график анн Комп 7%'!Q206</f>
        <v/>
      </c>
    </row>
    <row r="212" spans="1:16" x14ac:dyDescent="0.35">
      <c r="A212" s="154">
        <f>'график анн Комп 7%'!A207</f>
        <v>183</v>
      </c>
      <c r="B212" s="149">
        <f ca="1">'график анн Комп 7%'!C207</f>
        <v>50058</v>
      </c>
      <c r="C212" s="156">
        <f ca="1">'график анн Комп 7%'!D207</f>
        <v>31</v>
      </c>
      <c r="D212" s="151">
        <f ca="1">'график анн Комп 7%'!E207</f>
        <v>987489.92225583585</v>
      </c>
      <c r="E212" s="47">
        <f ca="1">'график анн Комп 7%'!H207</f>
        <v>18286.21455424323</v>
      </c>
      <c r="F212" s="47">
        <f ca="1">'график анн Комп 7%'!F207</f>
        <v>12342.008282276915</v>
      </c>
      <c r="G212" s="47">
        <f ca="1">'график анн Комп 7%'!G207</f>
        <v>5944.2062719663145</v>
      </c>
      <c r="H212" s="157">
        <f>'график анн Комп 7%'!O207</f>
        <v>0</v>
      </c>
      <c r="I212" s="223" t="str">
        <f>'график анн Комп 7%'!M207</f>
        <v/>
      </c>
      <c r="J212" s="223" t="str">
        <f>'график анн Комп 7%'!N207</f>
        <v/>
      </c>
      <c r="K212" s="223" t="str">
        <f>'график анн Комп 7%'!I207</f>
        <v/>
      </c>
      <c r="L212" s="223" t="str">
        <f>'график анн Комп 7%'!J207</f>
        <v/>
      </c>
      <c r="M212" s="157">
        <f>'график анн Комп 7%'!K207</f>
        <v>0</v>
      </c>
      <c r="N212" s="223" t="str">
        <f>'график анн Комп 7%'!L207</f>
        <v/>
      </c>
      <c r="O212" s="51" t="str">
        <f>'график анн Комп 7%'!P207</f>
        <v/>
      </c>
      <c r="P212" s="49" t="str">
        <f>'график анн Комп 7%'!Q207</f>
        <v/>
      </c>
    </row>
    <row r="213" spans="1:16" x14ac:dyDescent="0.35">
      <c r="A213" s="154">
        <f>'график анн Комп 7%'!A208</f>
        <v>184</v>
      </c>
      <c r="B213" s="149">
        <f ca="1">'график анн Комп 7%'!C208</f>
        <v>50089</v>
      </c>
      <c r="C213" s="156">
        <f ca="1">'график анн Комп 7%'!D208</f>
        <v>31</v>
      </c>
      <c r="D213" s="151">
        <f ca="1">'график анн Комп 7%'!E208</f>
        <v>975042.94923064741</v>
      </c>
      <c r="E213" s="47">
        <f ca="1">'график анн Комп 7%'!H208</f>
        <v>18317.803521887519</v>
      </c>
      <c r="F213" s="47">
        <f ca="1">'график анн Комп 7%'!F208</f>
        <v>12446.973025188439</v>
      </c>
      <c r="G213" s="47">
        <f ca="1">'график анн Комп 7%'!G208</f>
        <v>5870.83049669908</v>
      </c>
      <c r="H213" s="157">
        <f>'график анн Комп 7%'!O208</f>
        <v>0</v>
      </c>
      <c r="I213" s="223" t="str">
        <f>'график анн Комп 7%'!M208</f>
        <v/>
      </c>
      <c r="J213" s="223" t="str">
        <f>'график анн Комп 7%'!N208</f>
        <v/>
      </c>
      <c r="K213" s="223" t="str">
        <f>'график анн Комп 7%'!I208</f>
        <v/>
      </c>
      <c r="L213" s="223" t="str">
        <f>'график анн Комп 7%'!J208</f>
        <v/>
      </c>
      <c r="M213" s="157">
        <f>'график анн Комп 7%'!K208</f>
        <v>0</v>
      </c>
      <c r="N213" s="223" t="str">
        <f>'график анн Комп 7%'!L208</f>
        <v/>
      </c>
      <c r="O213" s="51" t="str">
        <f>'график анн Комп 7%'!P208</f>
        <v/>
      </c>
      <c r="P213" s="49" t="str">
        <f>'график анн Комп 7%'!Q208</f>
        <v/>
      </c>
    </row>
    <row r="214" spans="1:16" x14ac:dyDescent="0.35">
      <c r="A214" s="154">
        <f>'график анн Комп 7%'!A209</f>
        <v>185</v>
      </c>
      <c r="B214" s="149">
        <f ca="1">'график анн Комп 7%'!C209</f>
        <v>50117</v>
      </c>
      <c r="C214" s="156">
        <f ca="1">'график анн Комп 7%'!D209</f>
        <v>28</v>
      </c>
      <c r="D214" s="151">
        <f ca="1">'график анн Комп 7%'!E209</f>
        <v>961429.42093840311</v>
      </c>
      <c r="E214" s="47">
        <f ca="1">'график анн Комп 7%'!H209</f>
        <v>18849.375362085615</v>
      </c>
      <c r="F214" s="47">
        <f ca="1">'график анн Комп 7%'!F209</f>
        <v>13613.528292244329</v>
      </c>
      <c r="G214" s="47">
        <f ca="1">'график анн Комп 7%'!G209</f>
        <v>5235.8470698412848</v>
      </c>
      <c r="H214" s="157">
        <f>'график анн Комп 7%'!O209</f>
        <v>0</v>
      </c>
      <c r="I214" s="223" t="str">
        <f>'график анн Комп 7%'!M209</f>
        <v/>
      </c>
      <c r="J214" s="223" t="str">
        <f>'график анн Комп 7%'!N209</f>
        <v/>
      </c>
      <c r="K214" s="223" t="str">
        <f>'график анн Комп 7%'!I209</f>
        <v/>
      </c>
      <c r="L214" s="223" t="str">
        <f>'график анн Комп 7%'!J209</f>
        <v/>
      </c>
      <c r="M214" s="157">
        <f>'график анн Комп 7%'!K209</f>
        <v>0</v>
      </c>
      <c r="N214" s="223" t="str">
        <f>'график анн Комп 7%'!L209</f>
        <v/>
      </c>
      <c r="O214" s="51" t="str">
        <f>'график анн Комп 7%'!P209</f>
        <v/>
      </c>
      <c r="P214" s="49" t="str">
        <f>'график анн Комп 7%'!Q209</f>
        <v/>
      </c>
    </row>
    <row r="215" spans="1:16" x14ac:dyDescent="0.35">
      <c r="A215" s="154">
        <f>'график анн Комп 7%'!A210</f>
        <v>186</v>
      </c>
      <c r="B215" s="149">
        <f ca="1">'график анн Комп 7%'!C210</f>
        <v>50148</v>
      </c>
      <c r="C215" s="156">
        <f ca="1">'график анн Комп 7%'!D210</f>
        <v>31</v>
      </c>
      <c r="D215" s="151">
        <f ca="1">'график анн Комп 7%'!E210</f>
        <v>948697.81011992134</v>
      </c>
      <c r="E215" s="47">
        <f ca="1">'график анн Комп 7%'!H210</f>
        <v>18447.506279951212</v>
      </c>
      <c r="F215" s="47">
        <f ca="1">'график анн Комп 7%'!F210</f>
        <v>12731.6108184818</v>
      </c>
      <c r="G215" s="47">
        <f ca="1">'график анн Комп 7%'!G210</f>
        <v>5715.8954614694112</v>
      </c>
      <c r="H215" s="157">
        <f>'график анн Комп 7%'!O210</f>
        <v>0</v>
      </c>
      <c r="I215" s="223" t="str">
        <f>'график анн Комп 7%'!M210</f>
        <v/>
      </c>
      <c r="J215" s="223" t="str">
        <f>'график анн Комп 7%'!N210</f>
        <v/>
      </c>
      <c r="K215" s="223" t="str">
        <f>'график анн Комп 7%'!I210</f>
        <v/>
      </c>
      <c r="L215" s="223" t="str">
        <f>'график анн Комп 7%'!J210</f>
        <v/>
      </c>
      <c r="M215" s="157">
        <f>'график анн Комп 7%'!K210</f>
        <v>0</v>
      </c>
      <c r="N215" s="223" t="str">
        <f>'график анн Комп 7%'!L210</f>
        <v/>
      </c>
      <c r="O215" s="51" t="str">
        <f>'график анн Комп 7%'!P210</f>
        <v/>
      </c>
      <c r="P215" s="49" t="str">
        <f>'график анн Комп 7%'!Q210</f>
        <v/>
      </c>
    </row>
    <row r="216" spans="1:16" x14ac:dyDescent="0.35">
      <c r="A216" s="154">
        <f>'график анн Комп 7%'!A211</f>
        <v>187</v>
      </c>
      <c r="B216" s="149">
        <f ca="1">'график анн Комп 7%'!C211</f>
        <v>50178</v>
      </c>
      <c r="C216" s="156">
        <f ca="1">'график анн Комп 7%'!D211</f>
        <v>30</v>
      </c>
      <c r="D216" s="151">
        <f ca="1">'график анн Комп 7%'!E211</f>
        <v>935492.88867658912</v>
      </c>
      <c r="E216" s="47">
        <f ca="1">'график анн Комп 7%'!H211</f>
        <v>18663.18281662486</v>
      </c>
      <c r="F216" s="47">
        <f ca="1">'график анн Комп 7%'!F211</f>
        <v>13204.921443332161</v>
      </c>
      <c r="G216" s="47">
        <f ca="1">'график анн Комп 7%'!G211</f>
        <v>5458.2613732926984</v>
      </c>
      <c r="H216" s="157">
        <f>'график анн Комп 7%'!O211</f>
        <v>0</v>
      </c>
      <c r="I216" s="223" t="str">
        <f>'график анн Комп 7%'!M211</f>
        <v/>
      </c>
      <c r="J216" s="223" t="str">
        <f>'график анн Комп 7%'!N211</f>
        <v/>
      </c>
      <c r="K216" s="223" t="str">
        <f>'график анн Комп 7%'!I211</f>
        <v/>
      </c>
      <c r="L216" s="223" t="str">
        <f>'график анн Комп 7%'!J211</f>
        <v/>
      </c>
      <c r="M216" s="157">
        <f>'график анн Комп 7%'!K211</f>
        <v>0</v>
      </c>
      <c r="N216" s="223" t="str">
        <f>'график анн Комп 7%'!L211</f>
        <v/>
      </c>
      <c r="O216" s="51" t="str">
        <f>'график анн Комп 7%'!P211</f>
        <v/>
      </c>
      <c r="P216" s="49" t="str">
        <f>'график анн Комп 7%'!Q211</f>
        <v/>
      </c>
    </row>
    <row r="217" spans="1:16" x14ac:dyDescent="0.35">
      <c r="A217" s="154">
        <f>'график анн Комп 7%'!A212</f>
        <v>188</v>
      </c>
      <c r="B217" s="149">
        <f ca="1">'график анн Комп 7%'!C212</f>
        <v>50209</v>
      </c>
      <c r="C217" s="156">
        <f ca="1">'график анн Комп 7%'!D212</f>
        <v>31</v>
      </c>
      <c r="D217" s="151">
        <f ca="1">'график анн Комп 7%'!E212</f>
        <v>922477.99407861428</v>
      </c>
      <c r="E217" s="47">
        <f ca="1">'график анн Комп 7%'!H212</f>
        <v>18576.592045723297</v>
      </c>
      <c r="F217" s="47">
        <f ca="1">'график анн Комп 7%'!F212</f>
        <v>13014.894597974808</v>
      </c>
      <c r="G217" s="47">
        <f ca="1">'график анн Комп 7%'!G212</f>
        <v>5561.69744774849</v>
      </c>
      <c r="H217" s="157">
        <f>'график анн Комп 7%'!O212</f>
        <v>0</v>
      </c>
      <c r="I217" s="223" t="str">
        <f>'график анн Комп 7%'!M212</f>
        <v/>
      </c>
      <c r="J217" s="223" t="str">
        <f>'график анн Комп 7%'!N212</f>
        <v/>
      </c>
      <c r="K217" s="223" t="str">
        <f>'график анн Комп 7%'!I212</f>
        <v/>
      </c>
      <c r="L217" s="223" t="str">
        <f>'график анн Комп 7%'!J212</f>
        <v/>
      </c>
      <c r="M217" s="157">
        <f>'график анн Комп 7%'!K212</f>
        <v>0</v>
      </c>
      <c r="N217" s="223" t="str">
        <f>'график анн Комп 7%'!L212</f>
        <v/>
      </c>
      <c r="O217" s="51" t="str">
        <f>'график анн Комп 7%'!P212</f>
        <v/>
      </c>
      <c r="P217" s="49" t="str">
        <f>'график анн Комп 7%'!Q212</f>
        <v/>
      </c>
    </row>
    <row r="218" spans="1:16" x14ac:dyDescent="0.35">
      <c r="A218" s="154">
        <f>'график анн Комп 7%'!A213</f>
        <v>189</v>
      </c>
      <c r="B218" s="149">
        <f ca="1">'график анн Комп 7%'!C213</f>
        <v>50239</v>
      </c>
      <c r="C218" s="156">
        <f ca="1">'график анн Комп 7%'!D213</f>
        <v>30</v>
      </c>
      <c r="D218" s="151">
        <f ca="1">'график анн Комп 7%'!E213</f>
        <v>908995.93277148111</v>
      </c>
      <c r="E218" s="47">
        <f ca="1">'график анн Комп 7%'!H213</f>
        <v>18789.468944297787</v>
      </c>
      <c r="F218" s="47">
        <f ca="1">'график анн Комп 7%'!F213</f>
        <v>13482.061307133155</v>
      </c>
      <c r="G218" s="47">
        <f ca="1">'график анн Комп 7%'!G213</f>
        <v>5307.4076371646306</v>
      </c>
      <c r="H218" s="157">
        <f>'график анн Комп 7%'!O213</f>
        <v>0</v>
      </c>
      <c r="I218" s="223" t="str">
        <f>'график анн Комп 7%'!M213</f>
        <v/>
      </c>
      <c r="J218" s="223" t="str">
        <f>'график анн Комп 7%'!N213</f>
        <v/>
      </c>
      <c r="K218" s="223" t="str">
        <f>'график анн Комп 7%'!I213</f>
        <v/>
      </c>
      <c r="L218" s="223" t="str">
        <f>'график анн Комп 7%'!J213</f>
        <v/>
      </c>
      <c r="M218" s="157">
        <f>'график анн Комп 7%'!K213</f>
        <v>0</v>
      </c>
      <c r="N218" s="223" t="str">
        <f>'график анн Комп 7%'!L213</f>
        <v/>
      </c>
      <c r="O218" s="51" t="str">
        <f>'график анн Комп 7%'!P213</f>
        <v/>
      </c>
      <c r="P218" s="49" t="str">
        <f>'график анн Комп 7%'!Q213</f>
        <v/>
      </c>
    </row>
    <row r="219" spans="1:16" x14ac:dyDescent="0.35">
      <c r="A219" s="154">
        <f>'график анн Комп 7%'!A214</f>
        <v>190</v>
      </c>
      <c r="B219" s="149">
        <f ca="1">'график анн Комп 7%'!C214</f>
        <v>50270</v>
      </c>
      <c r="C219" s="156">
        <f ca="1">'график анн Комп 7%'!D214</f>
        <v>31</v>
      </c>
      <c r="D219" s="151">
        <f ca="1">'график анн Комп 7%'!E214</f>
        <v>895691.63333950273</v>
      </c>
      <c r="E219" s="47">
        <f ca="1">'график анн Комп 7%'!H214</f>
        <v>18708.467032291021</v>
      </c>
      <c r="F219" s="47">
        <f ca="1">'график анн Комп 7%'!F214</f>
        <v>13304.299431978379</v>
      </c>
      <c r="G219" s="47">
        <f ca="1">'график анн Комп 7%'!G214</f>
        <v>5404.1676003126413</v>
      </c>
      <c r="H219" s="157">
        <f>'график анн Комп 7%'!O214</f>
        <v>0</v>
      </c>
      <c r="I219" s="223" t="str">
        <f>'график анн Комп 7%'!M214</f>
        <v/>
      </c>
      <c r="J219" s="223" t="str">
        <f>'график анн Комп 7%'!N214</f>
        <v/>
      </c>
      <c r="K219" s="223" t="str">
        <f>'график анн Комп 7%'!I214</f>
        <v/>
      </c>
      <c r="L219" s="223" t="str">
        <f>'график анн Комп 7%'!J214</f>
        <v/>
      </c>
      <c r="M219" s="157">
        <f>'график анн Комп 7%'!K214</f>
        <v>0</v>
      </c>
      <c r="N219" s="223" t="str">
        <f>'график анн Комп 7%'!L214</f>
        <v/>
      </c>
      <c r="O219" s="51" t="str">
        <f>'график анн Комп 7%'!P214</f>
        <v/>
      </c>
      <c r="P219" s="49" t="str">
        <f>'график анн Комп 7%'!Q214</f>
        <v/>
      </c>
    </row>
    <row r="220" spans="1:16" x14ac:dyDescent="0.35">
      <c r="A220" s="154">
        <f>'график анн Комп 7%'!A215</f>
        <v>191</v>
      </c>
      <c r="B220" s="149">
        <f ca="1">'график анн Комп 7%'!C215</f>
        <v>50301</v>
      </c>
      <c r="C220" s="156">
        <f ca="1">'график анн Комп 7%'!D215</f>
        <v>31</v>
      </c>
      <c r="D220" s="151">
        <f ca="1">'график анн Комп 7%'!E215</f>
        <v>882242.02179761883</v>
      </c>
      <c r="E220" s="47">
        <f ca="1">'график анн Комп 7%'!H215</f>
        <v>18774.682348313301</v>
      </c>
      <c r="F220" s="47">
        <f ca="1">'график анн Комп 7%'!F215</f>
        <v>13449.611541883927</v>
      </c>
      <c r="G220" s="47">
        <f ca="1">'график анн Комп 7%'!G215</f>
        <v>5325.0708064293731</v>
      </c>
      <c r="H220" s="157">
        <f>'график анн Комп 7%'!O215</f>
        <v>0</v>
      </c>
      <c r="I220" s="223" t="str">
        <f>'график анн Комп 7%'!M215</f>
        <v/>
      </c>
      <c r="J220" s="223" t="str">
        <f>'график анн Комп 7%'!N215</f>
        <v/>
      </c>
      <c r="K220" s="223" t="str">
        <f>'график анн Комп 7%'!I215</f>
        <v/>
      </c>
      <c r="L220" s="223" t="str">
        <f>'график анн Комп 7%'!J215</f>
        <v/>
      </c>
      <c r="M220" s="157">
        <f>'график анн Комп 7%'!K215</f>
        <v>0</v>
      </c>
      <c r="N220" s="223" t="str">
        <f>'график анн Комп 7%'!L215</f>
        <v/>
      </c>
      <c r="O220" s="51" t="str">
        <f>'график анн Комп 7%'!P215</f>
        <v/>
      </c>
      <c r="P220" s="49" t="str">
        <f>'график анн Комп 7%'!Q215</f>
        <v/>
      </c>
    </row>
    <row r="221" spans="1:16" x14ac:dyDescent="0.35">
      <c r="A221" s="154">
        <f>'график анн Комп 7%'!A216</f>
        <v>192</v>
      </c>
      <c r="B221" s="149">
        <f ca="1">'график анн Комп 7%'!C216</f>
        <v>50331</v>
      </c>
      <c r="C221" s="156">
        <f ca="1">'график анн Комп 7%'!D216</f>
        <v>30</v>
      </c>
      <c r="D221" s="151">
        <f ca="1">'график анн Комп 7%'!E216</f>
        <v>868334.67177525256</v>
      </c>
      <c r="E221" s="47">
        <f ca="1">'график анн Комп 7%'!H216</f>
        <v>18983.263024489537</v>
      </c>
      <c r="F221" s="47">
        <f ca="1">'график анн Комп 7%'!F216</f>
        <v>13907.350022366252</v>
      </c>
      <c r="G221" s="47">
        <f ca="1">'график анн Комп 7%'!G216</f>
        <v>5075.9130021232859</v>
      </c>
      <c r="H221" s="157">
        <f>'график анн Комп 7%'!O216</f>
        <v>0</v>
      </c>
      <c r="I221" s="223" t="str">
        <f>'график анн Комп 7%'!M216</f>
        <v/>
      </c>
      <c r="J221" s="223" t="str">
        <f>'график анн Комп 7%'!N216</f>
        <v/>
      </c>
      <c r="K221" s="223" t="str">
        <f>'график анн Комп 7%'!I216</f>
        <v/>
      </c>
      <c r="L221" s="223" t="str">
        <f>'график анн Комп 7%'!J216</f>
        <v/>
      </c>
      <c r="M221" s="157">
        <f>'график анн Комп 7%'!K216</f>
        <v>0</v>
      </c>
      <c r="N221" s="223" t="str">
        <f>'график анн Комп 7%'!L216</f>
        <v/>
      </c>
      <c r="O221" s="51" t="str">
        <f>'график анн Комп 7%'!P216</f>
        <v/>
      </c>
      <c r="P221" s="49" t="str">
        <f>'график анн Комп 7%'!Q216</f>
        <v/>
      </c>
    </row>
    <row r="222" spans="1:16" x14ac:dyDescent="0.35">
      <c r="A222" s="154">
        <f>'график анн Комп 7%'!A217</f>
        <v>193</v>
      </c>
      <c r="B222" s="149">
        <f ca="1">'график анн Комп 7%'!C217</f>
        <v>50362</v>
      </c>
      <c r="C222" s="156">
        <f ca="1">'график анн Комп 7%'!D217</f>
        <v>31</v>
      </c>
      <c r="D222" s="151">
        <f ca="1">'график анн Комп 7%'!E217</f>
        <v>854586.26225262333</v>
      </c>
      <c r="E222" s="47">
        <f ca="1">'график анн Комп 7%'!H217</f>
        <v>18910.837571265674</v>
      </c>
      <c r="F222" s="47">
        <f ca="1">'график анн Комп 7%'!F217</f>
        <v>13748.409522629241</v>
      </c>
      <c r="G222" s="47">
        <f ca="1">'график анн Комп 7%'!G217</f>
        <v>5162.4280486364341</v>
      </c>
      <c r="H222" s="157">
        <f>'график анн Комп 7%'!O217</f>
        <v>0</v>
      </c>
      <c r="I222" s="223" t="str">
        <f>'график анн Комп 7%'!M217</f>
        <v/>
      </c>
      <c r="J222" s="223">
        <f>'график анн Комп 7%'!N217</f>
        <v>0</v>
      </c>
      <c r="K222" s="223" t="str">
        <f>'график анн Комп 7%'!I217</f>
        <v/>
      </c>
      <c r="L222" s="223" t="str">
        <f>'график анн Комп 7%'!J217</f>
        <v/>
      </c>
      <c r="M222" s="201">
        <f>'график анн Комп 7%'!K217</f>
        <v>7500</v>
      </c>
      <c r="N222" s="223" t="str">
        <f>'график анн Комп 7%'!L217</f>
        <v/>
      </c>
      <c r="O222" s="51" t="str">
        <f>'график анн Комп 7%'!P217</f>
        <v/>
      </c>
      <c r="P222" s="49" t="str">
        <f>'график анн Комп 7%'!Q217</f>
        <v/>
      </c>
    </row>
    <row r="223" spans="1:16" x14ac:dyDescent="0.35">
      <c r="A223" s="154">
        <f>'график анн Комп 7%'!A218</f>
        <v>194</v>
      </c>
      <c r="B223" s="149">
        <f ca="1">'график анн Комп 7%'!C218</f>
        <v>50392</v>
      </c>
      <c r="C223" s="156">
        <f ca="1">'график анн Комп 7%'!D218</f>
        <v>30</v>
      </c>
      <c r="D223" s="151">
        <f ca="1">'график анн Комп 7%'!E218</f>
        <v>840386.59464032669</v>
      </c>
      <c r="E223" s="47">
        <f ca="1">'график анн Комп 7%'!H218</f>
        <v>19116.465285530914</v>
      </c>
      <c r="F223" s="47">
        <f ca="1">'график анн Комп 7%'!F218</f>
        <v>14199.667612296642</v>
      </c>
      <c r="G223" s="47">
        <f ca="1">'график анн Комп 7%'!G218</f>
        <v>4916.7976732342713</v>
      </c>
      <c r="H223" s="157">
        <f>'график анн Комп 7%'!O218</f>
        <v>0</v>
      </c>
      <c r="I223" s="223" t="str">
        <f>'график анн Комп 7%'!M218</f>
        <v/>
      </c>
      <c r="J223" s="223" t="str">
        <f>'график анн Комп 7%'!N218</f>
        <v/>
      </c>
      <c r="K223" s="223" t="str">
        <f>'график анн Комп 7%'!I218</f>
        <v/>
      </c>
      <c r="L223" s="223" t="str">
        <f>'график анн Комп 7%'!J218</f>
        <v/>
      </c>
      <c r="M223" s="157">
        <f>'график анн Комп 7%'!K218</f>
        <v>0</v>
      </c>
      <c r="N223" s="223" t="str">
        <f>'график анн Комп 7%'!L218</f>
        <v/>
      </c>
      <c r="O223" s="51" t="str">
        <f>'график анн Комп 7%'!P218</f>
        <v/>
      </c>
      <c r="P223" s="49" t="str">
        <f>'график анн Комп 7%'!Q218</f>
        <v/>
      </c>
    </row>
    <row r="224" spans="1:16" x14ac:dyDescent="0.35">
      <c r="A224" s="154">
        <f>'график анн Комп 7%'!A219</f>
        <v>195</v>
      </c>
      <c r="B224" s="149">
        <f ca="1">'график анн Комп 7%'!C219</f>
        <v>50423</v>
      </c>
      <c r="C224" s="156">
        <f ca="1">'график анн Комп 7%'!D219</f>
        <v>31</v>
      </c>
      <c r="D224" s="151">
        <f ca="1">'график анн Комп 7%'!E219</f>
        <v>826332.93085932452</v>
      </c>
      <c r="E224" s="47">
        <f ca="1">'график анн Комп 7%'!H219</f>
        <v>19049.93476831583</v>
      </c>
      <c r="F224" s="47">
        <f ca="1">'график анн Комп 7%'!F219</f>
        <v>14053.663781002106</v>
      </c>
      <c r="G224" s="47">
        <f ca="1">'график анн Комп 7%'!G219</f>
        <v>4996.2709873137237</v>
      </c>
      <c r="H224" s="157">
        <f>'график анн Комп 7%'!O219</f>
        <v>0</v>
      </c>
      <c r="I224" s="223" t="str">
        <f>'график анн Комп 7%'!M219</f>
        <v/>
      </c>
      <c r="J224" s="223" t="str">
        <f>'график анн Комп 7%'!N219</f>
        <v/>
      </c>
      <c r="K224" s="223" t="str">
        <f>'график анн Комп 7%'!I219</f>
        <v/>
      </c>
      <c r="L224" s="223" t="str">
        <f>'график анн Комп 7%'!J219</f>
        <v/>
      </c>
      <c r="M224" s="157">
        <f>'график анн Комп 7%'!K219</f>
        <v>0</v>
      </c>
      <c r="N224" s="223" t="str">
        <f>'график анн Комп 7%'!L219</f>
        <v/>
      </c>
      <c r="O224" s="51" t="str">
        <f>'график анн Комп 7%'!P219</f>
        <v/>
      </c>
      <c r="P224" s="49" t="str">
        <f>'график анн Комп 7%'!Q219</f>
        <v/>
      </c>
    </row>
    <row r="225" spans="1:16" x14ac:dyDescent="0.35">
      <c r="A225" s="154">
        <f>'график анн Комп 7%'!A220</f>
        <v>196</v>
      </c>
      <c r="B225" s="149">
        <f ca="1">'график анн Комп 7%'!C220</f>
        <v>50454</v>
      </c>
      <c r="C225" s="156">
        <f ca="1">'график анн Комп 7%'!D220</f>
        <v>31</v>
      </c>
      <c r="D225" s="151">
        <f ca="1">'график анн Комп 7%'!E220</f>
        <v>812125.77026728308</v>
      </c>
      <c r="E225" s="47">
        <f ca="1">'график анн Комп 7%'!H220</f>
        <v>19119.879660437935</v>
      </c>
      <c r="F225" s="47">
        <f ca="1">'график анн Комп 7%'!F220</f>
        <v>14207.160592041402</v>
      </c>
      <c r="G225" s="47">
        <f ca="1">'график анн Комп 7%'!G220</f>
        <v>4912.7190683965327</v>
      </c>
      <c r="H225" s="157">
        <f>'график анн Комп 7%'!O220</f>
        <v>0</v>
      </c>
      <c r="I225" s="223" t="str">
        <f>'график анн Комп 7%'!M220</f>
        <v/>
      </c>
      <c r="J225" s="223" t="str">
        <f>'график анн Комп 7%'!N220</f>
        <v/>
      </c>
      <c r="K225" s="223" t="str">
        <f>'график анн Комп 7%'!I220</f>
        <v/>
      </c>
      <c r="L225" s="223" t="str">
        <f>'график анн Комп 7%'!J220</f>
        <v/>
      </c>
      <c r="M225" s="157">
        <f>'график анн Комп 7%'!K220</f>
        <v>0</v>
      </c>
      <c r="N225" s="223" t="str">
        <f>'график анн Комп 7%'!L220</f>
        <v/>
      </c>
      <c r="O225" s="51" t="str">
        <f>'график анн Комп 7%'!P220</f>
        <v/>
      </c>
      <c r="P225" s="49" t="str">
        <f>'график анн Комп 7%'!Q220</f>
        <v/>
      </c>
    </row>
    <row r="226" spans="1:16" x14ac:dyDescent="0.35">
      <c r="A226" s="154">
        <f>'график анн Комп 7%'!A221</f>
        <v>197</v>
      </c>
      <c r="B226" s="149">
        <f ca="1">'график анн Комп 7%'!C221</f>
        <v>50482</v>
      </c>
      <c r="C226" s="156">
        <f ca="1">'график анн Комп 7%'!D221</f>
        <v>28</v>
      </c>
      <c r="D226" s="151">
        <f ca="1">'график анн Комп 7%'!E221</f>
        <v>796905.03052843246</v>
      </c>
      <c r="E226" s="47">
        <f ca="1">'график анн Комп 7%'!H221</f>
        <v>19581.743875080374</v>
      </c>
      <c r="F226" s="47">
        <f ca="1">'график анн Комп 7%'!F221</f>
        <v>15220.739738850581</v>
      </c>
      <c r="G226" s="47">
        <f ca="1">'график анн Комп 7%'!G221</f>
        <v>4361.0041362297934</v>
      </c>
      <c r="H226" s="157">
        <f>'график анн Комп 7%'!O221</f>
        <v>0</v>
      </c>
      <c r="I226" s="223" t="str">
        <f>'график анн Комп 7%'!M221</f>
        <v/>
      </c>
      <c r="J226" s="223" t="str">
        <f>'график анн Комп 7%'!N221</f>
        <v/>
      </c>
      <c r="K226" s="223" t="str">
        <f>'график анн Комп 7%'!I221</f>
        <v/>
      </c>
      <c r="L226" s="223" t="str">
        <f>'график анн Комп 7%'!J221</f>
        <v/>
      </c>
      <c r="M226" s="157">
        <f>'график анн Комп 7%'!K221</f>
        <v>0</v>
      </c>
      <c r="N226" s="223" t="str">
        <f>'график анн Комп 7%'!L221</f>
        <v/>
      </c>
      <c r="O226" s="51" t="str">
        <f>'график анн Комп 7%'!P221</f>
        <v/>
      </c>
      <c r="P226" s="49" t="str">
        <f>'график анн Комп 7%'!Q221</f>
        <v/>
      </c>
    </row>
    <row r="227" spans="1:16" x14ac:dyDescent="0.35">
      <c r="A227" s="154">
        <f>'график анн Комп 7%'!A222</f>
        <v>198</v>
      </c>
      <c r="B227" s="149">
        <f ca="1">'график анн Комп 7%'!C222</f>
        <v>50513</v>
      </c>
      <c r="C227" s="156">
        <f ca="1">'график анн Комп 7%'!D222</f>
        <v>31</v>
      </c>
      <c r="D227" s="151">
        <f ca="1">'график анн Комп 7%'!E222</f>
        <v>782376.45276527014</v>
      </c>
      <c r="E227" s="47">
        <f ca="1">'график анн Комп 7%'!H222</f>
        <v>19266.341917262864</v>
      </c>
      <c r="F227" s="47">
        <f ca="1">'график анн Комп 7%'!F222</f>
        <v>14528.577763162319</v>
      </c>
      <c r="G227" s="47">
        <f ca="1">'график анн Комп 7%'!G222</f>
        <v>4737.7641541005441</v>
      </c>
      <c r="H227" s="157">
        <f>'график анн Комп 7%'!O222</f>
        <v>0</v>
      </c>
      <c r="I227" s="223" t="str">
        <f>'график анн Комп 7%'!M222</f>
        <v/>
      </c>
      <c r="J227" s="223" t="str">
        <f>'график анн Комп 7%'!N222</f>
        <v/>
      </c>
      <c r="K227" s="223" t="str">
        <f>'график анн Комп 7%'!I222</f>
        <v/>
      </c>
      <c r="L227" s="223" t="str">
        <f>'график анн Комп 7%'!J222</f>
        <v/>
      </c>
      <c r="M227" s="157">
        <f>'график анн Комп 7%'!K222</f>
        <v>0</v>
      </c>
      <c r="N227" s="223" t="str">
        <f>'график анн Комп 7%'!L222</f>
        <v/>
      </c>
      <c r="O227" s="51" t="str">
        <f>'график анн Комп 7%'!P222</f>
        <v/>
      </c>
      <c r="P227" s="49" t="str">
        <f>'график анн Комп 7%'!Q222</f>
        <v/>
      </c>
    </row>
    <row r="228" spans="1:16" x14ac:dyDescent="0.35">
      <c r="A228" s="154">
        <f>'график анн Комп 7%'!A223</f>
        <v>199</v>
      </c>
      <c r="B228" s="149">
        <f ca="1">'график анн Комп 7%'!C223</f>
        <v>50543</v>
      </c>
      <c r="C228" s="156">
        <f ca="1">'график анн Комп 7%'!D223</f>
        <v>30</v>
      </c>
      <c r="D228" s="151">
        <f ca="1">'график анн Комп 7%'!E223</f>
        <v>767413.53735844686</v>
      </c>
      <c r="E228" s="47">
        <f ca="1">'график анн Комп 7%'!H223</f>
        <v>19464.259381637126</v>
      </c>
      <c r="F228" s="47">
        <f ca="1">'график анн Комп 7%'!F223</f>
        <v>14962.915406823242</v>
      </c>
      <c r="G228" s="47">
        <f ca="1">'график анн Комп 7%'!G223</f>
        <v>4501.3439748138835</v>
      </c>
      <c r="H228" s="157">
        <f>'график анн Комп 7%'!O223</f>
        <v>0</v>
      </c>
      <c r="I228" s="223" t="str">
        <f>'график анн Комп 7%'!M223</f>
        <v/>
      </c>
      <c r="J228" s="223" t="str">
        <f>'график анн Комп 7%'!N223</f>
        <v/>
      </c>
      <c r="K228" s="223" t="str">
        <f>'график анн Комп 7%'!I223</f>
        <v/>
      </c>
      <c r="L228" s="223" t="str">
        <f>'график анн Комп 7%'!J223</f>
        <v/>
      </c>
      <c r="M228" s="157">
        <f>'график анн Комп 7%'!K223</f>
        <v>0</v>
      </c>
      <c r="N228" s="223" t="str">
        <f>'график анн Комп 7%'!L223</f>
        <v/>
      </c>
      <c r="O228" s="51" t="str">
        <f>'график анн Комп 7%'!P223</f>
        <v/>
      </c>
      <c r="P228" s="49" t="str">
        <f>'график анн Комп 7%'!Q223</f>
        <v/>
      </c>
    </row>
    <row r="229" spans="1:16" x14ac:dyDescent="0.35">
      <c r="A229" s="154">
        <f>'график анн Комп 7%'!A224</f>
        <v>200</v>
      </c>
      <c r="B229" s="149">
        <f ca="1">'график анн Комп 7%'!C224</f>
        <v>50574</v>
      </c>
      <c r="C229" s="156">
        <f ca="1">'график анн Комп 7%'!D224</f>
        <v>31</v>
      </c>
      <c r="D229" s="151">
        <f ca="1">'график анн Комп 7%'!E224</f>
        <v>752562.84785097919</v>
      </c>
      <c r="E229" s="47">
        <f ca="1">'график анн Комп 7%'!H224</f>
        <v>19413.120674776823</v>
      </c>
      <c r="F229" s="47">
        <f ca="1">'график анн Комп 7%'!F224</f>
        <v>14850.689507467701</v>
      </c>
      <c r="G229" s="47">
        <f ca="1">'график анн Комп 7%'!G224</f>
        <v>4562.4311673091224</v>
      </c>
      <c r="H229" s="157">
        <f>'график анн Комп 7%'!O224</f>
        <v>0</v>
      </c>
      <c r="I229" s="223" t="str">
        <f>'график анн Комп 7%'!M224</f>
        <v/>
      </c>
      <c r="J229" s="223" t="str">
        <f>'график анн Комп 7%'!N224</f>
        <v/>
      </c>
      <c r="K229" s="223" t="str">
        <f>'график анн Комп 7%'!I224</f>
        <v/>
      </c>
      <c r="L229" s="223" t="str">
        <f>'график анн Комп 7%'!J224</f>
        <v/>
      </c>
      <c r="M229" s="157">
        <f>'график анн Комп 7%'!K224</f>
        <v>0</v>
      </c>
      <c r="N229" s="223" t="str">
        <f>'график анн Комп 7%'!L224</f>
        <v/>
      </c>
      <c r="O229" s="51" t="str">
        <f>'график анн Комп 7%'!P224</f>
        <v/>
      </c>
      <c r="P229" s="49" t="str">
        <f>'график анн Комп 7%'!Q224</f>
        <v/>
      </c>
    </row>
    <row r="230" spans="1:16" x14ac:dyDescent="0.35">
      <c r="A230" s="154">
        <f>'график анн Комп 7%'!A225</f>
        <v>201</v>
      </c>
      <c r="B230" s="149">
        <f ca="1">'график анн Комп 7%'!C225</f>
        <v>50604</v>
      </c>
      <c r="C230" s="156">
        <f ca="1">'график анн Комп 7%'!D225</f>
        <v>30</v>
      </c>
      <c r="D230" s="151">
        <f ca="1">'график анн Комп 7%'!E225</f>
        <v>737284.80672426731</v>
      </c>
      <c r="E230" s="47">
        <f ca="1">'график анн Комп 7%'!H225</f>
        <v>19607.854771881844</v>
      </c>
      <c r="F230" s="47">
        <f ca="1">'график анн Комп 7%'!F225</f>
        <v>15278.041126711829</v>
      </c>
      <c r="G230" s="47">
        <f ca="1">'график анн Комп 7%'!G225</f>
        <v>4329.8136451700175</v>
      </c>
      <c r="H230" s="157">
        <f>'график анн Комп 7%'!O225</f>
        <v>0</v>
      </c>
      <c r="I230" s="223" t="str">
        <f>'график анн Комп 7%'!M225</f>
        <v/>
      </c>
      <c r="J230" s="223" t="str">
        <f>'график анн Комп 7%'!N225</f>
        <v/>
      </c>
      <c r="K230" s="223" t="str">
        <f>'график анн Комп 7%'!I225</f>
        <v/>
      </c>
      <c r="L230" s="223" t="str">
        <f>'график анн Комп 7%'!J225</f>
        <v/>
      </c>
      <c r="M230" s="157">
        <f>'график анн Комп 7%'!K225</f>
        <v>0</v>
      </c>
      <c r="N230" s="223" t="str">
        <f>'график анн Комп 7%'!L225</f>
        <v/>
      </c>
      <c r="O230" s="51" t="str">
        <f>'график анн Комп 7%'!P225</f>
        <v/>
      </c>
      <c r="P230" s="49" t="str">
        <f>'график анн Комп 7%'!Q225</f>
        <v/>
      </c>
    </row>
    <row r="231" spans="1:16" x14ac:dyDescent="0.35">
      <c r="A231" s="154">
        <f>'график анн Комп 7%'!A226</f>
        <v>202</v>
      </c>
      <c r="B231" s="149">
        <f ca="1">'график анн Комп 7%'!C226</f>
        <v>50635</v>
      </c>
      <c r="C231" s="156">
        <f ca="1">'график анн Комп 7%'!D226</f>
        <v>31</v>
      </c>
      <c r="D231" s="151">
        <f ca="1">'график анн Комп 7%'!E226</f>
        <v>722105.04544270039</v>
      </c>
      <c r="E231" s="47">
        <f ca="1">'график анн Комп 7%'!H226</f>
        <v>19563.0709544208</v>
      </c>
      <c r="F231" s="47">
        <f ca="1">'график анн Комп 7%'!F226</f>
        <v>15179.761281566934</v>
      </c>
      <c r="G231" s="47">
        <f ca="1">'график анн Комп 7%'!G226</f>
        <v>4383.309672853864</v>
      </c>
      <c r="H231" s="157">
        <f>'график анн Комп 7%'!O226</f>
        <v>0</v>
      </c>
      <c r="I231" s="223" t="str">
        <f>'график анн Комп 7%'!M226</f>
        <v/>
      </c>
      <c r="J231" s="223" t="str">
        <f>'график анн Комп 7%'!N226</f>
        <v/>
      </c>
      <c r="K231" s="223" t="str">
        <f>'график анн Комп 7%'!I226</f>
        <v/>
      </c>
      <c r="L231" s="223" t="str">
        <f>'график анн Комп 7%'!J226</f>
        <v/>
      </c>
      <c r="M231" s="157">
        <f>'график анн Комп 7%'!K226</f>
        <v>0</v>
      </c>
      <c r="N231" s="223" t="str">
        <f>'график анн Комп 7%'!L226</f>
        <v/>
      </c>
      <c r="O231" s="51" t="str">
        <f>'график анн Комп 7%'!P226</f>
        <v/>
      </c>
      <c r="P231" s="49" t="str">
        <f>'график анн Комп 7%'!Q226</f>
        <v/>
      </c>
    </row>
    <row r="232" spans="1:16" x14ac:dyDescent="0.35">
      <c r="A232" s="154">
        <f>'график анн Комп 7%'!A227</f>
        <v>203</v>
      </c>
      <c r="B232" s="149">
        <f ca="1">'график анн Комп 7%'!C227</f>
        <v>50666</v>
      </c>
      <c r="C232" s="156">
        <f ca="1">'график анн Комп 7%'!D227</f>
        <v>31</v>
      </c>
      <c r="D232" s="151">
        <f ca="1">'график анн Комп 7%'!E227</f>
        <v>706759.48789722903</v>
      </c>
      <c r="E232" s="47">
        <f ca="1">'график анн Комп 7%'!H227</f>
        <v>19638.620418377221</v>
      </c>
      <c r="F232" s="47">
        <f ca="1">'график анн Комп 7%'!F227</f>
        <v>15345.557545471303</v>
      </c>
      <c r="G232" s="47">
        <f ca="1">'график анн Комп 7%'!G227</f>
        <v>4293.0628729059172</v>
      </c>
      <c r="H232" s="157">
        <f>'график анн Комп 7%'!O227</f>
        <v>0</v>
      </c>
      <c r="I232" s="223" t="str">
        <f>'график анн Комп 7%'!M227</f>
        <v/>
      </c>
      <c r="J232" s="223" t="str">
        <f>'график анн Комп 7%'!N227</f>
        <v/>
      </c>
      <c r="K232" s="223" t="str">
        <f>'график анн Комп 7%'!I227</f>
        <v/>
      </c>
      <c r="L232" s="223" t="str">
        <f>'график анн Комп 7%'!J227</f>
        <v/>
      </c>
      <c r="M232" s="157">
        <f>'график анн Комп 7%'!K227</f>
        <v>0</v>
      </c>
      <c r="N232" s="223" t="str">
        <f>'график анн Комп 7%'!L227</f>
        <v/>
      </c>
      <c r="O232" s="51" t="str">
        <f>'график анн Комп 7%'!P227</f>
        <v/>
      </c>
      <c r="P232" s="49" t="str">
        <f>'график анн Комп 7%'!Q227</f>
        <v/>
      </c>
    </row>
    <row r="233" spans="1:16" x14ac:dyDescent="0.35">
      <c r="A233" s="154">
        <f>'график анн Комп 7%'!A228</f>
        <v>204</v>
      </c>
      <c r="B233" s="149">
        <f ca="1">'график анн Комп 7%'!C228</f>
        <v>50696</v>
      </c>
      <c r="C233" s="156">
        <f ca="1">'график анн Комп 7%'!D228</f>
        <v>30</v>
      </c>
      <c r="D233" s="151">
        <f ca="1">'график анн Комп 7%'!E228</f>
        <v>690997.31153023895</v>
      </c>
      <c r="E233" s="47">
        <f ca="1">'график анн Комп 7%'!H228</f>
        <v>19828.463831604291</v>
      </c>
      <c r="F233" s="47">
        <f ca="1">'график анн Комп 7%'!F228</f>
        <v>15762.176366990097</v>
      </c>
      <c r="G233" s="47">
        <f ca="1">'график анн Комп 7%'!G228</f>
        <v>4066.2874646141954</v>
      </c>
      <c r="H233" s="157">
        <f>'график анн Комп 7%'!O228</f>
        <v>0</v>
      </c>
      <c r="I233" s="223" t="str">
        <f>'график анн Комп 7%'!M228</f>
        <v/>
      </c>
      <c r="J233" s="223" t="str">
        <f>'график анн Комп 7%'!N228</f>
        <v/>
      </c>
      <c r="K233" s="223" t="str">
        <f>'график анн Комп 7%'!I228</f>
        <v/>
      </c>
      <c r="L233" s="223" t="str">
        <f>'график анн Комп 7%'!J228</f>
        <v/>
      </c>
      <c r="M233" s="157">
        <f>'график анн Комп 7%'!K228</f>
        <v>0</v>
      </c>
      <c r="N233" s="223" t="str">
        <f>'график анн Комп 7%'!L228</f>
        <v/>
      </c>
      <c r="O233" s="51" t="str">
        <f>'график анн Комп 7%'!P228</f>
        <v/>
      </c>
      <c r="P233" s="49" t="str">
        <f>'график анн Комп 7%'!Q228</f>
        <v/>
      </c>
    </row>
    <row r="234" spans="1:16" x14ac:dyDescent="0.35">
      <c r="A234" s="154">
        <f>'график анн Комп 7%'!A229</f>
        <v>205</v>
      </c>
      <c r="B234" s="149">
        <f ca="1">'график анн Комп 7%'!C229</f>
        <v>50727</v>
      </c>
      <c r="C234" s="156">
        <f ca="1">'график анн Комп 7%'!D229</f>
        <v>31</v>
      </c>
      <c r="D234" s="151">
        <f ca="1">'график анн Комп 7%'!E229</f>
        <v>675311.989349109</v>
      </c>
      <c r="E234" s="47">
        <f ca="1">'график анн Комп 7%'!H229</f>
        <v>19793.4431839262</v>
      </c>
      <c r="F234" s="47">
        <f ca="1">'график анн Комп 7%'!F229</f>
        <v>15685.322181129985</v>
      </c>
      <c r="G234" s="47">
        <f ca="1">'график анн Комп 7%'!G229</f>
        <v>4108.1210027962152</v>
      </c>
      <c r="H234" s="157">
        <f>'график анн Комп 7%'!O229</f>
        <v>0</v>
      </c>
      <c r="I234" s="223" t="str">
        <f>'график анн Комп 7%'!M229</f>
        <v/>
      </c>
      <c r="J234" s="223">
        <f>'график анн Комп 7%'!N229</f>
        <v>0</v>
      </c>
      <c r="K234" s="223" t="str">
        <f>'график анн Комп 7%'!I229</f>
        <v/>
      </c>
      <c r="L234" s="223" t="str">
        <f>'график анн Комп 7%'!J229</f>
        <v/>
      </c>
      <c r="M234" s="201">
        <f>'график анн Комп 7%'!K229</f>
        <v>7500</v>
      </c>
      <c r="N234" s="223" t="str">
        <f>'график анн Комп 7%'!L229</f>
        <v/>
      </c>
      <c r="O234" s="51" t="str">
        <f>'график анн Комп 7%'!P229</f>
        <v/>
      </c>
      <c r="P234" s="49" t="str">
        <f>'график анн Комп 7%'!Q229</f>
        <v/>
      </c>
    </row>
    <row r="235" spans="1:16" x14ac:dyDescent="0.35">
      <c r="A235" s="154">
        <f>'график анн Комп 7%'!A230</f>
        <v>206</v>
      </c>
      <c r="B235" s="149">
        <f ca="1">'график анн Комп 7%'!C230</f>
        <v>50757</v>
      </c>
      <c r="C235" s="156">
        <f ca="1">'график анн Комп 7%'!D230</f>
        <v>30</v>
      </c>
      <c r="D235" s="151">
        <f ca="1">'график анн Комп 7%'!E230</f>
        <v>659217.41723034182</v>
      </c>
      <c r="E235" s="47">
        <f ca="1">'график анн Комп 7%'!H230</f>
        <v>19979.928769816881</v>
      </c>
      <c r="F235" s="47">
        <f ca="1">'график анн Комп 7%'!F230</f>
        <v>16094.572118767213</v>
      </c>
      <c r="G235" s="47">
        <f ca="1">'график анн Комп 7%'!G230</f>
        <v>3885.3566510496685</v>
      </c>
      <c r="H235" s="157">
        <f>'график анн Комп 7%'!O230</f>
        <v>0</v>
      </c>
      <c r="I235" s="223" t="str">
        <f>'график анн Комп 7%'!M230</f>
        <v/>
      </c>
      <c r="J235" s="223" t="str">
        <f>'график анн Комп 7%'!N230</f>
        <v/>
      </c>
      <c r="K235" s="223" t="str">
        <f>'график анн Комп 7%'!I230</f>
        <v/>
      </c>
      <c r="L235" s="223" t="str">
        <f>'график анн Комп 7%'!J230</f>
        <v/>
      </c>
      <c r="M235" s="157">
        <f>'график анн Комп 7%'!K230</f>
        <v>0</v>
      </c>
      <c r="N235" s="223" t="str">
        <f>'график анн Комп 7%'!L230</f>
        <v/>
      </c>
      <c r="O235" s="51" t="str">
        <f>'график анн Комп 7%'!P230</f>
        <v/>
      </c>
      <c r="P235" s="49" t="str">
        <f>'график анн Комп 7%'!Q230</f>
        <v/>
      </c>
    </row>
    <row r="236" spans="1:16" x14ac:dyDescent="0.35">
      <c r="A236" s="154">
        <f>'график анн Комп 7%'!A231</f>
        <v>207</v>
      </c>
      <c r="B236" s="149">
        <f ca="1">'график анн Комп 7%'!C231</f>
        <v>50788</v>
      </c>
      <c r="C236" s="156">
        <f ca="1">'график анн Комп 7%'!D231</f>
        <v>31</v>
      </c>
      <c r="D236" s="151">
        <f ca="1">'график анн Комп 7%'!E231</f>
        <v>643184.98894889408</v>
      </c>
      <c r="E236" s="47">
        <f ca="1">'график анн Комп 7%'!H231</f>
        <v>19951.611282515772</v>
      </c>
      <c r="F236" s="47">
        <f ca="1">'график анн Комп 7%'!F231</f>
        <v>16032.428281447712</v>
      </c>
      <c r="G236" s="47">
        <f ca="1">'график анн Комп 7%'!G231</f>
        <v>3919.1830010680601</v>
      </c>
      <c r="H236" s="157">
        <f>'график анн Комп 7%'!O231</f>
        <v>0</v>
      </c>
      <c r="I236" s="223" t="str">
        <f>'график анн Комп 7%'!M231</f>
        <v/>
      </c>
      <c r="J236" s="223" t="str">
        <f>'график анн Комп 7%'!N231</f>
        <v/>
      </c>
      <c r="K236" s="223" t="str">
        <f>'график анн Комп 7%'!I231</f>
        <v/>
      </c>
      <c r="L236" s="223" t="str">
        <f>'график анн Комп 7%'!J231</f>
        <v/>
      </c>
      <c r="M236" s="157">
        <f>'график анн Комп 7%'!K231</f>
        <v>0</v>
      </c>
      <c r="N236" s="223" t="str">
        <f>'график анн Комп 7%'!L231</f>
        <v/>
      </c>
      <c r="O236" s="51" t="str">
        <f>'график анн Комп 7%'!P231</f>
        <v/>
      </c>
      <c r="P236" s="49" t="str">
        <f>'график анн Комп 7%'!Q231</f>
        <v/>
      </c>
    </row>
    <row r="237" spans="1:16" x14ac:dyDescent="0.35">
      <c r="A237" s="154">
        <f>'график анн Комп 7%'!A232</f>
        <v>208</v>
      </c>
      <c r="B237" s="149">
        <f ca="1">'график анн Комп 7%'!C232</f>
        <v>50819</v>
      </c>
      <c r="C237" s="156">
        <f ca="1">'график анн Комп 7%'!D232</f>
        <v>31</v>
      </c>
      <c r="D237" s="151">
        <f ca="1">'график анн Комп 7%'!E232</f>
        <v>626977.45141104411</v>
      </c>
      <c r="E237" s="47">
        <f ca="1">'график анн Комп 7%'!H232</f>
        <v>20031.40445845023</v>
      </c>
      <c r="F237" s="47">
        <f ca="1">'график анн Комп 7%'!F232</f>
        <v>16207.537537849956</v>
      </c>
      <c r="G237" s="47">
        <f ca="1">'график анн Комп 7%'!G232</f>
        <v>3823.8669206002751</v>
      </c>
      <c r="H237" s="157">
        <f>'график анн Комп 7%'!O232</f>
        <v>0</v>
      </c>
      <c r="I237" s="223" t="str">
        <f>'график анн Комп 7%'!M232</f>
        <v/>
      </c>
      <c r="J237" s="223" t="str">
        <f>'график анн Комп 7%'!N232</f>
        <v/>
      </c>
      <c r="K237" s="223" t="str">
        <f>'график анн Комп 7%'!I232</f>
        <v/>
      </c>
      <c r="L237" s="223" t="str">
        <f>'график анн Комп 7%'!J232</f>
        <v/>
      </c>
      <c r="M237" s="157">
        <f>'график анн Комп 7%'!K232</f>
        <v>0</v>
      </c>
      <c r="N237" s="223" t="str">
        <f>'график анн Комп 7%'!L232</f>
        <v/>
      </c>
      <c r="O237" s="51" t="str">
        <f>'график анн Комп 7%'!P232</f>
        <v/>
      </c>
      <c r="P237" s="49" t="str">
        <f>'график анн Комп 7%'!Q232</f>
        <v/>
      </c>
    </row>
    <row r="238" spans="1:16" x14ac:dyDescent="0.35">
      <c r="A238" s="154">
        <f>'график анн Комп 7%'!A233</f>
        <v>209</v>
      </c>
      <c r="B238" s="149">
        <f ca="1">'график анн Комп 7%'!C233</f>
        <v>50847</v>
      </c>
      <c r="C238" s="156">
        <f ca="1">'график анн Комп 7%'!D233</f>
        <v>28</v>
      </c>
      <c r="D238" s="151">
        <f ca="1">'график анн Комп 7%'!E233</f>
        <v>609930.1854625016</v>
      </c>
      <c r="E238" s="47">
        <f ca="1">'график анн Комп 7%'!H233</f>
        <v>20414.048975297686</v>
      </c>
      <c r="F238" s="47">
        <f ca="1">'график анн Комп 7%'!F233</f>
        <v>17047.265948542488</v>
      </c>
      <c r="G238" s="47">
        <f ca="1">'график анн Комп 7%'!G233</f>
        <v>3366.7830267551963</v>
      </c>
      <c r="H238" s="157">
        <f>'график анн Комп 7%'!O233</f>
        <v>0</v>
      </c>
      <c r="I238" s="223" t="str">
        <f>'график анн Комп 7%'!M233</f>
        <v/>
      </c>
      <c r="J238" s="223" t="str">
        <f>'график анн Комп 7%'!N233</f>
        <v/>
      </c>
      <c r="K238" s="223" t="str">
        <f>'график анн Комп 7%'!I233</f>
        <v/>
      </c>
      <c r="L238" s="223" t="str">
        <f>'график анн Комп 7%'!J233</f>
        <v/>
      </c>
      <c r="M238" s="157">
        <f>'график анн Комп 7%'!K233</f>
        <v>0</v>
      </c>
      <c r="N238" s="223" t="str">
        <f>'график анн Комп 7%'!L233</f>
        <v/>
      </c>
      <c r="O238" s="51" t="str">
        <f>'график анн Комп 7%'!P233</f>
        <v/>
      </c>
      <c r="P238" s="49" t="str">
        <f>'график анн Комп 7%'!Q233</f>
        <v/>
      </c>
    </row>
    <row r="239" spans="1:16" x14ac:dyDescent="0.35">
      <c r="A239" s="154">
        <f>'график анн Комп 7%'!A234</f>
        <v>210</v>
      </c>
      <c r="B239" s="149">
        <f ca="1">'график анн Комп 7%'!C234</f>
        <v>50878</v>
      </c>
      <c r="C239" s="156">
        <f ca="1">'график анн Комп 7%'!D234</f>
        <v>31</v>
      </c>
      <c r="D239" s="151">
        <f ca="1">'график анн Комп 7%'!E234</f>
        <v>593359.43258333975</v>
      </c>
      <c r="E239" s="47">
        <f ca="1">'график анн Комп 7%'!H234</f>
        <v>20196.913159856751</v>
      </c>
      <c r="F239" s="47">
        <f ca="1">'график анн Комп 7%'!F234</f>
        <v>16570.752879161879</v>
      </c>
      <c r="G239" s="47">
        <f ca="1">'график анн Комп 7%'!G234</f>
        <v>3626.1602806948731</v>
      </c>
      <c r="H239" s="157">
        <f>'график анн Комп 7%'!O234</f>
        <v>0</v>
      </c>
      <c r="I239" s="223" t="str">
        <f>'график анн Комп 7%'!M234</f>
        <v/>
      </c>
      <c r="J239" s="223" t="str">
        <f>'график анн Комп 7%'!N234</f>
        <v/>
      </c>
      <c r="K239" s="223" t="str">
        <f>'график анн Комп 7%'!I234</f>
        <v/>
      </c>
      <c r="L239" s="223" t="str">
        <f>'график анн Комп 7%'!J234</f>
        <v/>
      </c>
      <c r="M239" s="157">
        <f>'график анн Комп 7%'!K234</f>
        <v>0</v>
      </c>
      <c r="N239" s="223" t="str">
        <f>'график анн Комп 7%'!L234</f>
        <v/>
      </c>
      <c r="O239" s="51" t="str">
        <f>'график анн Комп 7%'!P234</f>
        <v/>
      </c>
      <c r="P239" s="49" t="str">
        <f>'график анн Комп 7%'!Q234</f>
        <v/>
      </c>
    </row>
    <row r="240" spans="1:16" x14ac:dyDescent="0.35">
      <c r="A240" s="154">
        <f>'график анн Комп 7%'!A235</f>
        <v>211</v>
      </c>
      <c r="B240" s="149">
        <f ca="1">'график анн Комп 7%'!C235</f>
        <v>50908</v>
      </c>
      <c r="C240" s="156">
        <f ca="1">'график анн Комп 7%'!D235</f>
        <v>30</v>
      </c>
      <c r="D240" s="151">
        <f ca="1">'график анн Комп 7%'!E235</f>
        <v>576398.63316593599</v>
      </c>
      <c r="E240" s="47">
        <f ca="1">'график анн Комп 7%'!H235</f>
        <v>20374.648207609273</v>
      </c>
      <c r="F240" s="47">
        <f ca="1">'график анн Комп 7%'!F235</f>
        <v>16960.799417403756</v>
      </c>
      <c r="G240" s="47">
        <f ca="1">'график анн Комп 7%'!G235</f>
        <v>3413.8487902055167</v>
      </c>
      <c r="H240" s="157">
        <f>'график анн Комп 7%'!O235</f>
        <v>0</v>
      </c>
      <c r="I240" s="223" t="str">
        <f>'график анн Комп 7%'!M235</f>
        <v/>
      </c>
      <c r="J240" s="223" t="str">
        <f>'график анн Комп 7%'!N235</f>
        <v/>
      </c>
      <c r="K240" s="223" t="str">
        <f>'график анн Комп 7%'!I235</f>
        <v/>
      </c>
      <c r="L240" s="223" t="str">
        <f>'график анн Комп 7%'!J235</f>
        <v/>
      </c>
      <c r="M240" s="157">
        <f>'график анн Комп 7%'!K235</f>
        <v>0</v>
      </c>
      <c r="N240" s="223" t="str">
        <f>'график анн Комп 7%'!L235</f>
        <v/>
      </c>
      <c r="O240" s="51" t="str">
        <f>'график анн Комп 7%'!P235</f>
        <v/>
      </c>
      <c r="P240" s="49" t="str">
        <f>'график анн Комп 7%'!Q235</f>
        <v/>
      </c>
    </row>
    <row r="241" spans="1:16" x14ac:dyDescent="0.35">
      <c r="A241" s="154">
        <f>'график анн Комп 7%'!A236</f>
        <v>212</v>
      </c>
      <c r="B241" s="149">
        <f ca="1">'график анн Комп 7%'!C236</f>
        <v>50939</v>
      </c>
      <c r="C241" s="156">
        <f ca="1">'график анн Комп 7%'!D236</f>
        <v>31</v>
      </c>
      <c r="D241" s="151">
        <f ca="1">'график анн Комп 7%'!E236</f>
        <v>559461.64224188239</v>
      </c>
      <c r="E241" s="47">
        <f ca="1">'график анн Комп 7%'!H236</f>
        <v>20363.799236300427</v>
      </c>
      <c r="F241" s="47">
        <f ca="1">'график анн Комп 7%'!F236</f>
        <v>16936.990924053629</v>
      </c>
      <c r="G241" s="47">
        <f ca="1">'график анн Комп 7%'!G236</f>
        <v>3426.8083122467979</v>
      </c>
      <c r="H241" s="157">
        <f>'график анн Комп 7%'!O236</f>
        <v>0</v>
      </c>
      <c r="I241" s="223" t="str">
        <f>'график анн Комп 7%'!M236</f>
        <v/>
      </c>
      <c r="J241" s="223" t="str">
        <f>'график анн Комп 7%'!N236</f>
        <v/>
      </c>
      <c r="K241" s="223" t="str">
        <f>'график анн Комп 7%'!I236</f>
        <v/>
      </c>
      <c r="L241" s="223" t="str">
        <f>'график анн Комп 7%'!J236</f>
        <v/>
      </c>
      <c r="M241" s="157">
        <f>'график анн Комп 7%'!K236</f>
        <v>0</v>
      </c>
      <c r="N241" s="223" t="str">
        <f>'график анн Комп 7%'!L236</f>
        <v/>
      </c>
      <c r="O241" s="51" t="str">
        <f>'график анн Комп 7%'!P236</f>
        <v/>
      </c>
      <c r="P241" s="49" t="str">
        <f>'график анн Комп 7%'!Q236</f>
        <v/>
      </c>
    </row>
    <row r="242" spans="1:16" x14ac:dyDescent="0.35">
      <c r="A242" s="154">
        <f>'график анн Комп 7%'!A237</f>
        <v>213</v>
      </c>
      <c r="B242" s="149">
        <f ca="1">'график анн Комп 7%'!C237</f>
        <v>50969</v>
      </c>
      <c r="C242" s="156">
        <f ca="1">'график анн Комп 7%'!D237</f>
        <v>30</v>
      </c>
      <c r="D242" s="151">
        <f ca="1">'график анн Комп 7%'!E237</f>
        <v>542142.54782410234</v>
      </c>
      <c r="E242" s="47">
        <f ca="1">'график анн Комп 7%'!H237</f>
        <v>20537.914825199085</v>
      </c>
      <c r="F242" s="47">
        <f ca="1">'график анн Комп 7%'!F237</f>
        <v>17319.094417780034</v>
      </c>
      <c r="G242" s="47">
        <f ca="1">'график анн Комп 7%'!G237</f>
        <v>3218.8204074190494</v>
      </c>
      <c r="H242" s="157">
        <f>'график анн Комп 7%'!O237</f>
        <v>0</v>
      </c>
      <c r="I242" s="223" t="str">
        <f>'график анн Комп 7%'!M237</f>
        <v/>
      </c>
      <c r="J242" s="223" t="str">
        <f>'график анн Комп 7%'!N237</f>
        <v/>
      </c>
      <c r="K242" s="223" t="str">
        <f>'график анн Комп 7%'!I237</f>
        <v/>
      </c>
      <c r="L242" s="223" t="str">
        <f>'график анн Комп 7%'!J237</f>
        <v/>
      </c>
      <c r="M242" s="157">
        <f>'график анн Комп 7%'!K237</f>
        <v>0</v>
      </c>
      <c r="N242" s="223" t="str">
        <f>'график анн Комп 7%'!L237</f>
        <v/>
      </c>
      <c r="O242" s="51" t="str">
        <f>'график анн Комп 7%'!P237</f>
        <v/>
      </c>
      <c r="P242" s="49" t="str">
        <f>'график анн Комп 7%'!Q237</f>
        <v/>
      </c>
    </row>
    <row r="243" spans="1:16" x14ac:dyDescent="0.35">
      <c r="A243" s="154">
        <f>'график анн Комп 7%'!A238</f>
        <v>214</v>
      </c>
      <c r="B243" s="149">
        <f ca="1">'график анн Комп 7%'!C238</f>
        <v>51000</v>
      </c>
      <c r="C243" s="156">
        <f ca="1">'график анн Комп 7%'!D238</f>
        <v>31</v>
      </c>
      <c r="D243" s="151">
        <f ca="1">'график анн Комп 7%'!E238</f>
        <v>524831.40536628501</v>
      </c>
      <c r="E243" s="47">
        <f ca="1">'график анн Комп 7%'!H238</f>
        <v>20534.291303785289</v>
      </c>
      <c r="F243" s="47">
        <f ca="1">'график анн Комп 7%'!F238</f>
        <v>17311.142457817339</v>
      </c>
      <c r="G243" s="47">
        <f ca="1">'график анн Комп 7%'!G238</f>
        <v>3223.1488459679508</v>
      </c>
      <c r="H243" s="157">
        <f>'график анн Комп 7%'!O238</f>
        <v>0</v>
      </c>
      <c r="I243" s="223" t="str">
        <f>'график анн Комп 7%'!M238</f>
        <v/>
      </c>
      <c r="J243" s="223" t="str">
        <f>'график анн Комп 7%'!N238</f>
        <v/>
      </c>
      <c r="K243" s="223" t="str">
        <f>'график анн Комп 7%'!I238</f>
        <v/>
      </c>
      <c r="L243" s="223" t="str">
        <f>'график анн Комп 7%'!J238</f>
        <v/>
      </c>
      <c r="M243" s="157">
        <f>'график анн Комп 7%'!K238</f>
        <v>0</v>
      </c>
      <c r="N243" s="223" t="str">
        <f>'график анн Комп 7%'!L238</f>
        <v/>
      </c>
      <c r="O243" s="51" t="str">
        <f>'график анн Комп 7%'!P238</f>
        <v/>
      </c>
      <c r="P243" s="49" t="str">
        <f>'график анн Комп 7%'!Q238</f>
        <v/>
      </c>
    </row>
    <row r="244" spans="1:16" x14ac:dyDescent="0.35">
      <c r="A244" s="154">
        <f>'график анн Комп 7%'!A239</f>
        <v>215</v>
      </c>
      <c r="B244" s="149">
        <f ca="1">'график анн Комп 7%'!C239</f>
        <v>51031</v>
      </c>
      <c r="C244" s="156">
        <f ca="1">'график анн Комп 7%'!D239</f>
        <v>31</v>
      </c>
      <c r="D244" s="151">
        <f ca="1">'график анн Комп 7%'!E239</f>
        <v>507331.18729059823</v>
      </c>
      <c r="E244" s="47">
        <f ca="1">'график анн Комп 7%'!H239</f>
        <v>20620.448622658911</v>
      </c>
      <c r="F244" s="47">
        <f ca="1">'график анн Комп 7%'!F239</f>
        <v>17500.218075686749</v>
      </c>
      <c r="G244" s="47">
        <f ca="1">'график анн Комп 7%'!G239</f>
        <v>3120.2305469721605</v>
      </c>
      <c r="H244" s="157">
        <f>'график анн Комп 7%'!O239</f>
        <v>0</v>
      </c>
      <c r="I244" s="223" t="str">
        <f>'график анн Комп 7%'!M239</f>
        <v/>
      </c>
      <c r="J244" s="223" t="str">
        <f>'график анн Комп 7%'!N239</f>
        <v/>
      </c>
      <c r="K244" s="223" t="str">
        <f>'график анн Комп 7%'!I239</f>
        <v/>
      </c>
      <c r="L244" s="223" t="str">
        <f>'график анн Комп 7%'!J239</f>
        <v/>
      </c>
      <c r="M244" s="157">
        <f>'график анн Комп 7%'!K239</f>
        <v>0</v>
      </c>
      <c r="N244" s="223" t="str">
        <f>'график анн Комп 7%'!L239</f>
        <v/>
      </c>
      <c r="O244" s="51" t="str">
        <f>'график анн Комп 7%'!P239</f>
        <v/>
      </c>
      <c r="P244" s="49" t="str">
        <f>'график анн Комп 7%'!Q239</f>
        <v/>
      </c>
    </row>
    <row r="245" spans="1:16" x14ac:dyDescent="0.35">
      <c r="A245" s="154">
        <f>'график анн Комп 7%'!A240</f>
        <v>216</v>
      </c>
      <c r="B245" s="149">
        <f ca="1">'график анн Комп 7%'!C240</f>
        <v>51061</v>
      </c>
      <c r="C245" s="156">
        <f ca="1">'график анн Комп 7%'!D240</f>
        <v>30</v>
      </c>
      <c r="D245" s="151">
        <f ca="1">'график анн Комп 7%'!E240</f>
        <v>489461.08110514132</v>
      </c>
      <c r="E245" s="47">
        <f ca="1">'график анн Комп 7%'!H240</f>
        <v>20788.997947950753</v>
      </c>
      <c r="F245" s="47">
        <f ca="1">'график анн Комп 7%'!F240</f>
        <v>17870.106185456898</v>
      </c>
      <c r="G245" s="47">
        <f ca="1">'график анн Комп 7%'!G240</f>
        <v>2918.8917624938531</v>
      </c>
      <c r="H245" s="157">
        <f>'график анн Комп 7%'!O240</f>
        <v>0</v>
      </c>
      <c r="I245" s="223" t="str">
        <f>'график анн Комп 7%'!M240</f>
        <v/>
      </c>
      <c r="J245" s="223" t="str">
        <f>'график анн Комп 7%'!N240</f>
        <v/>
      </c>
      <c r="K245" s="223" t="str">
        <f>'график анн Комп 7%'!I240</f>
        <v/>
      </c>
      <c r="L245" s="223" t="str">
        <f>'график анн Комп 7%'!J240</f>
        <v/>
      </c>
      <c r="M245" s="157">
        <f>'график анн Комп 7%'!K240</f>
        <v>0</v>
      </c>
      <c r="N245" s="223" t="str">
        <f>'график анн Комп 7%'!L240</f>
        <v/>
      </c>
      <c r="O245" s="51" t="str">
        <f>'график анн Комп 7%'!P240</f>
        <v/>
      </c>
      <c r="P245" s="49" t="str">
        <f>'график анн Комп 7%'!Q240</f>
        <v/>
      </c>
    </row>
    <row r="246" spans="1:16" x14ac:dyDescent="0.35">
      <c r="A246" s="154">
        <f>'график анн Комп 7%'!A241</f>
        <v>217</v>
      </c>
      <c r="B246" s="149">
        <f ca="1">'график анн Комп 7%'!C241</f>
        <v>51092</v>
      </c>
      <c r="C246" s="156">
        <f ca="1">'график анн Комп 7%'!D241</f>
        <v>31</v>
      </c>
      <c r="D246" s="151">
        <f ca="1">'график анн Комп 7%'!E241</f>
        <v>471574.54156452452</v>
      </c>
      <c r="E246" s="47">
        <f ca="1">'график анн Комп 7%'!H241</f>
        <v>20796.486241981631</v>
      </c>
      <c r="F246" s="47">
        <f ca="1">'график анн Комп 7%'!F241</f>
        <v>17886.539540616817</v>
      </c>
      <c r="G246" s="47">
        <f ca="1">'график анн Комп 7%'!G241</f>
        <v>2909.9467013648132</v>
      </c>
      <c r="H246" s="157">
        <f>'график анн Комп 7%'!O241</f>
        <v>0</v>
      </c>
      <c r="I246" s="223" t="str">
        <f>'график анн Комп 7%'!M241</f>
        <v/>
      </c>
      <c r="J246" s="223">
        <f>'график анн Комп 7%'!N241</f>
        <v>0</v>
      </c>
      <c r="K246" s="223" t="str">
        <f>'график анн Комп 7%'!I241</f>
        <v/>
      </c>
      <c r="L246" s="223" t="str">
        <f>'график анн Комп 7%'!J241</f>
        <v/>
      </c>
      <c r="M246" s="201">
        <f>'график анн Комп 7%'!K241</f>
        <v>7500</v>
      </c>
      <c r="N246" s="223" t="str">
        <f>'график анн Комп 7%'!L241</f>
        <v/>
      </c>
      <c r="O246" s="51" t="str">
        <f>'график анн Комп 7%'!P241</f>
        <v/>
      </c>
      <c r="P246" s="49" t="str">
        <f>'график анн Комп 7%'!Q241</f>
        <v/>
      </c>
    </row>
    <row r="247" spans="1:16" x14ac:dyDescent="0.35">
      <c r="A247" s="154">
        <f>'график анн Комп 7%'!A242</f>
        <v>218</v>
      </c>
      <c r="B247" s="149">
        <f ca="1">'график анн Комп 7%'!C242</f>
        <v>51122</v>
      </c>
      <c r="C247" s="156">
        <f ca="1">'график анн Комп 7%'!D242</f>
        <v>30</v>
      </c>
      <c r="D247" s="151">
        <f ca="1">'график анн Комп 7%'!E242</f>
        <v>453326.49253191368</v>
      </c>
      <c r="E247" s="47">
        <f ca="1">'график анн Комп 7%'!H242</f>
        <v>20961.217627913593</v>
      </c>
      <c r="F247" s="47">
        <f ca="1">'график анн Комп 7%'!F242</f>
        <v>18248.049032610848</v>
      </c>
      <c r="G247" s="47">
        <f ca="1">'график анн Комп 7%'!G242</f>
        <v>2713.1685953027441</v>
      </c>
      <c r="H247" s="157">
        <f>'график анн Комп 7%'!O242</f>
        <v>0</v>
      </c>
      <c r="I247" s="223" t="str">
        <f>'график анн Комп 7%'!M242</f>
        <v/>
      </c>
      <c r="J247" s="223" t="str">
        <f>'график анн Комп 7%'!N242</f>
        <v/>
      </c>
      <c r="K247" s="223" t="str">
        <f>'график анн Комп 7%'!I242</f>
        <v/>
      </c>
      <c r="L247" s="223" t="str">
        <f>'график анн Комп 7%'!J242</f>
        <v/>
      </c>
      <c r="M247" s="157">
        <f>'график анн Комп 7%'!K242</f>
        <v>0</v>
      </c>
      <c r="N247" s="223" t="str">
        <f>'график анн Комп 7%'!L242</f>
        <v/>
      </c>
      <c r="O247" s="51" t="str">
        <f>'график анн Комп 7%'!P242</f>
        <v/>
      </c>
      <c r="P247" s="49" t="str">
        <f>'график анн Комп 7%'!Q242</f>
        <v/>
      </c>
    </row>
    <row r="248" spans="1:16" x14ac:dyDescent="0.35">
      <c r="A248" s="154">
        <f>'график анн Комп 7%'!A243</f>
        <v>219</v>
      </c>
      <c r="B248" s="149">
        <f ca="1">'график анн Комп 7%'!C243</f>
        <v>51153</v>
      </c>
      <c r="C248" s="156">
        <f ca="1">'график анн Комп 7%'!D243</f>
        <v>31</v>
      </c>
      <c r="D248" s="151">
        <f ca="1">'график анн Комп 7%'!E243</f>
        <v>435045.28408497898</v>
      </c>
      <c r="E248" s="47">
        <f ca="1">'график анн Комп 7%'!H243</f>
        <v>20976.327594316223</v>
      </c>
      <c r="F248" s="47">
        <f ca="1">'график анн Комп 7%'!F243</f>
        <v>18281.208446934706</v>
      </c>
      <c r="G248" s="47">
        <f ca="1">'график анн Комп 7%'!G243</f>
        <v>2695.1191473815143</v>
      </c>
      <c r="H248" s="157">
        <f>'график анн Комп 7%'!O243</f>
        <v>0</v>
      </c>
      <c r="I248" s="223" t="str">
        <f>'график анн Комп 7%'!M243</f>
        <v/>
      </c>
      <c r="J248" s="223" t="str">
        <f>'график анн Комп 7%'!N243</f>
        <v/>
      </c>
      <c r="K248" s="223" t="str">
        <f>'график анн Комп 7%'!I243</f>
        <v/>
      </c>
      <c r="L248" s="223" t="str">
        <f>'график анн Комп 7%'!J243</f>
        <v/>
      </c>
      <c r="M248" s="157">
        <f>'график анн Комп 7%'!K243</f>
        <v>0</v>
      </c>
      <c r="N248" s="223" t="str">
        <f>'график анн Комп 7%'!L243</f>
        <v/>
      </c>
      <c r="O248" s="51" t="str">
        <f>'график анн Комп 7%'!P243</f>
        <v/>
      </c>
      <c r="P248" s="49" t="str">
        <f>'график анн Комп 7%'!Q243</f>
        <v/>
      </c>
    </row>
    <row r="249" spans="1:16" x14ac:dyDescent="0.35">
      <c r="A249" s="154">
        <f>'график анн Комп 7%'!A244</f>
        <v>220</v>
      </c>
      <c r="B249" s="149">
        <f ca="1">'график анн Комп 7%'!C244</f>
        <v>51184</v>
      </c>
      <c r="C249" s="156">
        <f ca="1">'график анн Комп 7%'!D244</f>
        <v>31</v>
      </c>
      <c r="D249" s="151">
        <f ca="1">'график анн Комп 7%'!E244</f>
        <v>416551.42212852155</v>
      </c>
      <c r="E249" s="47">
        <f ca="1">'график анн Комп 7%'!H244</f>
        <v>21080.295563209209</v>
      </c>
      <c r="F249" s="47">
        <f ca="1">'график анн Комп 7%'!F244</f>
        <v>18493.861956457415</v>
      </c>
      <c r="G249" s="47">
        <f ca="1">'график анн Комп 7%'!G244</f>
        <v>2586.4336067517929</v>
      </c>
      <c r="H249" s="157">
        <f>'график анн Комп 7%'!O244</f>
        <v>0</v>
      </c>
      <c r="I249" s="223" t="str">
        <f>'график анн Комп 7%'!M244</f>
        <v/>
      </c>
      <c r="J249" s="223" t="str">
        <f>'график анн Комп 7%'!N244</f>
        <v/>
      </c>
      <c r="K249" s="223" t="str">
        <f>'график анн Комп 7%'!I244</f>
        <v/>
      </c>
      <c r="L249" s="223" t="str">
        <f>'график анн Комп 7%'!J244</f>
        <v/>
      </c>
      <c r="M249" s="157">
        <f>'график анн Комп 7%'!K244</f>
        <v>0</v>
      </c>
      <c r="N249" s="223" t="str">
        <f>'график анн Комп 7%'!L244</f>
        <v/>
      </c>
      <c r="O249" s="51" t="str">
        <f>'график анн Комп 7%'!P244</f>
        <v/>
      </c>
      <c r="P249" s="49" t="str">
        <f>'график анн Комп 7%'!Q244</f>
        <v/>
      </c>
    </row>
    <row r="250" spans="1:16" x14ac:dyDescent="0.35">
      <c r="A250" s="154">
        <f>'график анн Комп 7%'!A245</f>
        <v>221</v>
      </c>
      <c r="B250" s="149">
        <f ca="1">'график анн Комп 7%'!C245</f>
        <v>51213</v>
      </c>
      <c r="C250" s="156">
        <f ca="1">'график анн Комп 7%'!D245</f>
        <v>29</v>
      </c>
      <c r="D250" s="151">
        <f ca="1">'график анн Комп 7%'!E245</f>
        <v>397563.39444570604</v>
      </c>
      <c r="E250" s="47">
        <f ca="1">'график анн Комп 7%'!H245</f>
        <v>21304.738331913879</v>
      </c>
      <c r="F250" s="47">
        <f ca="1">'график анн Комп 7%'!F245</f>
        <v>18988.027682815526</v>
      </c>
      <c r="G250" s="47">
        <f ca="1">'график анн Комп 7%'!G245</f>
        <v>2316.7106490983529</v>
      </c>
      <c r="H250" s="157">
        <f>'график анн Комп 7%'!O245</f>
        <v>0</v>
      </c>
      <c r="I250" s="223" t="str">
        <f>'график анн Комп 7%'!M245</f>
        <v/>
      </c>
      <c r="J250" s="223" t="str">
        <f>'график анн Комп 7%'!N245</f>
        <v/>
      </c>
      <c r="K250" s="223" t="str">
        <f>'график анн Комп 7%'!I245</f>
        <v/>
      </c>
      <c r="L250" s="223" t="str">
        <f>'график анн Комп 7%'!J245</f>
        <v/>
      </c>
      <c r="M250" s="157">
        <f>'график анн Комп 7%'!K245</f>
        <v>0</v>
      </c>
      <c r="N250" s="223" t="str">
        <f>'график анн Комп 7%'!L245</f>
        <v/>
      </c>
      <c r="O250" s="51" t="str">
        <f>'график анн Комп 7%'!P245</f>
        <v/>
      </c>
      <c r="P250" s="49" t="str">
        <f>'график анн Комп 7%'!Q245</f>
        <v/>
      </c>
    </row>
    <row r="251" spans="1:16" x14ac:dyDescent="0.35">
      <c r="A251" s="154">
        <f>'график анн Комп 7%'!A246</f>
        <v>222</v>
      </c>
      <c r="B251" s="149">
        <f ca="1">'график анн Комп 7%'!C246</f>
        <v>51244</v>
      </c>
      <c r="C251" s="156">
        <f ca="1">'график анн Комп 7%'!D246</f>
        <v>31</v>
      </c>
      <c r="D251" s="151">
        <f ca="1">'график анн Комп 7%'!E246</f>
        <v>378661.26663887722</v>
      </c>
      <c r="E251" s="47">
        <f ca="1">'график анн Комп 7%'!H246</f>
        <v>21265.723877916964</v>
      </c>
      <c r="F251" s="47">
        <f ca="1">'график анн Комп 7%'!F246</f>
        <v>18902.127806828794</v>
      </c>
      <c r="G251" s="47">
        <f ca="1">'график анн Комп 7%'!G246</f>
        <v>2363.5960710881704</v>
      </c>
      <c r="H251" s="157">
        <f>'график анн Комп 7%'!O246</f>
        <v>0</v>
      </c>
      <c r="I251" s="223" t="str">
        <f>'график анн Комп 7%'!M246</f>
        <v/>
      </c>
      <c r="J251" s="223" t="str">
        <f>'график анн Комп 7%'!N246</f>
        <v/>
      </c>
      <c r="K251" s="223" t="str">
        <f>'график анн Комп 7%'!I246</f>
        <v/>
      </c>
      <c r="L251" s="223" t="str">
        <f>'график анн Комп 7%'!J246</f>
        <v/>
      </c>
      <c r="M251" s="157">
        <f>'график анн Комп 7%'!K246</f>
        <v>0</v>
      </c>
      <c r="N251" s="223" t="str">
        <f>'график анн Комп 7%'!L246</f>
        <v/>
      </c>
      <c r="O251" s="51" t="str">
        <f>'график анн Комп 7%'!P246</f>
        <v/>
      </c>
      <c r="P251" s="49" t="str">
        <f>'график анн Комп 7%'!Q246</f>
        <v/>
      </c>
    </row>
    <row r="252" spans="1:16" x14ac:dyDescent="0.35">
      <c r="A252" s="154">
        <f>'график анн Комп 7%'!A247</f>
        <v>223</v>
      </c>
      <c r="B252" s="149">
        <f ca="1">'график анн Комп 7%'!C247</f>
        <v>51274</v>
      </c>
      <c r="C252" s="156">
        <f ca="1">'график анн Комп 7%'!D247</f>
        <v>30</v>
      </c>
      <c r="D252" s="151">
        <f ca="1">'график анн Комп 7%'!E247</f>
        <v>359420.20150526025</v>
      </c>
      <c r="E252" s="47">
        <f ca="1">'график анн Комп 7%'!H247</f>
        <v>21419.664201950214</v>
      </c>
      <c r="F252" s="47">
        <f ca="1">'график анн Комп 7%'!F247</f>
        <v>19241.065133616947</v>
      </c>
      <c r="G252" s="47">
        <f ca="1">'график анн Комп 7%'!G247</f>
        <v>2178.5990683332666</v>
      </c>
      <c r="H252" s="157">
        <f>'график анн Комп 7%'!O247</f>
        <v>0</v>
      </c>
      <c r="I252" s="223" t="str">
        <f>'график анн Комп 7%'!M247</f>
        <v/>
      </c>
      <c r="J252" s="223" t="str">
        <f>'график анн Комп 7%'!N247</f>
        <v/>
      </c>
      <c r="K252" s="223" t="str">
        <f>'график анн Комп 7%'!I247</f>
        <v/>
      </c>
      <c r="L252" s="223" t="str">
        <f>'график анн Комп 7%'!J247</f>
        <v/>
      </c>
      <c r="M252" s="157">
        <f>'график анн Комп 7%'!K247</f>
        <v>0</v>
      </c>
      <c r="N252" s="223" t="str">
        <f>'график анн Комп 7%'!L247</f>
        <v/>
      </c>
      <c r="O252" s="51" t="str">
        <f>'график анн Комп 7%'!P247</f>
        <v/>
      </c>
      <c r="P252" s="49" t="str">
        <f>'график анн Комп 7%'!Q247</f>
        <v/>
      </c>
    </row>
    <row r="253" spans="1:16" x14ac:dyDescent="0.35">
      <c r="A253" s="154">
        <f>'график анн Комп 7%'!A248</f>
        <v>224</v>
      </c>
      <c r="B253" s="149">
        <f ca="1">'график анн Комп 7%'!C248</f>
        <v>51305</v>
      </c>
      <c r="C253" s="156">
        <f ca="1">'график анн Комп 7%'!D248</f>
        <v>31</v>
      </c>
      <c r="D253" s="151">
        <f ca="1">'график анн Комп 7%'!E248</f>
        <v>340102.60470122821</v>
      </c>
      <c r="E253" s="47">
        <f ca="1">'график анн Комп 7%'!H248</f>
        <v>21454.423755446856</v>
      </c>
      <c r="F253" s="47">
        <f ca="1">'график анн Комп 7%'!F248</f>
        <v>19317.596804032022</v>
      </c>
      <c r="G253" s="47">
        <f ca="1">'график анн Комп 7%'!G248</f>
        <v>2136.8269514148351</v>
      </c>
      <c r="H253" s="157">
        <f>'график анн Комп 7%'!O248</f>
        <v>0</v>
      </c>
      <c r="I253" s="223" t="str">
        <f>'график анн Комп 7%'!M248</f>
        <v/>
      </c>
      <c r="J253" s="223" t="str">
        <f>'график анн Комп 7%'!N248</f>
        <v/>
      </c>
      <c r="K253" s="223" t="str">
        <f>'график анн Комп 7%'!I248</f>
        <v/>
      </c>
      <c r="L253" s="223" t="str">
        <f>'график анн Комп 7%'!J248</f>
        <v/>
      </c>
      <c r="M253" s="157">
        <f>'график анн Комп 7%'!K248</f>
        <v>0</v>
      </c>
      <c r="N253" s="223" t="str">
        <f>'график анн Комп 7%'!L248</f>
        <v/>
      </c>
      <c r="O253" s="51" t="str">
        <f>'график анн Комп 7%'!P248</f>
        <v/>
      </c>
      <c r="P253" s="49" t="str">
        <f>'график анн Комп 7%'!Q248</f>
        <v/>
      </c>
    </row>
    <row r="254" spans="1:16" x14ac:dyDescent="0.35">
      <c r="A254" s="154">
        <f>'график анн Комп 7%'!A249</f>
        <v>225</v>
      </c>
      <c r="B254" s="149">
        <f ca="1">'график анн Комп 7%'!C249</f>
        <v>51335</v>
      </c>
      <c r="C254" s="156">
        <f ca="1">'график анн Комп 7%'!D249</f>
        <v>30</v>
      </c>
      <c r="D254" s="151">
        <f ca="1">'график анн Комп 7%'!E249</f>
        <v>320455.09334423573</v>
      </c>
      <c r="E254" s="47">
        <f ca="1">'график анн Комп 7%'!H249</f>
        <v>21604.266068972163</v>
      </c>
      <c r="F254" s="47">
        <f ca="1">'график анн Комп 7%'!F249</f>
        <v>19647.511356992494</v>
      </c>
      <c r="G254" s="47">
        <f ca="1">'график анн Комп 7%'!G249</f>
        <v>1956.7547119796693</v>
      </c>
      <c r="H254" s="157">
        <f>'график анн Комп 7%'!O249</f>
        <v>0</v>
      </c>
      <c r="I254" s="223" t="str">
        <f>'график анн Комп 7%'!M249</f>
        <v/>
      </c>
      <c r="J254" s="223" t="str">
        <f>'график анн Комп 7%'!N249</f>
        <v/>
      </c>
      <c r="K254" s="223" t="str">
        <f>'график анн Комп 7%'!I249</f>
        <v/>
      </c>
      <c r="L254" s="223" t="str">
        <f>'график анн Комп 7%'!J249</f>
        <v/>
      </c>
      <c r="M254" s="157">
        <f>'график анн Комп 7%'!K249</f>
        <v>0</v>
      </c>
      <c r="N254" s="223" t="str">
        <f>'график анн Комп 7%'!L249</f>
        <v/>
      </c>
      <c r="O254" s="51" t="str">
        <f>'график анн Комп 7%'!P249</f>
        <v/>
      </c>
      <c r="P254" s="49" t="str">
        <f>'график анн Комп 7%'!Q249</f>
        <v/>
      </c>
    </row>
    <row r="255" spans="1:16" x14ac:dyDescent="0.35">
      <c r="A255" s="154">
        <f>'график анн Комп 7%'!A250</f>
        <v>226</v>
      </c>
      <c r="B255" s="149">
        <f ca="1">'график анн Комп 7%'!C250</f>
        <v>51366</v>
      </c>
      <c r="C255" s="156">
        <f ca="1">'график анн Комп 7%'!D250</f>
        <v>31</v>
      </c>
      <c r="D255" s="151">
        <f ca="1">'график анн Комп 7%'!E250</f>
        <v>300713.07495497219</v>
      </c>
      <c r="E255" s="47">
        <f ca="1">'график анн Комп 7%'!H250</f>
        <v>21647.189766132025</v>
      </c>
      <c r="F255" s="47">
        <f ca="1">'график анн Комп 7%'!F250</f>
        <v>19742.018389263554</v>
      </c>
      <c r="G255" s="47">
        <f ca="1">'график анн Комп 7%'!G250</f>
        <v>1905.1713768684701</v>
      </c>
      <c r="H255" s="157">
        <f>'график анн Комп 7%'!O250</f>
        <v>0</v>
      </c>
      <c r="I255" s="223" t="str">
        <f>'график анн Комп 7%'!M250</f>
        <v/>
      </c>
      <c r="J255" s="223" t="str">
        <f>'график анн Комп 7%'!N250</f>
        <v/>
      </c>
      <c r="K255" s="223" t="str">
        <f>'график анн Комп 7%'!I250</f>
        <v/>
      </c>
      <c r="L255" s="223" t="str">
        <f>'график анн Комп 7%'!J250</f>
        <v/>
      </c>
      <c r="M255" s="157">
        <f>'график анн Комп 7%'!K250</f>
        <v>0</v>
      </c>
      <c r="N255" s="223" t="str">
        <f>'график анн Комп 7%'!L250</f>
        <v/>
      </c>
      <c r="O255" s="51" t="str">
        <f>'график анн Комп 7%'!P250</f>
        <v/>
      </c>
      <c r="P255" s="49" t="str">
        <f>'график анн Комп 7%'!Q250</f>
        <v/>
      </c>
    </row>
    <row r="256" spans="1:16" x14ac:dyDescent="0.35">
      <c r="A256" s="154">
        <f>'график анн Комп 7%'!A251</f>
        <v>227</v>
      </c>
      <c r="B256" s="149">
        <f ca="1">'график анн Комп 7%'!C251</f>
        <v>51397</v>
      </c>
      <c r="C256" s="156">
        <f ca="1">'график анн Комп 7%'!D251</f>
        <v>31</v>
      </c>
      <c r="D256" s="151">
        <f ca="1">'график анн Комп 7%'!E251</f>
        <v>280756.01959710033</v>
      </c>
      <c r="E256" s="47">
        <f ca="1">'график анн Комп 7%'!H251</f>
        <v>21744.85637883703</v>
      </c>
      <c r="F256" s="47">
        <f ca="1">'график анн Комп 7%'!F251</f>
        <v>19957.055357871854</v>
      </c>
      <c r="G256" s="47">
        <f ca="1">'график анн Комп 7%'!G251</f>
        <v>1787.8010209651775</v>
      </c>
      <c r="H256" s="157">
        <f>'график анн Комп 7%'!O251</f>
        <v>0</v>
      </c>
      <c r="I256" s="223" t="str">
        <f>'график анн Комп 7%'!M251</f>
        <v/>
      </c>
      <c r="J256" s="223" t="str">
        <f>'график анн Комп 7%'!N251</f>
        <v/>
      </c>
      <c r="K256" s="223" t="str">
        <f>'график анн Комп 7%'!I251</f>
        <v/>
      </c>
      <c r="L256" s="223" t="str">
        <f>'график анн Комп 7%'!J251</f>
        <v/>
      </c>
      <c r="M256" s="157">
        <f>'график анн Комп 7%'!K251</f>
        <v>0</v>
      </c>
      <c r="N256" s="223" t="str">
        <f>'график анн Комп 7%'!L251</f>
        <v/>
      </c>
      <c r="O256" s="51" t="str">
        <f>'график анн Комп 7%'!P251</f>
        <v/>
      </c>
      <c r="P256" s="49" t="str">
        <f>'график анн Комп 7%'!Q251</f>
        <v/>
      </c>
    </row>
    <row r="257" spans="1:16" x14ac:dyDescent="0.35">
      <c r="A257" s="154">
        <f>'график анн Комп 7%'!A252</f>
        <v>228</v>
      </c>
      <c r="B257" s="149">
        <f ca="1">'график анн Комп 7%'!C252</f>
        <v>51427</v>
      </c>
      <c r="C257" s="156">
        <f ca="1">'график анн Комп 7%'!D252</f>
        <v>30</v>
      </c>
      <c r="D257" s="151">
        <f ca="1">'график анн Комп 7%'!E252</f>
        <v>260482.93685942006</v>
      </c>
      <c r="E257" s="47">
        <f ca="1">'график анн Комп 7%'!H252</f>
        <v>21888.391343581392</v>
      </c>
      <c r="F257" s="47">
        <f ca="1">'график анн Комп 7%'!F252</f>
        <v>20273.082737680266</v>
      </c>
      <c r="G257" s="47">
        <f ca="1">'график анн Комп 7%'!G252</f>
        <v>1615.3086059011255</v>
      </c>
      <c r="H257" s="157">
        <f>'график анн Комп 7%'!O252</f>
        <v>0</v>
      </c>
      <c r="I257" s="223" t="str">
        <f>'график анн Комп 7%'!M252</f>
        <v/>
      </c>
      <c r="J257" s="223" t="str">
        <f>'график анн Комп 7%'!N252</f>
        <v/>
      </c>
      <c r="K257" s="223" t="str">
        <f>'график анн Комп 7%'!I252</f>
        <v/>
      </c>
      <c r="L257" s="223" t="str">
        <f>'график анн Комп 7%'!J252</f>
        <v/>
      </c>
      <c r="M257" s="157">
        <f>'график анн Комп 7%'!K252</f>
        <v>0</v>
      </c>
      <c r="N257" s="223" t="str">
        <f>'график анн Комп 7%'!L252</f>
        <v/>
      </c>
      <c r="O257" s="51" t="str">
        <f>'график анн Комп 7%'!P252</f>
        <v/>
      </c>
      <c r="P257" s="49" t="str">
        <f>'график анн Комп 7%'!Q252</f>
        <v/>
      </c>
    </row>
    <row r="258" spans="1:16" x14ac:dyDescent="0.35">
      <c r="A258" s="154">
        <f>'график анн Комп 7%'!A253</f>
        <v>229</v>
      </c>
      <c r="B258" s="149">
        <f ca="1">'график анн Комп 7%'!C253</f>
        <v>51458</v>
      </c>
      <c r="C258" s="156">
        <f ca="1">'график анн Комп 7%'!D253</f>
        <v>31</v>
      </c>
      <c r="D258" s="151">
        <f ca="1">'график анн Комп 7%'!E253</f>
        <v>240087.68076785497</v>
      </c>
      <c r="E258" s="47">
        <f ca="1">'график анн Комп 7%'!H253</f>
        <v>21943.880675085489</v>
      </c>
      <c r="F258" s="47">
        <f ca="1">'график анн Комп 7%'!F253</f>
        <v>20395.256091565101</v>
      </c>
      <c r="G258" s="47">
        <f ca="1">'график анн Комп 7%'!G253</f>
        <v>1548.6245835203879</v>
      </c>
      <c r="H258" s="157">
        <f>'график анн Комп 7%'!O253</f>
        <v>0</v>
      </c>
      <c r="I258" s="223" t="str">
        <f>'график анн Комп 7%'!M253</f>
        <v/>
      </c>
      <c r="J258" s="223">
        <f>'график анн Комп 7%'!N253</f>
        <v>0</v>
      </c>
      <c r="K258" s="223" t="str">
        <f>'график анн Комп 7%'!I253</f>
        <v/>
      </c>
      <c r="L258" s="223" t="str">
        <f>'график анн Комп 7%'!J253</f>
        <v/>
      </c>
      <c r="M258" s="201">
        <f>'график анн Комп 7%'!K253</f>
        <v>7500</v>
      </c>
      <c r="N258" s="223" t="str">
        <f>'график анн Комп 7%'!L253</f>
        <v/>
      </c>
      <c r="O258" s="51" t="str">
        <f>'график анн Комп 7%'!P253</f>
        <v/>
      </c>
      <c r="P258" s="49" t="str">
        <f>'график анн Комп 7%'!Q253</f>
        <v/>
      </c>
    </row>
    <row r="259" spans="1:16" x14ac:dyDescent="0.35">
      <c r="A259" s="154">
        <f>'график анн Комп 7%'!A254</f>
        <v>230</v>
      </c>
      <c r="B259" s="149">
        <f ca="1">'график анн Комп 7%'!C254</f>
        <v>51488</v>
      </c>
      <c r="C259" s="156">
        <f ca="1">'график анн Комп 7%'!D254</f>
        <v>30</v>
      </c>
      <c r="D259" s="151">
        <f ca="1">'график анн Комп 7%'!E254</f>
        <v>219385.9137372697</v>
      </c>
      <c r="E259" s="47">
        <f ca="1">'график анн Комп 7%'!H254</f>
        <v>22083.093413085251</v>
      </c>
      <c r="F259" s="47">
        <f ca="1">'график анн Комп 7%'!F254</f>
        <v>20701.767030585263</v>
      </c>
      <c r="G259" s="47">
        <f ca="1">'график анн Комп 7%'!G254</f>
        <v>1381.3263824999876</v>
      </c>
      <c r="H259" s="157">
        <f>'график анн Комп 7%'!O254</f>
        <v>0</v>
      </c>
      <c r="I259" s="223" t="str">
        <f>'график анн Комп 7%'!M254</f>
        <v/>
      </c>
      <c r="J259" s="223" t="str">
        <f>'график анн Комп 7%'!N254</f>
        <v/>
      </c>
      <c r="K259" s="223" t="str">
        <f>'график анн Комп 7%'!I254</f>
        <v/>
      </c>
      <c r="L259" s="223" t="str">
        <f>'график анн Комп 7%'!J254</f>
        <v/>
      </c>
      <c r="M259" s="201" t="str">
        <f>'график анн Комп 7%'!K254</f>
        <v/>
      </c>
      <c r="N259" s="223" t="str">
        <f>'график анн Комп 7%'!L254</f>
        <v/>
      </c>
      <c r="O259" s="51" t="str">
        <f>'график анн Комп 7%'!P254</f>
        <v/>
      </c>
      <c r="P259" s="49" t="str">
        <f>'график анн Комп 7%'!Q254</f>
        <v/>
      </c>
    </row>
    <row r="260" spans="1:16" x14ac:dyDescent="0.35">
      <c r="A260" s="154">
        <f>'график анн Комп 7%'!A255</f>
        <v>231</v>
      </c>
      <c r="B260" s="149">
        <f ca="1">'график анн Комп 7%'!C255</f>
        <v>51519</v>
      </c>
      <c r="C260" s="156">
        <f ca="1">'график анн Комп 7%'!D255</f>
        <v>31</v>
      </c>
      <c r="D260" s="151">
        <f ca="1">'график анн Комп 7%'!E255</f>
        <v>198543.01449712875</v>
      </c>
      <c r="E260" s="47">
        <f ca="1">'график анн Комп 7%'!H255</f>
        <v>22147.193576606373</v>
      </c>
      <c r="F260" s="47">
        <f ca="1">'график анн Комп 7%'!F255</f>
        <v>20842.89924014096</v>
      </c>
      <c r="G260" s="47">
        <f ca="1">'график анн Комп 7%'!G255</f>
        <v>1304.2943364654118</v>
      </c>
      <c r="H260" s="157">
        <f>'график анн Комп 7%'!O255</f>
        <v>0</v>
      </c>
      <c r="I260" s="223" t="str">
        <f>'график анн Комп 7%'!M255</f>
        <v/>
      </c>
      <c r="J260" s="223" t="str">
        <f>'график анн Комп 7%'!N255</f>
        <v/>
      </c>
      <c r="K260" s="223" t="str">
        <f>'график анн Комп 7%'!I255</f>
        <v/>
      </c>
      <c r="L260" s="223" t="str">
        <f>'график анн Комп 7%'!J255</f>
        <v/>
      </c>
      <c r="M260" s="201" t="str">
        <f>'график анн Комп 7%'!K255</f>
        <v/>
      </c>
      <c r="N260" s="223" t="str">
        <f>'график анн Комп 7%'!L255</f>
        <v/>
      </c>
      <c r="O260" s="51" t="str">
        <f>'график анн Комп 7%'!P255</f>
        <v/>
      </c>
      <c r="P260" s="49" t="str">
        <f>'график анн Комп 7%'!Q255</f>
        <v/>
      </c>
    </row>
    <row r="261" spans="1:16" x14ac:dyDescent="0.35">
      <c r="A261" s="154">
        <f>'график анн Комп 7%'!A256</f>
        <v>232</v>
      </c>
      <c r="B261" s="149">
        <f ca="1">'график анн Комп 7%'!C256</f>
        <v>51550</v>
      </c>
      <c r="C261" s="156">
        <f ca="1">'график анн Комп 7%'!D256</f>
        <v>31</v>
      </c>
      <c r="D261" s="151">
        <f ca="1">'график анн Комп 7%'!E256</f>
        <v>177479.01204051331</v>
      </c>
      <c r="E261" s="47">
        <f ca="1">'график анн Комп 7%'!H256</f>
        <v>22244.381474310714</v>
      </c>
      <c r="F261" s="47">
        <f ca="1">'график анн Комп 7%'!F256</f>
        <v>21064.002456615457</v>
      </c>
      <c r="G261" s="47">
        <f ca="1">'график анн Комп 7%'!G256</f>
        <v>1180.3790176952589</v>
      </c>
      <c r="H261" s="157">
        <f>'график анн Комп 7%'!O256</f>
        <v>0</v>
      </c>
      <c r="I261" s="223" t="str">
        <f>'график анн Комп 7%'!M256</f>
        <v/>
      </c>
      <c r="J261" s="223" t="str">
        <f>'график анн Комп 7%'!N256</f>
        <v/>
      </c>
      <c r="K261" s="223" t="str">
        <f>'график анн Комп 7%'!I256</f>
        <v/>
      </c>
      <c r="L261" s="223" t="str">
        <f>'график анн Комп 7%'!J256</f>
        <v/>
      </c>
      <c r="M261" s="201" t="str">
        <f>'график анн Комп 7%'!K256</f>
        <v/>
      </c>
      <c r="N261" s="223" t="str">
        <f>'график анн Комп 7%'!L256</f>
        <v/>
      </c>
      <c r="O261" s="51" t="str">
        <f>'график анн Комп 7%'!P256</f>
        <v/>
      </c>
      <c r="P261" s="49" t="str">
        <f>'график анн Комп 7%'!Q256</f>
        <v/>
      </c>
    </row>
    <row r="262" spans="1:16" x14ac:dyDescent="0.35">
      <c r="A262" s="154">
        <f>'график анн Комп 7%'!A257</f>
        <v>233</v>
      </c>
      <c r="B262" s="149">
        <f ca="1">'график анн Комп 7%'!C257</f>
        <v>51578</v>
      </c>
      <c r="C262" s="156">
        <f ca="1">'график анн Комп 7%'!D257</f>
        <v>28</v>
      </c>
      <c r="D262" s="151">
        <f ca="1">'график анн Комп 7%'!E257</f>
        <v>155997.35162488752</v>
      </c>
      <c r="E262" s="47">
        <f ca="1">'график анн Комп 7%'!H257</f>
        <v>22434.69839808992</v>
      </c>
      <c r="F262" s="47">
        <f ca="1">'график анн Комп 7%'!F257</f>
        <v>21481.660415625793</v>
      </c>
      <c r="G262" s="47">
        <f ca="1">'график анн Комп 7%'!G257</f>
        <v>953.03798246412623</v>
      </c>
      <c r="H262" s="157">
        <f>'график анн Комп 7%'!O257</f>
        <v>0</v>
      </c>
      <c r="I262" s="223" t="str">
        <f>'график анн Комп 7%'!M257</f>
        <v/>
      </c>
      <c r="J262" s="223" t="str">
        <f>'график анн Комп 7%'!N257</f>
        <v/>
      </c>
      <c r="K262" s="223" t="str">
        <f>'график анн Комп 7%'!I257</f>
        <v/>
      </c>
      <c r="L262" s="223" t="str">
        <f>'график анн Комп 7%'!J257</f>
        <v/>
      </c>
      <c r="M262" s="201" t="str">
        <f>'график анн Комп 7%'!K257</f>
        <v/>
      </c>
      <c r="N262" s="223" t="str">
        <f>'график анн Комп 7%'!L257</f>
        <v/>
      </c>
      <c r="O262" s="51" t="str">
        <f>'график анн Комп 7%'!P257</f>
        <v/>
      </c>
      <c r="P262" s="49" t="str">
        <f>'график анн Комп 7%'!Q257</f>
        <v/>
      </c>
    </row>
    <row r="263" spans="1:16" x14ac:dyDescent="0.35">
      <c r="A263" s="154">
        <f>'график анн Комп 7%'!A258</f>
        <v>234</v>
      </c>
      <c r="B263" s="149">
        <f ca="1">'график анн Комп 7%'!C258</f>
        <v>51609</v>
      </c>
      <c r="C263" s="156">
        <f ca="1">'график анн Комп 7%'!D258</f>
        <v>31</v>
      </c>
      <c r="D263" s="151">
        <f ca="1">'график анн Комп 7%'!E258</f>
        <v>134468.65727893927</v>
      </c>
      <c r="E263" s="47">
        <f ca="1">'график анн Комп 7%'!H258</f>
        <v>22456.130655608562</v>
      </c>
      <c r="F263" s="47">
        <f ca="1">'график анн Комп 7%'!F258</f>
        <v>21528.694345948272</v>
      </c>
      <c r="G263" s="47">
        <f ca="1">'график анн Комп 7%'!G258</f>
        <v>927.43630966029036</v>
      </c>
      <c r="H263" s="157">
        <f>'график анн Комп 7%'!O258</f>
        <v>0</v>
      </c>
      <c r="I263" s="223" t="str">
        <f>'график анн Комп 7%'!M258</f>
        <v/>
      </c>
      <c r="J263" s="223" t="str">
        <f>'график анн Комп 7%'!N258</f>
        <v/>
      </c>
      <c r="K263" s="223" t="str">
        <f>'график анн Комп 7%'!I258</f>
        <v/>
      </c>
      <c r="L263" s="223" t="str">
        <f>'график анн Комп 7%'!J258</f>
        <v/>
      </c>
      <c r="M263" s="201" t="str">
        <f>'график анн Комп 7%'!K258</f>
        <v/>
      </c>
      <c r="N263" s="223" t="str">
        <f>'график анн Комп 7%'!L258</f>
        <v/>
      </c>
      <c r="O263" s="51" t="str">
        <f>'график анн Комп 7%'!P258</f>
        <v/>
      </c>
      <c r="P263" s="49" t="str">
        <f>'график анн Комп 7%'!Q258</f>
        <v/>
      </c>
    </row>
    <row r="264" spans="1:16" x14ac:dyDescent="0.35">
      <c r="A264" s="154">
        <f>'график анн Комп 7%'!A259</f>
        <v>235</v>
      </c>
      <c r="B264" s="149">
        <f ca="1">'график анн Комп 7%'!C259</f>
        <v>51639</v>
      </c>
      <c r="C264" s="156">
        <f ca="1">'график анн Комп 7%'!D259</f>
        <v>30</v>
      </c>
      <c r="D264" s="151">
        <f ca="1">'график анн Комп 7%'!E259</f>
        <v>112657.44522831804</v>
      </c>
      <c r="E264" s="47">
        <f ca="1">'график анн Комп 7%'!H259</f>
        <v>22584.867339075397</v>
      </c>
      <c r="F264" s="47">
        <f ca="1">'график анн Комп 7%'!F259</f>
        <v>21811.212050621227</v>
      </c>
      <c r="G264" s="47">
        <f ca="1">'график анн Комп 7%'!G259</f>
        <v>773.65528845417123</v>
      </c>
      <c r="H264" s="157">
        <f>'график анн Комп 7%'!O259</f>
        <v>0</v>
      </c>
      <c r="I264" s="223" t="str">
        <f>'график анн Комп 7%'!M259</f>
        <v/>
      </c>
      <c r="J264" s="223" t="str">
        <f>'график анн Комп 7%'!N259</f>
        <v/>
      </c>
      <c r="K264" s="223" t="str">
        <f>'график анн Комп 7%'!I259</f>
        <v/>
      </c>
      <c r="L264" s="223" t="str">
        <f>'график анн Комп 7%'!J259</f>
        <v/>
      </c>
      <c r="M264" s="201" t="str">
        <f>'график анн Комп 7%'!K259</f>
        <v/>
      </c>
      <c r="N264" s="223" t="str">
        <f>'график анн Комп 7%'!L259</f>
        <v/>
      </c>
      <c r="O264" s="51" t="str">
        <f>'график анн Комп 7%'!P259</f>
        <v/>
      </c>
      <c r="P264" s="49" t="str">
        <f>'график анн Комп 7%'!Q259</f>
        <v/>
      </c>
    </row>
    <row r="265" spans="1:16" x14ac:dyDescent="0.35">
      <c r="A265" s="154">
        <f>'график анн Комп 7%'!A260</f>
        <v>236</v>
      </c>
      <c r="B265" s="149">
        <f ca="1">'график анн Комп 7%'!C260</f>
        <v>51670</v>
      </c>
      <c r="C265" s="156">
        <f ca="1">'график анн Комп 7%'!D260</f>
        <v>31</v>
      </c>
      <c r="D265" s="151">
        <f ca="1">'график анн Комп 7%'!E260</f>
        <v>90655.384112943575</v>
      </c>
      <c r="E265" s="47">
        <f ca="1">'график анн Комп 7%'!H260</f>
        <v>22671.83277604694</v>
      </c>
      <c r="F265" s="47">
        <f ca="1">'график анн Комп 7%'!F260</f>
        <v>22002.061115374472</v>
      </c>
      <c r="G265" s="47">
        <f ca="1">'график анн Комп 7%'!G260</f>
        <v>669.77166067246617</v>
      </c>
      <c r="H265" s="157">
        <f>'график анн Комп 7%'!O260</f>
        <v>0</v>
      </c>
      <c r="I265" s="223" t="str">
        <f>'график анн Комп 7%'!M260</f>
        <v/>
      </c>
      <c r="J265" s="223" t="str">
        <f>'график анн Комп 7%'!N260</f>
        <v/>
      </c>
      <c r="K265" s="223" t="str">
        <f>'график анн Комп 7%'!I260</f>
        <v/>
      </c>
      <c r="L265" s="223" t="str">
        <f>'график анн Комп 7%'!J260</f>
        <v/>
      </c>
      <c r="M265" s="201" t="str">
        <f>'график анн Комп 7%'!K260</f>
        <v/>
      </c>
      <c r="N265" s="223" t="str">
        <f>'график анн Комп 7%'!L260</f>
        <v/>
      </c>
      <c r="O265" s="51" t="str">
        <f>'график анн Комп 7%'!P260</f>
        <v/>
      </c>
      <c r="P265" s="49" t="str">
        <f>'график анн Комп 7%'!Q260</f>
        <v/>
      </c>
    </row>
    <row r="266" spans="1:16" x14ac:dyDescent="0.35">
      <c r="A266" s="154">
        <f>'график анн Комп 7%'!A261</f>
        <v>237</v>
      </c>
      <c r="B266" s="149">
        <f ca="1">'график анн Комп 7%'!C261</f>
        <v>51700</v>
      </c>
      <c r="C266" s="156">
        <f ca="1">'график анн Комп 7%'!D261</f>
        <v>30</v>
      </c>
      <c r="D266" s="151">
        <f ca="1">'график анн Комп 7%'!E261</f>
        <v>68381.071766776018</v>
      </c>
      <c r="E266" s="47">
        <f ca="1">'график анн Комп 7%'!H261</f>
        <v>22795.891268461204</v>
      </c>
      <c r="F266" s="47">
        <f ca="1">'график анн Комп 7%'!F261</f>
        <v>22274.312346167557</v>
      </c>
      <c r="G266" s="47">
        <f ca="1">'график анн Комп 7%'!G261</f>
        <v>521.57892229364802</v>
      </c>
      <c r="H266" s="157">
        <f>'график анн Комп 7%'!O261</f>
        <v>0</v>
      </c>
      <c r="I266" s="223" t="str">
        <f>'график анн Комп 7%'!M261</f>
        <v/>
      </c>
      <c r="J266" s="223" t="str">
        <f>'график анн Комп 7%'!N261</f>
        <v/>
      </c>
      <c r="K266" s="223" t="str">
        <f>'график анн Комп 7%'!I261</f>
        <v/>
      </c>
      <c r="L266" s="223" t="str">
        <f>'график анн Комп 7%'!J261</f>
        <v/>
      </c>
      <c r="M266" s="201" t="str">
        <f>'график анн Комп 7%'!K261</f>
        <v/>
      </c>
      <c r="N266" s="223" t="str">
        <f>'график анн Комп 7%'!L261</f>
        <v/>
      </c>
      <c r="O266" s="51" t="str">
        <f>'график анн Комп 7%'!P261</f>
        <v/>
      </c>
      <c r="P266" s="49" t="str">
        <f>'график анн Комп 7%'!Q261</f>
        <v/>
      </c>
    </row>
    <row r="267" spans="1:16" x14ac:dyDescent="0.35">
      <c r="A267" s="154">
        <f>'график анн Комп 7%'!A262</f>
        <v>238</v>
      </c>
      <c r="B267" s="149">
        <f ca="1">'график анн Комп 7%'!C262</f>
        <v>51731</v>
      </c>
      <c r="C267" s="156">
        <f ca="1">'график анн Комп 7%'!D262</f>
        <v>31</v>
      </c>
      <c r="D267" s="151">
        <f ca="1">'график анн Комп 7%'!E262</f>
        <v>45895.415609095289</v>
      </c>
      <c r="E267" s="47">
        <f ca="1">'график анн Комп 7%'!H262</f>
        <v>22892.195680239369</v>
      </c>
      <c r="F267" s="47">
        <f ca="1">'график анн Комп 7%'!F262</f>
        <v>22485.656157680729</v>
      </c>
      <c r="G267" s="47">
        <f ca="1">'график анн Комп 7%'!G262</f>
        <v>406.53952255864101</v>
      </c>
      <c r="H267" s="157">
        <f>'график анн Комп 7%'!O262</f>
        <v>0</v>
      </c>
      <c r="I267" s="223" t="str">
        <f>'график анн Комп 7%'!M262</f>
        <v/>
      </c>
      <c r="J267" s="223" t="str">
        <f>'график анн Комп 7%'!N262</f>
        <v/>
      </c>
      <c r="K267" s="223" t="str">
        <f>'график анн Комп 7%'!I262</f>
        <v/>
      </c>
      <c r="L267" s="223" t="str">
        <f>'график анн Комп 7%'!J262</f>
        <v/>
      </c>
      <c r="M267" s="201" t="str">
        <f>'график анн Комп 7%'!K262</f>
        <v/>
      </c>
      <c r="N267" s="223" t="str">
        <f>'график анн Комп 7%'!L262</f>
        <v/>
      </c>
      <c r="O267" s="51" t="str">
        <f>'график анн Комп 7%'!P262</f>
        <v/>
      </c>
      <c r="P267" s="49" t="str">
        <f>'график анн Комп 7%'!Q262</f>
        <v/>
      </c>
    </row>
    <row r="268" spans="1:16" x14ac:dyDescent="0.35">
      <c r="A268" s="154">
        <f>'график анн Комп 7%'!A263</f>
        <v>239</v>
      </c>
      <c r="B268" s="149">
        <f ca="1">'график анн Комп 7%'!C263</f>
        <v>51762</v>
      </c>
      <c r="C268" s="156">
        <f ca="1">'график анн Комп 7%'!D263</f>
        <v>31</v>
      </c>
      <c r="D268" s="151">
        <f ca="1">'график анн Комп 7%'!E263</f>
        <v>23164.166802542753</v>
      </c>
      <c r="E268" s="47">
        <f ca="1">'график анн Комп 7%'!H263</f>
        <v>23004.106482913459</v>
      </c>
      <c r="F268" s="47">
        <f ca="1">'график анн Комп 7%'!F263</f>
        <v>22731.248806552536</v>
      </c>
      <c r="G268" s="47">
        <f ca="1">'график анн Комп 7%'!G263</f>
        <v>272.85767636092271</v>
      </c>
      <c r="H268" s="157">
        <f>'график анн Комп 7%'!O263</f>
        <v>0</v>
      </c>
      <c r="I268" s="223" t="str">
        <f>'график анн Комп 7%'!M263</f>
        <v/>
      </c>
      <c r="J268" s="223" t="str">
        <f>'график анн Комп 7%'!N263</f>
        <v/>
      </c>
      <c r="K268" s="223" t="str">
        <f>'график анн Комп 7%'!I263</f>
        <v/>
      </c>
      <c r="L268" s="223" t="str">
        <f>'график анн Комп 7%'!J263</f>
        <v/>
      </c>
      <c r="M268" s="201" t="str">
        <f>'график анн Комп 7%'!K263</f>
        <v/>
      </c>
      <c r="N268" s="223" t="str">
        <f>'график анн Комп 7%'!L263</f>
        <v/>
      </c>
      <c r="O268" s="51" t="str">
        <f>'график анн Комп 7%'!P263</f>
        <v/>
      </c>
      <c r="P268" s="49" t="str">
        <f>'график анн Комп 7%'!Q263</f>
        <v/>
      </c>
    </row>
    <row r="269" spans="1:16" x14ac:dyDescent="0.35">
      <c r="A269" s="154">
        <f>'график анн Комп 7%'!A264</f>
        <v>240</v>
      </c>
      <c r="B269" s="149">
        <f ca="1">'график анн Комп 7%'!C264</f>
        <v>51791</v>
      </c>
      <c r="C269" s="156">
        <f ca="1">'график анн Комп 7%'!D264</f>
        <v>29</v>
      </c>
      <c r="D269" s="151">
        <f ca="1">'график анн Комп 7%'!E264</f>
        <v>2.5647750589996576E-9</v>
      </c>
      <c r="E269" s="47">
        <f ca="1">'график анн Комп 7%'!H264</f>
        <v>23292.99764804474</v>
      </c>
      <c r="F269" s="47">
        <f ca="1">'график анн Комп 7%'!F264</f>
        <v>23164.166802540189</v>
      </c>
      <c r="G269" s="47">
        <f ca="1">'график анн Комп 7%'!G264</f>
        <v>128.83084550455285</v>
      </c>
      <c r="H269" s="157">
        <f>'график анн Комп 7%'!O264</f>
        <v>0</v>
      </c>
      <c r="I269" s="223" t="str">
        <f>'график анн Комп 7%'!M264</f>
        <v/>
      </c>
      <c r="J269" s="223" t="str">
        <f>'график анн Комп 7%'!N264</f>
        <v/>
      </c>
      <c r="K269" s="223" t="str">
        <f>'график анн Комп 7%'!I264</f>
        <v/>
      </c>
      <c r="L269" s="223" t="str">
        <f>'график анн Комп 7%'!J264</f>
        <v/>
      </c>
      <c r="M269" s="201" t="str">
        <f>'график анн Комп 7%'!K264</f>
        <v/>
      </c>
      <c r="N269" s="223" t="str">
        <f>'график анн Комп 7%'!L264</f>
        <v/>
      </c>
      <c r="O269" s="51" t="str">
        <f>'график анн Комп 7%'!P264</f>
        <v/>
      </c>
      <c r="P269" s="49" t="str">
        <f>'график анн Комп 7%'!Q264</f>
        <v/>
      </c>
    </row>
    <row r="270" spans="1:16" x14ac:dyDescent="0.35">
      <c r="A270" s="154" t="str">
        <f>'график анн Комп 7%'!A265</f>
        <v/>
      </c>
      <c r="B270" s="155"/>
      <c r="C270" s="156"/>
      <c r="D270" s="151" t="str">
        <f>'график анн Комп 7%'!E265</f>
        <v/>
      </c>
      <c r="E270" s="47">
        <f ca="1">'график анн Комп 7%'!H265</f>
        <v>3947382.843276517</v>
      </c>
      <c r="F270" s="47">
        <f ca="1">'график анн Комп 7%'!F265</f>
        <v>2000000</v>
      </c>
      <c r="G270" s="47">
        <f ca="1">'график анн Комп 7%'!G265</f>
        <v>1947382.843276517</v>
      </c>
      <c r="H270" s="223">
        <f>'график анн Комп 7%'!O265</f>
        <v>0</v>
      </c>
      <c r="I270" s="223">
        <f>'график анн Комп 7%'!M265</f>
        <v>10000</v>
      </c>
      <c r="J270" s="223">
        <f>'график анн Комп 7%'!N265</f>
        <v>0</v>
      </c>
      <c r="K270" s="223">
        <f>'график анн Комп 7%'!I265</f>
        <v>10000</v>
      </c>
      <c r="L270" s="223">
        <f>'график анн Комп 7%'!J265</f>
        <v>2000</v>
      </c>
      <c r="M270" s="201">
        <f>'график анн Комп 7%'!K265</f>
        <v>150000</v>
      </c>
      <c r="N270" s="223">
        <f>'график анн Комп 7%'!L265</f>
        <v>25000</v>
      </c>
      <c r="O270" s="229">
        <f ca="1">'график анн Комп 7%'!P265</f>
        <v>8.0560901761055029E-2</v>
      </c>
      <c r="P270" s="297">
        <f ca="1">'график анн Комп 7%'!Q265</f>
        <v>4144382.843276517</v>
      </c>
    </row>
  </sheetData>
  <sheetProtection algorithmName="SHA-512" hashValue="Ohth/DtfWGERP/R+w+jCZ1yjjIraGEP8TycS7ZW5aa9eW2ugRnv4PE2I8MIkbb8UaYH3dpIc41wxIuGyTvpAkA==" saltValue="0PLtL6Y3bs9obDLslgv8fw==" spinCount="100000" sheet="1" objects="1" scenarios="1"/>
  <mergeCells count="32">
    <mergeCell ref="E12:F12"/>
    <mergeCell ref="A2:P2"/>
    <mergeCell ref="E4:F4"/>
    <mergeCell ref="E5:F5"/>
    <mergeCell ref="N5:O6"/>
    <mergeCell ref="P5:P6"/>
    <mergeCell ref="E6:F6"/>
    <mergeCell ref="E7:F7"/>
    <mergeCell ref="N7:O8"/>
    <mergeCell ref="P7:P8"/>
    <mergeCell ref="E8:F8"/>
    <mergeCell ref="E10:F10"/>
    <mergeCell ref="E13:F13"/>
    <mergeCell ref="A15:F15"/>
    <mergeCell ref="A16:B16"/>
    <mergeCell ref="A21:A28"/>
    <mergeCell ref="B21:B28"/>
    <mergeCell ref="C21:C28"/>
    <mergeCell ref="D21:D28"/>
    <mergeCell ref="E21:E28"/>
    <mergeCell ref="F22:F28"/>
    <mergeCell ref="G22:G28"/>
    <mergeCell ref="H22:H28"/>
    <mergeCell ref="I22:I27"/>
    <mergeCell ref="J22:J23"/>
    <mergeCell ref="M22:M23"/>
    <mergeCell ref="N22:N23"/>
    <mergeCell ref="K21:L21"/>
    <mergeCell ref="O21:O28"/>
    <mergeCell ref="P21:P28"/>
    <mergeCell ref="K22:K23"/>
    <mergeCell ref="L22:L23"/>
  </mergeCells>
  <pageMargins left="0.25" right="0.25" top="0.75" bottom="0.75" header="0.3" footer="0.3"/>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203"/>
      <c r="B1" s="204" t="s">
        <v>179</v>
      </c>
      <c r="C1" s="204"/>
      <c r="D1" s="205"/>
      <c r="E1" s="205"/>
      <c r="F1" s="203"/>
      <c r="G1" s="203"/>
      <c r="H1" s="206"/>
      <c r="I1" s="206"/>
      <c r="J1" s="207"/>
    </row>
    <row r="2" spans="1:10" ht="15.75" customHeight="1" x14ac:dyDescent="0.35">
      <c r="A2" s="208">
        <v>1</v>
      </c>
      <c r="B2" s="209" t="s">
        <v>180</v>
      </c>
      <c r="C2" s="210" t="s">
        <v>181</v>
      </c>
      <c r="D2" s="211" t="s">
        <v>182</v>
      </c>
      <c r="E2" s="208" t="s">
        <v>183</v>
      </c>
      <c r="F2" s="209" t="s">
        <v>184</v>
      </c>
      <c r="G2" s="208" t="s">
        <v>185</v>
      </c>
      <c r="H2" s="212" t="s">
        <v>186</v>
      </c>
      <c r="I2" s="213" t="s">
        <v>187</v>
      </c>
      <c r="J2" s="214" t="s">
        <v>188</v>
      </c>
    </row>
    <row r="3" spans="1:10" ht="12.75" customHeight="1" x14ac:dyDescent="0.35">
      <c r="A3" s="208">
        <v>2</v>
      </c>
      <c r="B3" s="209" t="s">
        <v>189</v>
      </c>
      <c r="C3" s="210" t="s">
        <v>190</v>
      </c>
      <c r="D3" s="211" t="s">
        <v>191</v>
      </c>
      <c r="E3" s="208" t="s">
        <v>192</v>
      </c>
      <c r="F3" s="209" t="s">
        <v>193</v>
      </c>
      <c r="G3" s="208" t="s">
        <v>194</v>
      </c>
      <c r="H3" s="212" t="s">
        <v>195</v>
      </c>
      <c r="I3" s="213" t="s">
        <v>196</v>
      </c>
      <c r="J3" s="214" t="s">
        <v>188</v>
      </c>
    </row>
    <row r="4" spans="1:10" ht="33.75" customHeight="1" x14ac:dyDescent="0.35">
      <c r="A4" s="208">
        <v>3</v>
      </c>
      <c r="B4" s="209" t="s">
        <v>197</v>
      </c>
      <c r="C4" s="210" t="s">
        <v>198</v>
      </c>
      <c r="D4" s="211" t="s">
        <v>199</v>
      </c>
      <c r="E4" s="208" t="s">
        <v>200</v>
      </c>
      <c r="F4" s="209" t="s">
        <v>201</v>
      </c>
      <c r="G4" s="208" t="s">
        <v>202</v>
      </c>
      <c r="H4" s="212" t="s">
        <v>203</v>
      </c>
      <c r="I4" s="213" t="s">
        <v>204</v>
      </c>
      <c r="J4" s="214" t="s">
        <v>188</v>
      </c>
    </row>
    <row r="5" spans="1:10" ht="16.5" customHeight="1" x14ac:dyDescent="0.35">
      <c r="A5" s="208">
        <v>4</v>
      </c>
      <c r="B5" s="209" t="s">
        <v>205</v>
      </c>
      <c r="C5" s="210" t="s">
        <v>206</v>
      </c>
      <c r="D5" s="211" t="s">
        <v>207</v>
      </c>
      <c r="E5" s="208" t="s">
        <v>208</v>
      </c>
      <c r="F5" s="209" t="s">
        <v>209</v>
      </c>
      <c r="G5" s="208" t="s">
        <v>210</v>
      </c>
      <c r="H5" s="212" t="s">
        <v>211</v>
      </c>
      <c r="I5" s="213" t="s">
        <v>212</v>
      </c>
      <c r="J5" s="214" t="s">
        <v>188</v>
      </c>
    </row>
    <row r="6" spans="1:10" ht="16.5" customHeight="1" x14ac:dyDescent="0.35">
      <c r="A6" s="208">
        <v>5</v>
      </c>
      <c r="B6" s="209" t="s">
        <v>213</v>
      </c>
      <c r="C6" s="210" t="s">
        <v>214</v>
      </c>
      <c r="D6" s="211" t="s">
        <v>215</v>
      </c>
      <c r="E6" s="208" t="s">
        <v>216</v>
      </c>
      <c r="F6" s="209" t="s">
        <v>217</v>
      </c>
      <c r="G6" s="208" t="s">
        <v>218</v>
      </c>
      <c r="H6" s="212" t="s">
        <v>219</v>
      </c>
      <c r="I6" s="213" t="s">
        <v>220</v>
      </c>
      <c r="J6" s="214" t="s">
        <v>188</v>
      </c>
    </row>
    <row r="7" spans="1:10" ht="41.25" customHeight="1" x14ac:dyDescent="0.35">
      <c r="A7" s="208">
        <v>6</v>
      </c>
      <c r="B7" s="209" t="s">
        <v>221</v>
      </c>
      <c r="C7" s="210" t="s">
        <v>222</v>
      </c>
      <c r="D7" s="211" t="s">
        <v>223</v>
      </c>
      <c r="E7" s="208" t="s">
        <v>224</v>
      </c>
      <c r="F7" s="209" t="s">
        <v>225</v>
      </c>
      <c r="G7" s="208" t="s">
        <v>226</v>
      </c>
      <c r="H7" s="212" t="s">
        <v>227</v>
      </c>
      <c r="I7" s="213" t="s">
        <v>228</v>
      </c>
      <c r="J7" s="214" t="s">
        <v>188</v>
      </c>
    </row>
    <row r="8" spans="1:10" ht="16.5" customHeight="1" x14ac:dyDescent="0.35">
      <c r="A8" s="208">
        <v>7</v>
      </c>
      <c r="B8" s="209" t="s">
        <v>229</v>
      </c>
      <c r="C8" s="210" t="s">
        <v>230</v>
      </c>
      <c r="D8" s="211" t="s">
        <v>231</v>
      </c>
      <c r="E8" s="208" t="s">
        <v>232</v>
      </c>
      <c r="F8" s="209" t="s">
        <v>233</v>
      </c>
      <c r="G8" s="208" t="s">
        <v>234</v>
      </c>
      <c r="H8" s="212" t="s">
        <v>235</v>
      </c>
      <c r="I8" s="213" t="s">
        <v>236</v>
      </c>
      <c r="J8" s="214" t="s">
        <v>188</v>
      </c>
    </row>
    <row r="9" spans="1:10" ht="16.5" customHeight="1" x14ac:dyDescent="0.35">
      <c r="A9" s="208">
        <v>8</v>
      </c>
      <c r="B9" s="209" t="s">
        <v>237</v>
      </c>
      <c r="C9" s="210" t="s">
        <v>238</v>
      </c>
      <c r="D9" s="211" t="s">
        <v>239</v>
      </c>
      <c r="E9" s="208" t="s">
        <v>240</v>
      </c>
      <c r="F9" s="209" t="s">
        <v>241</v>
      </c>
      <c r="G9" s="208" t="s">
        <v>242</v>
      </c>
      <c r="H9" s="212" t="s">
        <v>243</v>
      </c>
      <c r="I9" s="213" t="s">
        <v>244</v>
      </c>
      <c r="J9" s="214" t="s">
        <v>188</v>
      </c>
    </row>
    <row r="10" spans="1:10" ht="16.5" customHeight="1" x14ac:dyDescent="0.35">
      <c r="A10" s="208">
        <v>9</v>
      </c>
      <c r="B10" s="209" t="s">
        <v>245</v>
      </c>
      <c r="C10" s="210" t="s">
        <v>246</v>
      </c>
      <c r="D10" s="211" t="s">
        <v>247</v>
      </c>
      <c r="E10" s="208" t="s">
        <v>248</v>
      </c>
      <c r="F10" s="209" t="s">
        <v>249</v>
      </c>
      <c r="G10" s="208" t="s">
        <v>250</v>
      </c>
      <c r="H10" s="212" t="s">
        <v>251</v>
      </c>
      <c r="I10" s="213" t="s">
        <v>252</v>
      </c>
      <c r="J10" s="214" t="s">
        <v>188</v>
      </c>
    </row>
    <row r="11" spans="1:10" ht="16.5" customHeight="1" x14ac:dyDescent="0.35">
      <c r="A11" s="208">
        <v>10</v>
      </c>
      <c r="B11" s="209" t="s">
        <v>253</v>
      </c>
      <c r="C11" s="210" t="s">
        <v>254</v>
      </c>
      <c r="D11" s="211" t="s">
        <v>255</v>
      </c>
      <c r="E11" s="208" t="s">
        <v>256</v>
      </c>
      <c r="F11" s="209" t="s">
        <v>257</v>
      </c>
      <c r="G11" s="208" t="s">
        <v>258</v>
      </c>
      <c r="H11" s="212" t="s">
        <v>259</v>
      </c>
      <c r="I11" s="213" t="s">
        <v>260</v>
      </c>
      <c r="J11" s="214" t="s">
        <v>188</v>
      </c>
    </row>
    <row r="12" spans="1:10" ht="16.5" customHeight="1" x14ac:dyDescent="0.35">
      <c r="A12" s="208">
        <v>11</v>
      </c>
      <c r="B12" s="209" t="s">
        <v>261</v>
      </c>
      <c r="C12" s="210" t="s">
        <v>262</v>
      </c>
      <c r="D12" s="211" t="s">
        <v>263</v>
      </c>
      <c r="E12" s="208" t="s">
        <v>264</v>
      </c>
      <c r="F12" s="209" t="s">
        <v>265</v>
      </c>
      <c r="G12" s="208" t="s">
        <v>266</v>
      </c>
      <c r="H12" s="212" t="s">
        <v>267</v>
      </c>
      <c r="I12" s="213" t="s">
        <v>268</v>
      </c>
      <c r="J12" s="214" t="s">
        <v>188</v>
      </c>
    </row>
    <row r="13" spans="1:10" ht="16.5" customHeight="1" x14ac:dyDescent="0.35">
      <c r="A13" s="208">
        <v>12</v>
      </c>
      <c r="B13" s="209" t="s">
        <v>269</v>
      </c>
      <c r="C13" s="210" t="s">
        <v>270</v>
      </c>
      <c r="D13" s="211" t="s">
        <v>271</v>
      </c>
      <c r="E13" s="208" t="s">
        <v>272</v>
      </c>
      <c r="F13" s="209" t="s">
        <v>273</v>
      </c>
      <c r="G13" s="208" t="s">
        <v>274</v>
      </c>
      <c r="H13" s="212" t="s">
        <v>275</v>
      </c>
      <c r="I13" s="213" t="s">
        <v>276</v>
      </c>
      <c r="J13" s="214" t="s">
        <v>188</v>
      </c>
    </row>
    <row r="14" spans="1:10" ht="25.5" customHeight="1" x14ac:dyDescent="0.35">
      <c r="A14" s="208">
        <v>13</v>
      </c>
      <c r="B14" s="209" t="s">
        <v>277</v>
      </c>
      <c r="C14" s="210" t="s">
        <v>278</v>
      </c>
      <c r="D14" s="211" t="s">
        <v>279</v>
      </c>
      <c r="E14" s="208" t="s">
        <v>280</v>
      </c>
      <c r="F14" s="209" t="s">
        <v>281</v>
      </c>
      <c r="G14" s="208" t="s">
        <v>282</v>
      </c>
      <c r="H14" s="212" t="s">
        <v>283</v>
      </c>
      <c r="I14" s="213" t="s">
        <v>284</v>
      </c>
      <c r="J14" s="214" t="s">
        <v>188</v>
      </c>
    </row>
    <row r="15" spans="1:10" ht="28.5" customHeight="1" x14ac:dyDescent="0.35">
      <c r="A15" s="208">
        <v>14</v>
      </c>
      <c r="B15" s="209" t="s">
        <v>285</v>
      </c>
      <c r="C15" s="210" t="s">
        <v>286</v>
      </c>
      <c r="D15" s="211" t="s">
        <v>287</v>
      </c>
      <c r="E15" s="208" t="s">
        <v>288</v>
      </c>
      <c r="F15" s="209" t="s">
        <v>289</v>
      </c>
      <c r="G15" s="208" t="s">
        <v>290</v>
      </c>
      <c r="H15" s="212" t="s">
        <v>291</v>
      </c>
      <c r="I15" s="213" t="s">
        <v>292</v>
      </c>
      <c r="J15" s="214" t="s">
        <v>188</v>
      </c>
    </row>
    <row r="16" spans="1:10" ht="16.5" customHeight="1" x14ac:dyDescent="0.35">
      <c r="A16" s="208">
        <v>15</v>
      </c>
      <c r="B16" s="209" t="s">
        <v>293</v>
      </c>
      <c r="C16" s="210" t="s">
        <v>294</v>
      </c>
      <c r="D16" s="211" t="s">
        <v>295</v>
      </c>
      <c r="E16" s="208" t="s">
        <v>296</v>
      </c>
      <c r="F16" s="209" t="s">
        <v>297</v>
      </c>
      <c r="G16" s="208" t="s">
        <v>298</v>
      </c>
      <c r="H16" s="212" t="s">
        <v>299</v>
      </c>
      <c r="I16" s="213" t="s">
        <v>300</v>
      </c>
      <c r="J16" s="214" t="s">
        <v>188</v>
      </c>
    </row>
    <row r="17" spans="1:10" ht="16.5" customHeight="1" x14ac:dyDescent="0.35">
      <c r="A17" s="208">
        <v>16</v>
      </c>
      <c r="B17" s="209" t="s">
        <v>301</v>
      </c>
      <c r="C17" s="210" t="s">
        <v>302</v>
      </c>
      <c r="D17" s="211" t="s">
        <v>303</v>
      </c>
      <c r="E17" s="208" t="s">
        <v>304</v>
      </c>
      <c r="F17" s="209" t="s">
        <v>305</v>
      </c>
      <c r="G17" s="208" t="s">
        <v>306</v>
      </c>
      <c r="H17" s="212" t="s">
        <v>307</v>
      </c>
      <c r="I17" s="213" t="s">
        <v>308</v>
      </c>
      <c r="J17" s="214" t="s">
        <v>188</v>
      </c>
    </row>
    <row r="18" spans="1:10" ht="27" customHeight="1" x14ac:dyDescent="0.35">
      <c r="A18" s="208">
        <v>17</v>
      </c>
      <c r="B18" s="209" t="s">
        <v>309</v>
      </c>
      <c r="C18" s="210" t="s">
        <v>310</v>
      </c>
      <c r="D18" s="211" t="s">
        <v>311</v>
      </c>
      <c r="E18" s="208" t="s">
        <v>312</v>
      </c>
      <c r="F18" s="209" t="s">
        <v>313</v>
      </c>
      <c r="G18" s="208" t="s">
        <v>290</v>
      </c>
      <c r="H18" s="212" t="s">
        <v>314</v>
      </c>
      <c r="I18" s="213" t="s">
        <v>315</v>
      </c>
      <c r="J18" s="214" t="s">
        <v>188</v>
      </c>
    </row>
    <row r="19" spans="1:10" ht="28.5" customHeight="1" x14ac:dyDescent="0.35">
      <c r="A19" s="208">
        <v>18</v>
      </c>
      <c r="B19" s="209" t="s">
        <v>316</v>
      </c>
      <c r="C19" s="210" t="s">
        <v>317</v>
      </c>
      <c r="D19" s="211" t="s">
        <v>318</v>
      </c>
      <c r="E19" s="208" t="s">
        <v>319</v>
      </c>
      <c r="F19" s="209" t="s">
        <v>320</v>
      </c>
      <c r="G19" s="208" t="s">
        <v>321</v>
      </c>
      <c r="H19" s="212" t="s">
        <v>322</v>
      </c>
      <c r="I19" s="213" t="s">
        <v>323</v>
      </c>
      <c r="J19" s="214" t="s">
        <v>188</v>
      </c>
    </row>
    <row r="20" spans="1:10" ht="16.5" customHeight="1" x14ac:dyDescent="0.35">
      <c r="A20" s="208">
        <v>19</v>
      </c>
      <c r="B20" s="209" t="s">
        <v>324</v>
      </c>
      <c r="C20" s="210" t="s">
        <v>325</v>
      </c>
      <c r="D20" s="211" t="s">
        <v>326</v>
      </c>
      <c r="E20" s="208" t="s">
        <v>327</v>
      </c>
      <c r="F20" s="209" t="s">
        <v>328</v>
      </c>
      <c r="G20" s="208" t="s">
        <v>329</v>
      </c>
      <c r="H20" s="212" t="s">
        <v>330</v>
      </c>
      <c r="I20" s="213" t="s">
        <v>331</v>
      </c>
      <c r="J20" s="214" t="s">
        <v>332</v>
      </c>
    </row>
    <row r="21" spans="1:10" ht="20.25" customHeight="1" x14ac:dyDescent="0.35">
      <c r="A21" s="208">
        <v>20</v>
      </c>
      <c r="B21" s="209" t="s">
        <v>333</v>
      </c>
      <c r="C21" s="210" t="s">
        <v>334</v>
      </c>
      <c r="D21" s="211" t="s">
        <v>335</v>
      </c>
      <c r="E21" s="208" t="s">
        <v>336</v>
      </c>
      <c r="F21" s="209" t="s">
        <v>337</v>
      </c>
      <c r="G21" s="208" t="s">
        <v>338</v>
      </c>
      <c r="H21" s="212" t="s">
        <v>339</v>
      </c>
      <c r="I21" s="213" t="s">
        <v>340</v>
      </c>
      <c r="J21" s="214" t="s">
        <v>188</v>
      </c>
    </row>
    <row r="22" spans="1:10" ht="29.25" customHeight="1" x14ac:dyDescent="0.35">
      <c r="A22" s="208">
        <v>21</v>
      </c>
      <c r="B22" s="209" t="s">
        <v>341</v>
      </c>
      <c r="C22" s="210" t="s">
        <v>342</v>
      </c>
      <c r="D22" s="211" t="s">
        <v>343</v>
      </c>
      <c r="E22" s="208" t="s">
        <v>344</v>
      </c>
      <c r="F22" s="209" t="s">
        <v>345</v>
      </c>
      <c r="G22" s="208" t="s">
        <v>346</v>
      </c>
      <c r="H22" s="212" t="s">
        <v>347</v>
      </c>
      <c r="I22" s="213" t="s">
        <v>348</v>
      </c>
      <c r="J22" s="214" t="s">
        <v>188</v>
      </c>
    </row>
    <row r="23" spans="1:10" ht="27" customHeight="1" x14ac:dyDescent="0.35">
      <c r="A23" s="208">
        <v>22</v>
      </c>
      <c r="B23" s="209" t="s">
        <v>349</v>
      </c>
      <c r="C23" s="210" t="s">
        <v>350</v>
      </c>
      <c r="D23" s="211" t="s">
        <v>351</v>
      </c>
      <c r="E23" s="208" t="s">
        <v>352</v>
      </c>
      <c r="F23" s="209" t="s">
        <v>353</v>
      </c>
      <c r="G23" s="208" t="s">
        <v>354</v>
      </c>
      <c r="H23" s="212" t="s">
        <v>355</v>
      </c>
      <c r="I23" s="213" t="s">
        <v>356</v>
      </c>
      <c r="J23" s="214" t="s">
        <v>188</v>
      </c>
    </row>
    <row r="24" spans="1:10" ht="17.25" customHeight="1" x14ac:dyDescent="0.35">
      <c r="A24" s="208">
        <v>23</v>
      </c>
      <c r="B24" s="209" t="s">
        <v>357</v>
      </c>
      <c r="C24" s="210" t="s">
        <v>358</v>
      </c>
      <c r="D24" s="211" t="s">
        <v>359</v>
      </c>
      <c r="E24" s="208" t="s">
        <v>360</v>
      </c>
      <c r="F24" s="209" t="s">
        <v>361</v>
      </c>
      <c r="G24" s="208" t="s">
        <v>362</v>
      </c>
      <c r="H24" s="212" t="s">
        <v>363</v>
      </c>
      <c r="I24" s="213" t="s">
        <v>364</v>
      </c>
      <c r="J24" s="214" t="s">
        <v>188</v>
      </c>
    </row>
    <row r="25" spans="1:10" ht="31.5" customHeight="1" x14ac:dyDescent="0.35">
      <c r="A25" s="208">
        <v>24</v>
      </c>
      <c r="B25" s="209" t="s">
        <v>365</v>
      </c>
      <c r="C25" s="210" t="s">
        <v>366</v>
      </c>
      <c r="D25" s="211" t="s">
        <v>367</v>
      </c>
      <c r="E25" s="208" t="s">
        <v>368</v>
      </c>
      <c r="F25" s="209" t="s">
        <v>369</v>
      </c>
      <c r="G25" s="208" t="s">
        <v>370</v>
      </c>
      <c r="H25" s="212" t="s">
        <v>371</v>
      </c>
      <c r="I25" s="213" t="s">
        <v>372</v>
      </c>
      <c r="J25" s="214" t="s">
        <v>188</v>
      </c>
    </row>
    <row r="26" spans="1:10" ht="26.25" customHeight="1" x14ac:dyDescent="0.35">
      <c r="A26" s="208">
        <v>25</v>
      </c>
      <c r="B26" s="209" t="s">
        <v>373</v>
      </c>
      <c r="C26" s="210" t="s">
        <v>374</v>
      </c>
      <c r="D26" s="211" t="s">
        <v>375</v>
      </c>
      <c r="E26" s="208" t="s">
        <v>376</v>
      </c>
      <c r="F26" s="209" t="s">
        <v>377</v>
      </c>
      <c r="G26" s="208" t="s">
        <v>378</v>
      </c>
      <c r="H26" s="212" t="s">
        <v>379</v>
      </c>
      <c r="I26" s="213" t="s">
        <v>380</v>
      </c>
      <c r="J26" s="214" t="s">
        <v>188</v>
      </c>
    </row>
    <row r="27" spans="1:10" ht="17.25" customHeight="1" x14ac:dyDescent="0.35">
      <c r="A27" s="208">
        <v>26</v>
      </c>
      <c r="B27" s="209" t="s">
        <v>381</v>
      </c>
      <c r="C27" s="210" t="s">
        <v>382</v>
      </c>
      <c r="D27" s="211" t="s">
        <v>383</v>
      </c>
      <c r="E27" s="208" t="s">
        <v>384</v>
      </c>
      <c r="F27" s="209" t="s">
        <v>385</v>
      </c>
      <c r="G27" s="208" t="s">
        <v>386</v>
      </c>
      <c r="H27" s="212" t="s">
        <v>387</v>
      </c>
      <c r="I27" s="213" t="s">
        <v>388</v>
      </c>
      <c r="J27" s="214" t="s">
        <v>188</v>
      </c>
    </row>
    <row r="28" spans="1:10" ht="17.25" customHeight="1" x14ac:dyDescent="0.35">
      <c r="A28" s="208">
        <v>27</v>
      </c>
      <c r="B28" s="209" t="s">
        <v>389</v>
      </c>
      <c r="C28" s="210" t="s">
        <v>390</v>
      </c>
      <c r="D28" s="211" t="s">
        <v>391</v>
      </c>
      <c r="E28" s="208" t="s">
        <v>392</v>
      </c>
      <c r="F28" s="209" t="s">
        <v>393</v>
      </c>
      <c r="G28" s="208" t="s">
        <v>394</v>
      </c>
      <c r="H28" s="212" t="s">
        <v>395</v>
      </c>
      <c r="I28" s="213" t="s">
        <v>396</v>
      </c>
      <c r="J28" s="214" t="s">
        <v>188</v>
      </c>
    </row>
    <row r="29" spans="1:10" ht="17.25" customHeight="1" x14ac:dyDescent="0.35">
      <c r="A29" s="208">
        <v>28</v>
      </c>
      <c r="B29" s="209" t="s">
        <v>397</v>
      </c>
      <c r="C29" s="210" t="s">
        <v>398</v>
      </c>
      <c r="D29" s="211" t="s">
        <v>399</v>
      </c>
      <c r="E29" s="208" t="s">
        <v>400</v>
      </c>
      <c r="F29" s="209" t="s">
        <v>401</v>
      </c>
      <c r="G29" s="208" t="s">
        <v>402</v>
      </c>
      <c r="H29" s="212" t="s">
        <v>403</v>
      </c>
      <c r="I29" s="213" t="s">
        <v>404</v>
      </c>
      <c r="J29" s="214" t="s">
        <v>188</v>
      </c>
    </row>
    <row r="30" spans="1:10" ht="29.25" customHeight="1" x14ac:dyDescent="0.35">
      <c r="A30" s="208">
        <v>29</v>
      </c>
      <c r="B30" s="209" t="s">
        <v>405</v>
      </c>
      <c r="C30" s="210" t="s">
        <v>406</v>
      </c>
      <c r="D30" s="211" t="s">
        <v>407</v>
      </c>
      <c r="E30" s="208" t="s">
        <v>408</v>
      </c>
      <c r="F30" s="209" t="s">
        <v>409</v>
      </c>
      <c r="G30" s="208" t="s">
        <v>410</v>
      </c>
      <c r="H30" s="212" t="s">
        <v>411</v>
      </c>
      <c r="I30" s="213" t="s">
        <v>412</v>
      </c>
      <c r="J30" s="214" t="s">
        <v>188</v>
      </c>
    </row>
    <row r="31" spans="1:10" ht="28.5" customHeight="1" x14ac:dyDescent="0.35">
      <c r="A31" s="208">
        <v>30</v>
      </c>
      <c r="B31" s="209" t="s">
        <v>413</v>
      </c>
      <c r="C31" s="210" t="s">
        <v>414</v>
      </c>
      <c r="D31" s="211" t="s">
        <v>415</v>
      </c>
      <c r="E31" s="208" t="s">
        <v>416</v>
      </c>
      <c r="F31" s="209" t="s">
        <v>417</v>
      </c>
      <c r="G31" s="208" t="s">
        <v>418</v>
      </c>
      <c r="H31" s="212" t="s">
        <v>419</v>
      </c>
      <c r="I31" s="213" t="s">
        <v>420</v>
      </c>
      <c r="J31" s="214" t="s">
        <v>188</v>
      </c>
    </row>
    <row r="32" spans="1:10" ht="35.25" customHeight="1" x14ac:dyDescent="0.35">
      <c r="A32" s="208">
        <v>31</v>
      </c>
      <c r="B32" s="209" t="s">
        <v>421</v>
      </c>
      <c r="C32" s="210" t="s">
        <v>422</v>
      </c>
      <c r="D32" s="211" t="s">
        <v>423</v>
      </c>
      <c r="E32" s="208" t="s">
        <v>424</v>
      </c>
      <c r="F32" s="209" t="s">
        <v>425</v>
      </c>
      <c r="G32" s="208" t="s">
        <v>426</v>
      </c>
      <c r="H32" s="212" t="s">
        <v>427</v>
      </c>
      <c r="I32" s="213" t="s">
        <v>428</v>
      </c>
      <c r="J32" s="214" t="s">
        <v>188</v>
      </c>
    </row>
    <row r="33" spans="1:10" ht="17.25" customHeight="1" x14ac:dyDescent="0.35">
      <c r="A33" s="208">
        <v>32</v>
      </c>
      <c r="B33" s="209" t="s">
        <v>429</v>
      </c>
      <c r="C33" s="210" t="s">
        <v>430</v>
      </c>
      <c r="D33" s="211" t="s">
        <v>431</v>
      </c>
      <c r="E33" s="208" t="s">
        <v>432</v>
      </c>
      <c r="F33" s="209" t="s">
        <v>433</v>
      </c>
      <c r="G33" s="208" t="s">
        <v>434</v>
      </c>
      <c r="H33" s="212" t="s">
        <v>435</v>
      </c>
      <c r="I33" s="213" t="s">
        <v>436</v>
      </c>
      <c r="J33" s="214" t="s">
        <v>188</v>
      </c>
    </row>
    <row r="34" spans="1:10" ht="17.25" customHeight="1" x14ac:dyDescent="0.35">
      <c r="A34" s="208">
        <v>33</v>
      </c>
      <c r="B34" s="209" t="s">
        <v>437</v>
      </c>
      <c r="C34" s="210" t="s">
        <v>438</v>
      </c>
      <c r="D34" s="211" t="s">
        <v>439</v>
      </c>
      <c r="E34" s="208" t="s">
        <v>440</v>
      </c>
      <c r="F34" s="209" t="s">
        <v>441</v>
      </c>
      <c r="G34" s="208" t="s">
        <v>442</v>
      </c>
      <c r="H34" s="212" t="s">
        <v>443</v>
      </c>
      <c r="I34" s="213" t="s">
        <v>444</v>
      </c>
      <c r="J34" s="214" t="s">
        <v>188</v>
      </c>
    </row>
    <row r="35" spans="1:10" ht="17.25" customHeight="1" x14ac:dyDescent="0.35">
      <c r="A35" s="208">
        <v>34</v>
      </c>
      <c r="B35" s="209" t="s">
        <v>445</v>
      </c>
      <c r="C35" s="210" t="s">
        <v>446</v>
      </c>
      <c r="D35" s="211" t="s">
        <v>447</v>
      </c>
      <c r="E35" s="208" t="s">
        <v>448</v>
      </c>
      <c r="F35" s="209" t="s">
        <v>449</v>
      </c>
      <c r="G35" s="208" t="s">
        <v>450</v>
      </c>
      <c r="H35" s="212" t="s">
        <v>451</v>
      </c>
      <c r="I35" s="213" t="s">
        <v>452</v>
      </c>
      <c r="J35" s="214" t="s">
        <v>188</v>
      </c>
    </row>
    <row r="36" spans="1:10" ht="39.75" customHeight="1" x14ac:dyDescent="0.35">
      <c r="A36" s="208">
        <v>35</v>
      </c>
      <c r="B36" s="209" t="s">
        <v>453</v>
      </c>
      <c r="C36" s="210" t="s">
        <v>454</v>
      </c>
      <c r="D36" s="211" t="s">
        <v>455</v>
      </c>
      <c r="E36" s="208" t="s">
        <v>456</v>
      </c>
      <c r="F36" s="209" t="s">
        <v>457</v>
      </c>
      <c r="G36" s="208" t="s">
        <v>458</v>
      </c>
      <c r="H36" s="212" t="s">
        <v>459</v>
      </c>
      <c r="I36" s="213" t="s">
        <v>460</v>
      </c>
      <c r="J36" s="214" t="s">
        <v>188</v>
      </c>
    </row>
    <row r="37" spans="1:10" ht="36.75" customHeight="1" x14ac:dyDescent="0.35">
      <c r="A37" s="208">
        <v>36</v>
      </c>
      <c r="B37" s="209" t="s">
        <v>461</v>
      </c>
      <c r="C37" s="210" t="s">
        <v>462</v>
      </c>
      <c r="D37" s="211" t="s">
        <v>463</v>
      </c>
      <c r="E37" s="208" t="s">
        <v>464</v>
      </c>
      <c r="F37" s="209" t="s">
        <v>465</v>
      </c>
      <c r="G37" s="208" t="s">
        <v>466</v>
      </c>
      <c r="H37" s="212" t="s">
        <v>467</v>
      </c>
      <c r="I37" s="213" t="s">
        <v>468</v>
      </c>
      <c r="J37" s="214" t="s">
        <v>188</v>
      </c>
    </row>
    <row r="38" spans="1:10" ht="36" customHeight="1" x14ac:dyDescent="0.35">
      <c r="A38" s="208">
        <v>37</v>
      </c>
      <c r="B38" s="209" t="s">
        <v>469</v>
      </c>
      <c r="C38" s="210" t="s">
        <v>470</v>
      </c>
      <c r="D38" s="211" t="s">
        <v>471</v>
      </c>
      <c r="E38" s="208" t="s">
        <v>472</v>
      </c>
      <c r="F38" s="209" t="s">
        <v>473</v>
      </c>
      <c r="G38" s="208" t="s">
        <v>474</v>
      </c>
      <c r="H38" s="212" t="s">
        <v>475</v>
      </c>
      <c r="I38" s="213" t="s">
        <v>476</v>
      </c>
      <c r="J38" s="214" t="s">
        <v>188</v>
      </c>
    </row>
    <row r="39" spans="1:10" ht="36.75" customHeight="1" x14ac:dyDescent="0.35">
      <c r="A39" s="208">
        <v>38</v>
      </c>
      <c r="B39" s="209" t="s">
        <v>477</v>
      </c>
      <c r="C39" s="210" t="s">
        <v>478</v>
      </c>
      <c r="D39" s="211" t="s">
        <v>479</v>
      </c>
      <c r="E39" s="208" t="s">
        <v>480</v>
      </c>
      <c r="F39" s="209" t="s">
        <v>481</v>
      </c>
      <c r="G39" s="208" t="s">
        <v>482</v>
      </c>
      <c r="H39" s="212" t="s">
        <v>483</v>
      </c>
      <c r="I39" s="213" t="s">
        <v>484</v>
      </c>
      <c r="J39" s="214" t="s">
        <v>188</v>
      </c>
    </row>
    <row r="40" spans="1:10" ht="39" customHeight="1" x14ac:dyDescent="0.35">
      <c r="A40" s="208">
        <v>39</v>
      </c>
      <c r="B40" s="209" t="s">
        <v>485</v>
      </c>
      <c r="C40" s="210" t="s">
        <v>486</v>
      </c>
      <c r="D40" s="211" t="s">
        <v>487</v>
      </c>
      <c r="E40" s="208" t="s">
        <v>488</v>
      </c>
      <c r="F40" s="209" t="s">
        <v>489</v>
      </c>
      <c r="G40" s="208" t="s">
        <v>490</v>
      </c>
      <c r="H40" s="212" t="s">
        <v>491</v>
      </c>
      <c r="I40" s="213" t="s">
        <v>492</v>
      </c>
      <c r="J40" s="214" t="s">
        <v>188</v>
      </c>
    </row>
    <row r="41" spans="1:10" ht="41.25" customHeight="1" x14ac:dyDescent="0.35">
      <c r="A41" s="208">
        <v>40</v>
      </c>
      <c r="B41" s="209" t="s">
        <v>493</v>
      </c>
      <c r="C41" s="210" t="s">
        <v>494</v>
      </c>
      <c r="D41" s="211" t="s">
        <v>495</v>
      </c>
      <c r="E41" s="208" t="s">
        <v>496</v>
      </c>
      <c r="F41" s="209" t="s">
        <v>497</v>
      </c>
      <c r="G41" s="208" t="s">
        <v>498</v>
      </c>
      <c r="H41" s="212" t="s">
        <v>499</v>
      </c>
      <c r="I41" s="213" t="s">
        <v>500</v>
      </c>
      <c r="J41" s="214" t="s">
        <v>188</v>
      </c>
    </row>
    <row r="42" spans="1:10" ht="17.25" customHeight="1" x14ac:dyDescent="0.35">
      <c r="A42" s="208">
        <v>41</v>
      </c>
      <c r="B42" s="209" t="s">
        <v>501</v>
      </c>
      <c r="C42" s="210" t="s">
        <v>502</v>
      </c>
      <c r="D42" s="211" t="s">
        <v>503</v>
      </c>
      <c r="E42" s="208" t="s">
        <v>504</v>
      </c>
      <c r="F42" s="209" t="s">
        <v>505</v>
      </c>
      <c r="G42" s="208" t="s">
        <v>506</v>
      </c>
      <c r="H42" s="212" t="s">
        <v>507</v>
      </c>
      <c r="I42" s="213" t="s">
        <v>508</v>
      </c>
      <c r="J42" s="214" t="s">
        <v>188</v>
      </c>
    </row>
    <row r="43" spans="1:10" ht="17.25" customHeight="1" x14ac:dyDescent="0.35">
      <c r="A43" s="208">
        <v>42</v>
      </c>
      <c r="B43" s="209" t="s">
        <v>509</v>
      </c>
      <c r="C43" s="210" t="s">
        <v>510</v>
      </c>
      <c r="D43" s="211" t="s">
        <v>511</v>
      </c>
      <c r="E43" s="208" t="s">
        <v>512</v>
      </c>
      <c r="F43" s="209" t="s">
        <v>513</v>
      </c>
      <c r="G43" s="208" t="s">
        <v>514</v>
      </c>
      <c r="H43" s="212" t="s">
        <v>515</v>
      </c>
      <c r="I43" s="213" t="s">
        <v>516</v>
      </c>
      <c r="J43" s="214" t="s">
        <v>188</v>
      </c>
    </row>
    <row r="44" spans="1:10" ht="17.25" customHeight="1" x14ac:dyDescent="0.35">
      <c r="A44" s="208">
        <v>43</v>
      </c>
      <c r="B44" s="209" t="s">
        <v>517</v>
      </c>
      <c r="C44" s="210" t="s">
        <v>518</v>
      </c>
      <c r="D44" s="211" t="s">
        <v>519</v>
      </c>
      <c r="E44" s="208" t="s">
        <v>520</v>
      </c>
      <c r="F44" s="209" t="s">
        <v>521</v>
      </c>
      <c r="G44" s="208" t="s">
        <v>522</v>
      </c>
      <c r="H44" s="212" t="s">
        <v>523</v>
      </c>
      <c r="I44" s="213" t="s">
        <v>524</v>
      </c>
      <c r="J44" s="214" t="s">
        <v>188</v>
      </c>
    </row>
    <row r="45" spans="1:10" ht="17.25" customHeight="1" x14ac:dyDescent="0.35">
      <c r="A45" s="208">
        <v>44</v>
      </c>
      <c r="B45" s="209" t="s">
        <v>525</v>
      </c>
      <c r="C45" s="210" t="s">
        <v>526</v>
      </c>
      <c r="D45" s="211" t="s">
        <v>527</v>
      </c>
      <c r="E45" s="208" t="s">
        <v>528</v>
      </c>
      <c r="F45" s="209" t="s">
        <v>529</v>
      </c>
      <c r="G45" s="208" t="s">
        <v>530</v>
      </c>
      <c r="H45" s="212" t="s">
        <v>531</v>
      </c>
      <c r="I45" s="213" t="s">
        <v>532</v>
      </c>
      <c r="J45" s="214" t="s">
        <v>188</v>
      </c>
    </row>
    <row r="46" spans="1:10" ht="17.25" customHeight="1" x14ac:dyDescent="0.35">
      <c r="A46" s="208">
        <v>45</v>
      </c>
      <c r="B46" s="209" t="s">
        <v>533</v>
      </c>
      <c r="C46" s="210" t="s">
        <v>534</v>
      </c>
      <c r="D46" s="211" t="s">
        <v>535</v>
      </c>
      <c r="E46" s="208" t="s">
        <v>536</v>
      </c>
      <c r="F46" s="209" t="s">
        <v>537</v>
      </c>
      <c r="G46" s="208" t="s">
        <v>538</v>
      </c>
      <c r="H46" s="212" t="s">
        <v>539</v>
      </c>
      <c r="I46" s="213" t="s">
        <v>540</v>
      </c>
      <c r="J46" s="21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паспорт</vt:lpstr>
      <vt:lpstr>паспорт повышенная %</vt:lpstr>
      <vt:lpstr>график с повышеной%</vt:lpstr>
      <vt:lpstr>график анн Базова</vt:lpstr>
      <vt:lpstr>график анн Комп 7%</vt:lpstr>
      <vt:lpstr>дод 1 до дог кредит_Базова</vt:lpstr>
      <vt:lpstr>дод 1 до дог кредит (Комп 7%)</vt:lpstr>
      <vt:lpstr>Лист1</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2019-05-28T12:07:10Z</cp:lastPrinted>
  <dcterms:created xsi:type="dcterms:W3CDTF">2017-10-17T08:00:29Z</dcterms:created>
  <dcterms:modified xsi:type="dcterms:W3CDTF">2021-10-18T08:34:31Z</dcterms:modified>
</cp:coreProperties>
</file>