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Users\e2103002\Desktop\Рабочие\Продукты\Паспорт и графики\Іпотека\Іпотека\Іпотека Стандартний\"/>
    </mc:Choice>
  </mc:AlternateContent>
  <bookViews>
    <workbookView xWindow="480" yWindow="80" windowWidth="18200" windowHeight="11020"/>
  </bookViews>
  <sheets>
    <sheet name="паспорт" sheetId="1" r:id="rId1"/>
    <sheet name="графік" sheetId="3" r:id="rId2"/>
    <sheet name="паспорт із підвищеною %" sheetId="8" state="hidden" r:id="rId3"/>
    <sheet name="графік із підвищеною %" sheetId="7" state="hidden" r:id="rId4"/>
    <sheet name="дод 1 до дог кред" sheetId="4" r:id="rId5"/>
    <sheet name="Лист1" sheetId="9" state="hidden" r:id="rId6"/>
  </sheets>
  <definedNames>
    <definedName name="_xlnm.Print_Area" localSheetId="1">графік!$A$1:$Q$265</definedName>
  </definedNames>
  <calcPr calcId="152511"/>
</workbook>
</file>

<file path=xl/calcChain.xml><?xml version="1.0" encoding="utf-8"?>
<calcChain xmlns="http://schemas.openxmlformats.org/spreadsheetml/2006/main">
  <c r="D66" i="1" l="1"/>
  <c r="D67" i="1" s="1"/>
  <c r="B8" i="1"/>
  <c r="B67" i="1" l="1"/>
  <c r="A67" i="1"/>
  <c r="P31" i="4"/>
  <c r="P30" i="4"/>
  <c r="P29" i="4"/>
  <c r="M257" i="4"/>
  <c r="M256" i="4"/>
  <c r="M255" i="4"/>
  <c r="M254" i="4"/>
  <c r="M253" i="4"/>
  <c r="M252" i="4"/>
  <c r="M251" i="4"/>
  <c r="M250" i="4"/>
  <c r="M249" i="4"/>
  <c r="M248" i="4"/>
  <c r="M247" i="4"/>
  <c r="M245" i="4"/>
  <c r="M244" i="4"/>
  <c r="M243" i="4"/>
  <c r="M242" i="4"/>
  <c r="M241" i="4"/>
  <c r="M240" i="4"/>
  <c r="M239" i="4"/>
  <c r="M238" i="4"/>
  <c r="M237" i="4"/>
  <c r="M236" i="4"/>
  <c r="M235" i="4"/>
  <c r="M233" i="4"/>
  <c r="M232" i="4"/>
  <c r="M231" i="4"/>
  <c r="M230" i="4"/>
  <c r="M229" i="4"/>
  <c r="M228" i="4"/>
  <c r="M227" i="4"/>
  <c r="M226" i="4"/>
  <c r="M225" i="4"/>
  <c r="M224" i="4"/>
  <c r="M223" i="4"/>
  <c r="M221" i="4"/>
  <c r="M220" i="4"/>
  <c r="M219" i="4"/>
  <c r="M218" i="4"/>
  <c r="M217" i="4"/>
  <c r="M216" i="4"/>
  <c r="M215" i="4"/>
  <c r="M214" i="4"/>
  <c r="M213" i="4"/>
  <c r="M212" i="4"/>
  <c r="M211" i="4"/>
  <c r="M209" i="4"/>
  <c r="M208" i="4"/>
  <c r="M207" i="4"/>
  <c r="M206" i="4"/>
  <c r="M205" i="4"/>
  <c r="M204" i="4"/>
  <c r="M203" i="4"/>
  <c r="M202" i="4"/>
  <c r="M201" i="4"/>
  <c r="M200" i="4"/>
  <c r="M199" i="4"/>
  <c r="M197" i="4"/>
  <c r="M196" i="4"/>
  <c r="M195" i="4"/>
  <c r="M194" i="4"/>
  <c r="M193" i="4"/>
  <c r="M192" i="4"/>
  <c r="M191" i="4"/>
  <c r="M190" i="4"/>
  <c r="M189" i="4"/>
  <c r="M188" i="4"/>
  <c r="M187" i="4"/>
  <c r="M185" i="4"/>
  <c r="M184" i="4"/>
  <c r="M183" i="4"/>
  <c r="M182" i="4"/>
  <c r="M181" i="4"/>
  <c r="M180" i="4"/>
  <c r="M179" i="4"/>
  <c r="M178" i="4"/>
  <c r="M177" i="4"/>
  <c r="M176" i="4"/>
  <c r="M175" i="4"/>
  <c r="M173" i="4"/>
  <c r="M172" i="4"/>
  <c r="M171" i="4"/>
  <c r="M170" i="4"/>
  <c r="M169" i="4"/>
  <c r="M168" i="4"/>
  <c r="M167" i="4"/>
  <c r="M166" i="4"/>
  <c r="M165" i="4"/>
  <c r="M164" i="4"/>
  <c r="M163" i="4"/>
  <c r="M161" i="4"/>
  <c r="M160" i="4"/>
  <c r="M159" i="4"/>
  <c r="M158" i="4"/>
  <c r="M157" i="4"/>
  <c r="M156" i="4"/>
  <c r="M155" i="4"/>
  <c r="M154" i="4"/>
  <c r="M153" i="4"/>
  <c r="M152" i="4"/>
  <c r="M151" i="4"/>
  <c r="M149" i="4"/>
  <c r="M148" i="4"/>
  <c r="M147" i="4"/>
  <c r="M146" i="4"/>
  <c r="M145" i="4"/>
  <c r="M144" i="4"/>
  <c r="M143" i="4"/>
  <c r="M142" i="4"/>
  <c r="M141" i="4"/>
  <c r="M140" i="4"/>
  <c r="M139" i="4"/>
  <c r="M137" i="4"/>
  <c r="M136" i="4"/>
  <c r="M135" i="4"/>
  <c r="M134" i="4"/>
  <c r="M133" i="4"/>
  <c r="M132" i="4"/>
  <c r="M131" i="4"/>
  <c r="M130" i="4"/>
  <c r="M129" i="4"/>
  <c r="M128" i="4"/>
  <c r="M127" i="4"/>
  <c r="M125" i="4"/>
  <c r="M124" i="4"/>
  <c r="M123" i="4"/>
  <c r="M122" i="4"/>
  <c r="M121" i="4"/>
  <c r="M120" i="4"/>
  <c r="M119" i="4"/>
  <c r="M118" i="4"/>
  <c r="M117" i="4"/>
  <c r="M116" i="4"/>
  <c r="M115" i="4"/>
  <c r="M113" i="4"/>
  <c r="M112" i="4"/>
  <c r="M111" i="4"/>
  <c r="M110" i="4"/>
  <c r="M109" i="4"/>
  <c r="M108" i="4"/>
  <c r="M107" i="4"/>
  <c r="M106" i="4"/>
  <c r="M105" i="4"/>
  <c r="M104" i="4"/>
  <c r="M103" i="4"/>
  <c r="M101" i="4"/>
  <c r="M100" i="4"/>
  <c r="M99" i="4"/>
  <c r="M98" i="4"/>
  <c r="M97" i="4"/>
  <c r="M96" i="4"/>
  <c r="M95" i="4"/>
  <c r="M94" i="4"/>
  <c r="M93" i="4"/>
  <c r="M92" i="4"/>
  <c r="M91" i="4"/>
  <c r="M89" i="4"/>
  <c r="M88" i="4"/>
  <c r="M87" i="4"/>
  <c r="M86" i="4"/>
  <c r="M85" i="4"/>
  <c r="M84" i="4"/>
  <c r="M83" i="4"/>
  <c r="M82" i="4"/>
  <c r="M81" i="4"/>
  <c r="M80" i="4"/>
  <c r="M79" i="4"/>
  <c r="M77" i="4"/>
  <c r="M76" i="4"/>
  <c r="M75" i="4"/>
  <c r="M74" i="4"/>
  <c r="M73" i="4"/>
  <c r="M72" i="4"/>
  <c r="M71" i="4"/>
  <c r="M70" i="4"/>
  <c r="M69" i="4"/>
  <c r="M68" i="4"/>
  <c r="M67" i="4"/>
  <c r="M65" i="4"/>
  <c r="M64" i="4"/>
  <c r="M63" i="4"/>
  <c r="M62" i="4"/>
  <c r="M61" i="4"/>
  <c r="M60" i="4"/>
  <c r="M59" i="4"/>
  <c r="M58" i="4"/>
  <c r="M57" i="4"/>
  <c r="M56" i="4"/>
  <c r="M55" i="4"/>
  <c r="M53" i="4"/>
  <c r="M52" i="4"/>
  <c r="M51" i="4"/>
  <c r="M50" i="4"/>
  <c r="M49" i="4"/>
  <c r="M48" i="4"/>
  <c r="M47" i="4"/>
  <c r="M46" i="4"/>
  <c r="M45" i="4"/>
  <c r="M44" i="4"/>
  <c r="M43" i="4"/>
  <c r="M41" i="4"/>
  <c r="M40" i="4"/>
  <c r="M39" i="4"/>
  <c r="M38" i="4"/>
  <c r="M37" i="4"/>
  <c r="M36" i="4"/>
  <c r="M35" i="4"/>
  <c r="M34" i="4"/>
  <c r="N33" i="4"/>
  <c r="M33" i="4"/>
  <c r="L33" i="4"/>
  <c r="K33" i="4"/>
  <c r="J33" i="4"/>
  <c r="N32" i="4"/>
  <c r="M32" i="4"/>
  <c r="L32" i="4"/>
  <c r="K32" i="4"/>
  <c r="J32" i="4"/>
  <c r="N31" i="4"/>
  <c r="M31" i="4"/>
  <c r="L31" i="4"/>
  <c r="K31" i="4"/>
  <c r="J31" i="4"/>
  <c r="N30" i="4"/>
  <c r="M30" i="4"/>
  <c r="L30" i="4"/>
  <c r="K30" i="4"/>
  <c r="J30" i="4"/>
  <c r="E4" i="4"/>
  <c r="E5" i="4"/>
  <c r="E11" i="4"/>
  <c r="E17" i="4" s="1"/>
  <c r="O29" i="4"/>
  <c r="A30" i="4"/>
  <c r="H30" i="4"/>
  <c r="H31" i="4"/>
  <c r="H32" i="4"/>
  <c r="H36" i="4"/>
  <c r="C270" i="4"/>
  <c r="F17" i="4" l="1"/>
  <c r="G17" i="4"/>
  <c r="F17" i="3"/>
  <c r="G8" i="3"/>
  <c r="P14" i="3"/>
  <c r="N24" i="3" s="1"/>
  <c r="P13" i="3"/>
  <c r="L24" i="3" s="1"/>
  <c r="P12" i="3"/>
  <c r="J24" i="3" s="1"/>
  <c r="O8" i="3"/>
  <c r="P8" i="3" s="1"/>
  <c r="P7" i="3"/>
  <c r="I24" i="3" s="1"/>
  <c r="P5" i="3"/>
  <c r="O24" i="3" s="1"/>
  <c r="I29" i="4" s="1"/>
  <c r="P3" i="3"/>
  <c r="B35" i="1" s="1"/>
  <c r="E23" i="1"/>
  <c r="B23" i="1" s="1"/>
  <c r="D48" i="1" l="1"/>
  <c r="K29" i="4"/>
  <c r="D51" i="1"/>
  <c r="N29" i="4"/>
  <c r="D49" i="1"/>
  <c r="L29" i="4"/>
  <c r="J29" i="4"/>
  <c r="D17" i="3"/>
  <c r="F7" i="3"/>
  <c r="E6" i="4" s="1"/>
  <c r="E49" i="1" l="1"/>
  <c r="B49" i="1" s="1"/>
  <c r="E48" i="1"/>
  <c r="B48" i="1" s="1"/>
  <c r="E51" i="1"/>
  <c r="B51" i="1" s="1"/>
  <c r="O10" i="3"/>
  <c r="N4" i="3"/>
  <c r="S265" i="3"/>
  <c r="P4" i="3" l="1"/>
  <c r="M24" i="3"/>
  <c r="H29" i="4" s="1"/>
  <c r="P5" i="4" s="1"/>
  <c r="P10" i="3"/>
  <c r="K24" i="3"/>
  <c r="Y2" i="3"/>
  <c r="Z2" i="3" s="1"/>
  <c r="B45" i="8"/>
  <c r="M29" i="4" l="1"/>
  <c r="F9" i="7"/>
  <c r="K7" i="7"/>
  <c r="F8" i="7"/>
  <c r="F7" i="7"/>
  <c r="J17" i="7" l="1"/>
  <c r="B25" i="8" l="1"/>
  <c r="B29" i="8" l="1"/>
  <c r="F13" i="7"/>
  <c r="F12" i="7"/>
  <c r="B17" i="8"/>
  <c r="K12" i="7"/>
  <c r="W10" i="7"/>
  <c r="W15" i="7" s="1"/>
  <c r="D9" i="7"/>
  <c r="F6" i="7"/>
  <c r="D6" i="7"/>
  <c r="D5" i="7"/>
  <c r="D4" i="7"/>
  <c r="G9" i="7" l="1"/>
  <c r="D7" i="7"/>
  <c r="E18" i="7" s="1"/>
  <c r="B16" i="8"/>
  <c r="K8" i="7"/>
  <c r="I18" i="7" s="1"/>
  <c r="F15" i="7"/>
  <c r="D8" i="7"/>
  <c r="L19" i="7" l="1"/>
  <c r="L20" i="7"/>
  <c r="F19" i="7"/>
  <c r="K19" i="7"/>
  <c r="K20" i="7"/>
  <c r="F20" i="7"/>
  <c r="A20" i="7"/>
  <c r="L21" i="7" s="1"/>
  <c r="F3" i="3"/>
  <c r="F10" i="3" s="1"/>
  <c r="E19" i="3" l="1"/>
  <c r="F14" i="3"/>
  <c r="D10" i="3"/>
  <c r="F3" i="7"/>
  <c r="K21" i="7"/>
  <c r="E19" i="7"/>
  <c r="E20" i="7" s="1"/>
  <c r="A21" i="7"/>
  <c r="L22" i="7" s="1"/>
  <c r="D8" i="3"/>
  <c r="D9" i="3"/>
  <c r="F6" i="3"/>
  <c r="AB10" i="3"/>
  <c r="AB15" i="3" s="1"/>
  <c r="B31" i="1"/>
  <c r="G9" i="3"/>
  <c r="B22" i="1"/>
  <c r="D5" i="3"/>
  <c r="D4" i="3"/>
  <c r="D6" i="3" l="1"/>
  <c r="E7" i="4"/>
  <c r="P26" i="3"/>
  <c r="O31" i="4" s="1"/>
  <c r="P25" i="3"/>
  <c r="O30" i="4" s="1"/>
  <c r="A22" i="7"/>
  <c r="L23" i="7" s="1"/>
  <c r="K22" i="7"/>
  <c r="I22" i="7"/>
  <c r="D3" i="7"/>
  <c r="D10" i="7" s="1"/>
  <c r="F14" i="7"/>
  <c r="D7" i="3"/>
  <c r="E24" i="3" s="1"/>
  <c r="D3" i="3"/>
  <c r="F11" i="3" s="1"/>
  <c r="A26" i="3"/>
  <c r="A31" i="4" s="1"/>
  <c r="D29" i="4" l="1"/>
  <c r="H24" i="3"/>
  <c r="D11" i="3"/>
  <c r="A17" i="4" s="1"/>
  <c r="Q27" i="3"/>
  <c r="P32" i="4" s="1"/>
  <c r="P27" i="3"/>
  <c r="O32" i="4" s="1"/>
  <c r="A23" i="7"/>
  <c r="L24" i="7" s="1"/>
  <c r="B24" i="3"/>
  <c r="F21" i="7"/>
  <c r="I23" i="7"/>
  <c r="K23" i="7"/>
  <c r="B18" i="7"/>
  <c r="B88" i="7" s="1"/>
  <c r="C88" i="7" s="1"/>
  <c r="F26" i="3"/>
  <c r="F31" i="4" s="1"/>
  <c r="F25" i="3"/>
  <c r="F30" i="4" s="1"/>
  <c r="A27" i="3"/>
  <c r="A32" i="4" s="1"/>
  <c r="A24" i="7" l="1"/>
  <c r="L25" i="7" s="1"/>
  <c r="I24" i="7"/>
  <c r="D11" i="7"/>
  <c r="F22" i="7"/>
  <c r="K24" i="7"/>
  <c r="Q28" i="3"/>
  <c r="P33" i="4" s="1"/>
  <c r="P28" i="3"/>
  <c r="O33" i="4" s="1"/>
  <c r="E25" i="3"/>
  <c r="B27" i="3"/>
  <c r="C27" i="3" s="1"/>
  <c r="B25" i="3"/>
  <c r="B26" i="3"/>
  <c r="C26" i="3" s="1"/>
  <c r="C24" i="3"/>
  <c r="E21" i="7"/>
  <c r="C18" i="7"/>
  <c r="B25" i="7"/>
  <c r="C25" i="7" s="1"/>
  <c r="B50" i="7"/>
  <c r="C50" i="7" s="1"/>
  <c r="B56" i="7"/>
  <c r="C56" i="7" s="1"/>
  <c r="B94" i="7"/>
  <c r="C94" i="7" s="1"/>
  <c r="B37" i="7"/>
  <c r="C37" i="7" s="1"/>
  <c r="B93" i="7"/>
  <c r="C93" i="7" s="1"/>
  <c r="B70" i="7"/>
  <c r="C70" i="7" s="1"/>
  <c r="B32" i="7"/>
  <c r="C32" i="7" s="1"/>
  <c r="B92" i="7"/>
  <c r="C92" i="7" s="1"/>
  <c r="B19" i="7"/>
  <c r="C19" i="7" s="1"/>
  <c r="B26" i="7"/>
  <c r="B57" i="7"/>
  <c r="C57" i="7" s="1"/>
  <c r="B34" i="7"/>
  <c r="C34" i="7" s="1"/>
  <c r="B31" i="7"/>
  <c r="C31" i="7" s="1"/>
  <c r="B72" i="7"/>
  <c r="C72" i="7" s="1"/>
  <c r="B74" i="7"/>
  <c r="C74" i="7" s="1"/>
  <c r="B83" i="7"/>
  <c r="C83" i="7" s="1"/>
  <c r="B30" i="7"/>
  <c r="C30" i="7" s="1"/>
  <c r="B63" i="7"/>
  <c r="C63" i="7" s="1"/>
  <c r="B73" i="7"/>
  <c r="C73" i="7" s="1"/>
  <c r="B60" i="7"/>
  <c r="C60" i="7" s="1"/>
  <c r="B49" i="7"/>
  <c r="C49" i="7" s="1"/>
  <c r="B81" i="7"/>
  <c r="C81" i="7" s="1"/>
  <c r="B61" i="7"/>
  <c r="C61" i="7" s="1"/>
  <c r="B66" i="7"/>
  <c r="C66" i="7" s="1"/>
  <c r="B46" i="7"/>
  <c r="C46" i="7" s="1"/>
  <c r="B82" i="7"/>
  <c r="C82" i="7" s="1"/>
  <c r="B47" i="7"/>
  <c r="C47" i="7" s="1"/>
  <c r="B100" i="7"/>
  <c r="C100" i="7" s="1"/>
  <c r="B98" i="7"/>
  <c r="C98" i="7" s="1"/>
  <c r="B48" i="7"/>
  <c r="C48" i="7" s="1"/>
  <c r="B102" i="7"/>
  <c r="C102" i="7" s="1"/>
  <c r="B58" i="7"/>
  <c r="C58" i="7" s="1"/>
  <c r="B89" i="7"/>
  <c r="C89" i="7" s="1"/>
  <c r="B59" i="7"/>
  <c r="C59" i="7" s="1"/>
  <c r="B23" i="7"/>
  <c r="C23" i="7" s="1"/>
  <c r="B43" i="7"/>
  <c r="C43" i="7" s="1"/>
  <c r="B80" i="7"/>
  <c r="C80" i="7" s="1"/>
  <c r="B41" i="7"/>
  <c r="C41" i="7" s="1"/>
  <c r="B24" i="7"/>
  <c r="C24" i="7" s="1"/>
  <c r="B44" i="7"/>
  <c r="C44" i="7" s="1"/>
  <c r="B87" i="7"/>
  <c r="C87" i="7" s="1"/>
  <c r="B28" i="7"/>
  <c r="C28" i="7" s="1"/>
  <c r="B45" i="7"/>
  <c r="C45" i="7" s="1"/>
  <c r="B90" i="7"/>
  <c r="C90" i="7" s="1"/>
  <c r="B71" i="7"/>
  <c r="C71" i="7" s="1"/>
  <c r="B38" i="7"/>
  <c r="C38" i="7" s="1"/>
  <c r="B54" i="7"/>
  <c r="C54" i="7" s="1"/>
  <c r="B67" i="7"/>
  <c r="C67" i="7" s="1"/>
  <c r="B101" i="7"/>
  <c r="C101" i="7" s="1"/>
  <c r="B75" i="7"/>
  <c r="C75" i="7" s="1"/>
  <c r="B35" i="7"/>
  <c r="C35" i="7" s="1"/>
  <c r="B51" i="7"/>
  <c r="C51" i="7" s="1"/>
  <c r="B64" i="7"/>
  <c r="C64" i="7" s="1"/>
  <c r="B85" i="7"/>
  <c r="C85" i="7" s="1"/>
  <c r="O85" i="7" s="1"/>
  <c r="P85" i="7" s="1"/>
  <c r="B27" i="7"/>
  <c r="B86" i="7"/>
  <c r="C86" i="7" s="1"/>
  <c r="B21" i="7"/>
  <c r="B22" i="7"/>
  <c r="B36" i="7"/>
  <c r="C36" i="7" s="1"/>
  <c r="B52" i="7"/>
  <c r="C52" i="7" s="1"/>
  <c r="B65" i="7"/>
  <c r="C65" i="7" s="1"/>
  <c r="B95" i="7"/>
  <c r="C95" i="7" s="1"/>
  <c r="B97" i="7"/>
  <c r="C97" i="7" s="1"/>
  <c r="O97" i="7" s="1"/>
  <c r="P97" i="7" s="1"/>
  <c r="B53" i="7"/>
  <c r="C53" i="7" s="1"/>
  <c r="B78" i="7"/>
  <c r="C78" i="7" s="1"/>
  <c r="B20" i="7"/>
  <c r="C20" i="7" s="1"/>
  <c r="B42" i="7"/>
  <c r="C42" i="7" s="1"/>
  <c r="M42" i="7" s="1"/>
  <c r="N42" i="7" s="1"/>
  <c r="B99" i="7"/>
  <c r="C99" i="7" s="1"/>
  <c r="B76" i="7"/>
  <c r="C76" i="7" s="1"/>
  <c r="B96" i="7"/>
  <c r="C96" i="7" s="1"/>
  <c r="B79" i="7"/>
  <c r="C79" i="7" s="1"/>
  <c r="B39" i="7"/>
  <c r="C39" i="7" s="1"/>
  <c r="B55" i="7"/>
  <c r="C55" i="7" s="1"/>
  <c r="B68" i="7"/>
  <c r="C68" i="7" s="1"/>
  <c r="B84" i="7"/>
  <c r="C84" i="7" s="1"/>
  <c r="M84" i="7" s="1"/>
  <c r="N84" i="7" s="1"/>
  <c r="B33" i="7"/>
  <c r="C33" i="7" s="1"/>
  <c r="B62" i="7"/>
  <c r="C62" i="7" s="1"/>
  <c r="B29" i="7"/>
  <c r="C29" i="7" s="1"/>
  <c r="B91" i="7"/>
  <c r="C91" i="7" s="1"/>
  <c r="B40" i="7"/>
  <c r="C40" i="7" s="1"/>
  <c r="B77" i="7"/>
  <c r="C77" i="7" s="1"/>
  <c r="B69" i="7"/>
  <c r="C69" i="7" s="1"/>
  <c r="O88" i="7"/>
  <c r="P88" i="7" s="1"/>
  <c r="M88" i="7"/>
  <c r="N88" i="7" s="1"/>
  <c r="A28" i="3"/>
  <c r="M28" i="3"/>
  <c r="H33" i="4" s="1"/>
  <c r="A25" i="7" l="1"/>
  <c r="L26" i="7" s="1"/>
  <c r="K25" i="7"/>
  <c r="F23" i="7"/>
  <c r="A33" i="4"/>
  <c r="N29" i="3"/>
  <c r="E26" i="3"/>
  <c r="D31" i="4" s="1"/>
  <c r="D30" i="4"/>
  <c r="B29" i="4"/>
  <c r="E8" i="4"/>
  <c r="E9" i="4" s="1"/>
  <c r="S26" i="3"/>
  <c r="T26" i="3" s="1"/>
  <c r="B31" i="4"/>
  <c r="U27" i="3"/>
  <c r="V27" i="3" s="1"/>
  <c r="B32" i="4"/>
  <c r="Q29" i="3"/>
  <c r="P34" i="4" s="1"/>
  <c r="P29" i="3"/>
  <c r="O34" i="4" s="1"/>
  <c r="B28" i="3"/>
  <c r="C25" i="3"/>
  <c r="D25" i="3"/>
  <c r="C30" i="4" s="1"/>
  <c r="D26" i="3"/>
  <c r="C31" i="4" s="1"/>
  <c r="D27" i="3"/>
  <c r="C32" i="4" s="1"/>
  <c r="E22" i="7"/>
  <c r="D26" i="7"/>
  <c r="O56" i="7"/>
  <c r="P56" i="7" s="1"/>
  <c r="M56" i="7"/>
  <c r="N56" i="7" s="1"/>
  <c r="O94" i="7"/>
  <c r="P94" i="7" s="1"/>
  <c r="M94" i="7"/>
  <c r="N94" i="7" s="1"/>
  <c r="D19" i="7"/>
  <c r="O89" i="7"/>
  <c r="P89" i="7" s="1"/>
  <c r="M92" i="7"/>
  <c r="N92" i="7" s="1"/>
  <c r="O50" i="7"/>
  <c r="P50" i="7" s="1"/>
  <c r="M87" i="7"/>
  <c r="N87" i="7" s="1"/>
  <c r="M50" i="7"/>
  <c r="N50" i="7" s="1"/>
  <c r="M98" i="7"/>
  <c r="N98" i="7" s="1"/>
  <c r="O66" i="7"/>
  <c r="P66" i="7" s="1"/>
  <c r="M43" i="7"/>
  <c r="N43" i="7" s="1"/>
  <c r="O83" i="7"/>
  <c r="P83" i="7" s="1"/>
  <c r="O60" i="7"/>
  <c r="P60" i="7" s="1"/>
  <c r="M66" i="7"/>
  <c r="N66" i="7" s="1"/>
  <c r="M100" i="7"/>
  <c r="N100" i="7" s="1"/>
  <c r="M60" i="7"/>
  <c r="N60" i="7" s="1"/>
  <c r="O34" i="7"/>
  <c r="P34" i="7" s="1"/>
  <c r="M37" i="7"/>
  <c r="N37" i="7" s="1"/>
  <c r="O92" i="7"/>
  <c r="P92" i="7" s="1"/>
  <c r="O98" i="7"/>
  <c r="P98" i="7" s="1"/>
  <c r="O80" i="7"/>
  <c r="P80" i="7" s="1"/>
  <c r="O93" i="7"/>
  <c r="P93" i="7" s="1"/>
  <c r="O32" i="7"/>
  <c r="P32" i="7" s="1"/>
  <c r="O57" i="7"/>
  <c r="P57" i="7" s="1"/>
  <c r="O74" i="7"/>
  <c r="P74" i="7" s="1"/>
  <c r="M32" i="7"/>
  <c r="N32" i="7" s="1"/>
  <c r="M73" i="7"/>
  <c r="N73" i="7" s="1"/>
  <c r="M74" i="7"/>
  <c r="N74" i="7" s="1"/>
  <c r="C26" i="7"/>
  <c r="M57" i="7"/>
  <c r="N57" i="7" s="1"/>
  <c r="O61" i="7"/>
  <c r="P61" i="7" s="1"/>
  <c r="M102" i="7"/>
  <c r="N102" i="7" s="1"/>
  <c r="D24" i="7"/>
  <c r="O46" i="7"/>
  <c r="P46" i="7" s="1"/>
  <c r="O72" i="7"/>
  <c r="P72" i="7" s="1"/>
  <c r="O49" i="7"/>
  <c r="P49" i="7" s="1"/>
  <c r="O70" i="7"/>
  <c r="P70" i="7" s="1"/>
  <c r="O31" i="7"/>
  <c r="P31" i="7" s="1"/>
  <c r="O82" i="7"/>
  <c r="P82" i="7" s="1"/>
  <c r="M72" i="7"/>
  <c r="N72" i="7" s="1"/>
  <c r="M80" i="7"/>
  <c r="N80" i="7" s="1"/>
  <c r="M46" i="7"/>
  <c r="N46" i="7" s="1"/>
  <c r="M49" i="7"/>
  <c r="N49" i="7" s="1"/>
  <c r="M70" i="7"/>
  <c r="N70" i="7" s="1"/>
  <c r="M31" i="7"/>
  <c r="N31" i="7" s="1"/>
  <c r="M82" i="7"/>
  <c r="N82" i="7" s="1"/>
  <c r="M34" i="7"/>
  <c r="N34" i="7" s="1"/>
  <c r="O37" i="7"/>
  <c r="P37" i="7" s="1"/>
  <c r="O87" i="7"/>
  <c r="P87" i="7" s="1"/>
  <c r="M44" i="7"/>
  <c r="N44" i="7" s="1"/>
  <c r="O100" i="7"/>
  <c r="P100" i="7" s="1"/>
  <c r="M93" i="7"/>
  <c r="N93" i="7" s="1"/>
  <c r="M89" i="7"/>
  <c r="N89" i="7" s="1"/>
  <c r="M83" i="7"/>
  <c r="N83" i="7" s="1"/>
  <c r="D27" i="7"/>
  <c r="O48" i="7"/>
  <c r="P48" i="7" s="1"/>
  <c r="O47" i="7"/>
  <c r="P47" i="7" s="1"/>
  <c r="O63" i="7"/>
  <c r="P63" i="7" s="1"/>
  <c r="O81" i="7"/>
  <c r="P81" i="7" s="1"/>
  <c r="M61" i="7"/>
  <c r="N61" i="7" s="1"/>
  <c r="M48" i="7"/>
  <c r="N48" i="7" s="1"/>
  <c r="M47" i="7"/>
  <c r="N47" i="7" s="1"/>
  <c r="M63" i="7"/>
  <c r="N63" i="7" s="1"/>
  <c r="O102" i="7"/>
  <c r="P102" i="7" s="1"/>
  <c r="M81" i="7"/>
  <c r="N81" i="7" s="1"/>
  <c r="M41" i="7"/>
  <c r="N41" i="7" s="1"/>
  <c r="O73" i="7"/>
  <c r="P73" i="7" s="1"/>
  <c r="O59" i="7"/>
  <c r="P59" i="7" s="1"/>
  <c r="D25" i="7"/>
  <c r="O58" i="7"/>
  <c r="P58" i="7" s="1"/>
  <c r="D23" i="7"/>
  <c r="O44" i="7"/>
  <c r="P44" i="7" s="1"/>
  <c r="O41" i="7"/>
  <c r="P41" i="7" s="1"/>
  <c r="O43" i="7"/>
  <c r="P43" i="7" s="1"/>
  <c r="M59" i="7"/>
  <c r="N59" i="7" s="1"/>
  <c r="M58" i="7"/>
  <c r="N58" i="7" s="1"/>
  <c r="M77" i="7"/>
  <c r="N77" i="7" s="1"/>
  <c r="O62" i="7"/>
  <c r="P62" i="7" s="1"/>
  <c r="M55" i="7"/>
  <c r="N55" i="7" s="1"/>
  <c r="O76" i="7"/>
  <c r="P76" i="7" s="1"/>
  <c r="M78" i="7"/>
  <c r="N78" i="7" s="1"/>
  <c r="O65" i="7"/>
  <c r="P65" i="7" s="1"/>
  <c r="O64" i="7"/>
  <c r="P64" i="7" s="1"/>
  <c r="M101" i="7"/>
  <c r="N101" i="7" s="1"/>
  <c r="O71" i="7"/>
  <c r="P71" i="7" s="1"/>
  <c r="M40" i="7"/>
  <c r="N40" i="7" s="1"/>
  <c r="O33" i="7"/>
  <c r="P33" i="7" s="1"/>
  <c r="M39" i="7"/>
  <c r="N39" i="7" s="1"/>
  <c r="O99" i="7"/>
  <c r="P99" i="7" s="1"/>
  <c r="M53" i="7"/>
  <c r="N53" i="7" s="1"/>
  <c r="O52" i="7"/>
  <c r="P52" i="7" s="1"/>
  <c r="O86" i="7"/>
  <c r="P86" i="7" s="1"/>
  <c r="O51" i="7"/>
  <c r="P51" i="7" s="1"/>
  <c r="M67" i="7"/>
  <c r="N67" i="7" s="1"/>
  <c r="M90" i="7"/>
  <c r="N90" i="7" s="1"/>
  <c r="M91" i="7"/>
  <c r="N91" i="7" s="1"/>
  <c r="O84" i="7"/>
  <c r="P84" i="7" s="1"/>
  <c r="O79" i="7"/>
  <c r="P79" i="7" s="1"/>
  <c r="O42" i="7"/>
  <c r="P42" i="7" s="1"/>
  <c r="M97" i="7"/>
  <c r="N97" i="7" s="1"/>
  <c r="M36" i="7"/>
  <c r="N36" i="7" s="1"/>
  <c r="M35" i="7"/>
  <c r="N35" i="7" s="1"/>
  <c r="M54" i="7"/>
  <c r="N54" i="7" s="1"/>
  <c r="M45" i="7"/>
  <c r="N45" i="7" s="1"/>
  <c r="O91" i="7"/>
  <c r="P91" i="7" s="1"/>
  <c r="O69" i="7"/>
  <c r="P69" i="7" s="1"/>
  <c r="O68" i="7"/>
  <c r="P68" i="7" s="1"/>
  <c r="M96" i="7"/>
  <c r="N96" i="7" s="1"/>
  <c r="M95" i="7"/>
  <c r="N95" i="7" s="1"/>
  <c r="M85" i="7"/>
  <c r="N85" i="7" s="1"/>
  <c r="M75" i="7"/>
  <c r="N75" i="7" s="1"/>
  <c r="M38" i="7"/>
  <c r="N38" i="7" s="1"/>
  <c r="M79" i="7"/>
  <c r="N79" i="7" s="1"/>
  <c r="O96" i="7"/>
  <c r="P96" i="7" s="1"/>
  <c r="D30" i="7"/>
  <c r="O95" i="7"/>
  <c r="P95" i="7" s="1"/>
  <c r="M68" i="7"/>
  <c r="N68" i="7" s="1"/>
  <c r="C22" i="7"/>
  <c r="D29" i="7"/>
  <c r="O78" i="7"/>
  <c r="P78" i="7" s="1"/>
  <c r="O75" i="7"/>
  <c r="P75" i="7" s="1"/>
  <c r="D28" i="7"/>
  <c r="D20" i="7"/>
  <c r="D21" i="7"/>
  <c r="M69" i="7"/>
  <c r="N69" i="7" s="1"/>
  <c r="O38" i="7"/>
  <c r="P38" i="7" s="1"/>
  <c r="M33" i="7"/>
  <c r="N33" i="7" s="1"/>
  <c r="O53" i="7"/>
  <c r="P53" i="7" s="1"/>
  <c r="O40" i="7"/>
  <c r="P40" i="7" s="1"/>
  <c r="M52" i="7"/>
  <c r="N52" i="7" s="1"/>
  <c r="O77" i="7"/>
  <c r="P77" i="7" s="1"/>
  <c r="M99" i="7"/>
  <c r="N99" i="7" s="1"/>
  <c r="M86" i="7"/>
  <c r="N86" i="7" s="1"/>
  <c r="O90" i="7"/>
  <c r="P90" i="7" s="1"/>
  <c r="M62" i="7"/>
  <c r="N62" i="7" s="1"/>
  <c r="M51" i="7"/>
  <c r="N51" i="7" s="1"/>
  <c r="O101" i="7"/>
  <c r="P101" i="7" s="1"/>
  <c r="O55" i="7"/>
  <c r="P55" i="7" s="1"/>
  <c r="M76" i="7"/>
  <c r="N76" i="7" s="1"/>
  <c r="M65" i="7"/>
  <c r="N65" i="7" s="1"/>
  <c r="M71" i="7"/>
  <c r="N71" i="7" s="1"/>
  <c r="O39" i="7"/>
  <c r="P39" i="7" s="1"/>
  <c r="M64" i="7"/>
  <c r="N64" i="7" s="1"/>
  <c r="O67" i="7"/>
  <c r="P67" i="7" s="1"/>
  <c r="C21" i="7"/>
  <c r="O21" i="7" s="1"/>
  <c r="P21" i="7" s="1"/>
  <c r="D22" i="7"/>
  <c r="O36" i="7"/>
  <c r="P36" i="7" s="1"/>
  <c r="C27" i="7"/>
  <c r="O35" i="7"/>
  <c r="P35" i="7" s="1"/>
  <c r="O54" i="7"/>
  <c r="P54" i="7" s="1"/>
  <c r="O45" i="7"/>
  <c r="P45" i="7" s="1"/>
  <c r="K26" i="7"/>
  <c r="O19" i="7"/>
  <c r="P19" i="7" s="1"/>
  <c r="M19" i="7"/>
  <c r="N19" i="7" s="1"/>
  <c r="M30" i="7"/>
  <c r="N30" i="7" s="1"/>
  <c r="O30" i="7"/>
  <c r="P30" i="7" s="1"/>
  <c r="M28" i="7"/>
  <c r="N28" i="7" s="1"/>
  <c r="O28" i="7"/>
  <c r="P28" i="7" s="1"/>
  <c r="M24" i="7"/>
  <c r="N24" i="7" s="1"/>
  <c r="O24" i="7"/>
  <c r="P24" i="7" s="1"/>
  <c r="M23" i="7"/>
  <c r="N23" i="7" s="1"/>
  <c r="O23" i="7"/>
  <c r="P23" i="7" s="1"/>
  <c r="M29" i="7"/>
  <c r="N29" i="7" s="1"/>
  <c r="O29" i="7"/>
  <c r="P29" i="7" s="1"/>
  <c r="O20" i="7"/>
  <c r="P20" i="7" s="1"/>
  <c r="M20" i="7"/>
  <c r="N20" i="7" s="1"/>
  <c r="M25" i="7"/>
  <c r="N25" i="7" s="1"/>
  <c r="O25" i="7"/>
  <c r="P25" i="7" s="1"/>
  <c r="U26" i="3"/>
  <c r="V26" i="3" s="1"/>
  <c r="S27" i="3"/>
  <c r="T27" i="3" s="1"/>
  <c r="A29" i="3"/>
  <c r="M29" i="3"/>
  <c r="H34" i="4" s="1"/>
  <c r="F27" i="3"/>
  <c r="F32" i="4" s="1"/>
  <c r="A26" i="7" l="1"/>
  <c r="L27" i="7" s="1"/>
  <c r="I26" i="7"/>
  <c r="F24" i="7"/>
  <c r="A34" i="4"/>
  <c r="N30" i="3"/>
  <c r="J35" i="4" s="1"/>
  <c r="C28" i="3"/>
  <c r="B33" i="4" s="1"/>
  <c r="J34" i="4"/>
  <c r="S25" i="3"/>
  <c r="T25" i="3" s="1"/>
  <c r="T24" i="3" s="1"/>
  <c r="G25" i="3" s="1"/>
  <c r="G30" i="4" s="1"/>
  <c r="B30" i="4"/>
  <c r="Q30" i="3"/>
  <c r="P35" i="4" s="1"/>
  <c r="P30" i="3"/>
  <c r="O35" i="4" s="1"/>
  <c r="L29" i="3"/>
  <c r="N34" i="4" s="1"/>
  <c r="I29" i="3"/>
  <c r="K34" i="4" s="1"/>
  <c r="J29" i="3"/>
  <c r="L34" i="4" s="1"/>
  <c r="D28" i="3"/>
  <c r="C33" i="4" s="1"/>
  <c r="B29" i="3"/>
  <c r="U25" i="3"/>
  <c r="V25" i="3" s="1"/>
  <c r="W25" i="3" s="1"/>
  <c r="E23" i="7"/>
  <c r="W26" i="3"/>
  <c r="W27" i="3"/>
  <c r="G27" i="3" s="1"/>
  <c r="G32" i="4" s="1"/>
  <c r="Q19" i="7"/>
  <c r="M26" i="7"/>
  <c r="N26" i="7" s="1"/>
  <c r="Q23" i="7"/>
  <c r="Q24" i="7"/>
  <c r="O26" i="7"/>
  <c r="P26" i="7" s="1"/>
  <c r="Q26" i="7" s="1"/>
  <c r="Q28" i="7"/>
  <c r="Q25" i="7"/>
  <c r="O22" i="7"/>
  <c r="P22" i="7" s="1"/>
  <c r="Q22" i="7" s="1"/>
  <c r="M22" i="7"/>
  <c r="N22" i="7" s="1"/>
  <c r="G23" i="7" s="1"/>
  <c r="Q29" i="7"/>
  <c r="Q30" i="7"/>
  <c r="M21" i="7"/>
  <c r="N21" i="7" s="1"/>
  <c r="M27" i="7"/>
  <c r="N27" i="7" s="1"/>
  <c r="Q21" i="7"/>
  <c r="Q20" i="7"/>
  <c r="G20" i="7" s="1"/>
  <c r="O27" i="7"/>
  <c r="P27" i="7" s="1"/>
  <c r="Q27" i="7" s="1"/>
  <c r="A27" i="7"/>
  <c r="L28" i="7" s="1"/>
  <c r="K27" i="7"/>
  <c r="F25" i="7"/>
  <c r="I27" i="7"/>
  <c r="N18" i="7"/>
  <c r="G19" i="7" s="1"/>
  <c r="E27" i="3"/>
  <c r="D32" i="4" s="1"/>
  <c r="A30" i="3"/>
  <c r="M30" i="3"/>
  <c r="H35" i="4" s="1"/>
  <c r="F28" i="3"/>
  <c r="F33" i="4" s="1"/>
  <c r="G21" i="7" l="1"/>
  <c r="H21" i="7" s="1"/>
  <c r="S28" i="3"/>
  <c r="T28" i="3" s="1"/>
  <c r="G28" i="3" s="1"/>
  <c r="G33" i="4" s="1"/>
  <c r="A35" i="4"/>
  <c r="N31" i="3"/>
  <c r="J36" i="4" s="1"/>
  <c r="G24" i="7"/>
  <c r="H24" i="7" s="1"/>
  <c r="U28" i="3"/>
  <c r="V28" i="3" s="1"/>
  <c r="W28" i="3" s="1"/>
  <c r="Q31" i="3"/>
  <c r="P36" i="4" s="1"/>
  <c r="P31" i="3"/>
  <c r="O36" i="4" s="1"/>
  <c r="L30" i="3"/>
  <c r="N35" i="4" s="1"/>
  <c r="I30" i="3"/>
  <c r="K35" i="4" s="1"/>
  <c r="J30" i="3"/>
  <c r="L35" i="4" s="1"/>
  <c r="C29" i="3"/>
  <c r="B34" i="4" s="1"/>
  <c r="D29" i="3"/>
  <c r="C34" i="4" s="1"/>
  <c r="B30" i="3"/>
  <c r="F29" i="3"/>
  <c r="F34" i="4" s="1"/>
  <c r="G26" i="3"/>
  <c r="H25" i="3"/>
  <c r="E24" i="7"/>
  <c r="E25" i="7" s="1"/>
  <c r="H27" i="3"/>
  <c r="E32" i="4" s="1"/>
  <c r="H23" i="7"/>
  <c r="H20" i="7"/>
  <c r="H19" i="7"/>
  <c r="G22" i="7"/>
  <c r="K28" i="7"/>
  <c r="F26" i="7"/>
  <c r="A28" i="7"/>
  <c r="L29" i="7" s="1"/>
  <c r="I28" i="7"/>
  <c r="A31" i="3"/>
  <c r="E28" i="3"/>
  <c r="D33" i="4" s="1"/>
  <c r="A36" i="4" l="1"/>
  <c r="N32" i="3"/>
  <c r="J37" i="4" s="1"/>
  <c r="H26" i="3"/>
  <c r="E31" i="4" s="1"/>
  <c r="G31" i="4"/>
  <c r="R25" i="3"/>
  <c r="E30" i="4"/>
  <c r="Q32" i="3"/>
  <c r="P37" i="4" s="1"/>
  <c r="P32" i="3"/>
  <c r="O37" i="4" s="1"/>
  <c r="R27" i="3"/>
  <c r="L31" i="3"/>
  <c r="N36" i="4" s="1"/>
  <c r="I31" i="3"/>
  <c r="K36" i="4" s="1"/>
  <c r="J31" i="3"/>
  <c r="L36" i="4" s="1"/>
  <c r="U29" i="3"/>
  <c r="V29" i="3" s="1"/>
  <c r="W29" i="3" s="1"/>
  <c r="S29" i="3"/>
  <c r="T29" i="3" s="1"/>
  <c r="G29" i="3" s="1"/>
  <c r="G34" i="4" s="1"/>
  <c r="C30" i="3"/>
  <c r="B35" i="4" s="1"/>
  <c r="D30" i="3"/>
  <c r="C35" i="4" s="1"/>
  <c r="B31" i="3"/>
  <c r="G25" i="7"/>
  <c r="H25" i="7" s="1"/>
  <c r="H22" i="7"/>
  <c r="A29" i="7"/>
  <c r="L30" i="7" s="1"/>
  <c r="K29" i="7"/>
  <c r="F27" i="7"/>
  <c r="I29" i="7"/>
  <c r="E26" i="7"/>
  <c r="G26" i="7"/>
  <c r="E29" i="3"/>
  <c r="D34" i="4" s="1"/>
  <c r="A32" i="3"/>
  <c r="M32" i="3"/>
  <c r="H37" i="4" s="1"/>
  <c r="F30" i="3"/>
  <c r="F35" i="4" s="1"/>
  <c r="H28" i="3"/>
  <c r="E33" i="4" s="1"/>
  <c r="A37" i="4" l="1"/>
  <c r="N33" i="3"/>
  <c r="J38" i="4" s="1"/>
  <c r="R26" i="3"/>
  <c r="Q33" i="3"/>
  <c r="P38" i="4" s="1"/>
  <c r="P33" i="3"/>
  <c r="O38" i="4" s="1"/>
  <c r="R28" i="3"/>
  <c r="L32" i="3"/>
  <c r="N37" i="4" s="1"/>
  <c r="I32" i="3"/>
  <c r="K37" i="4" s="1"/>
  <c r="J32" i="3"/>
  <c r="L37" i="4" s="1"/>
  <c r="U30" i="3"/>
  <c r="V30" i="3" s="1"/>
  <c r="W30" i="3" s="1"/>
  <c r="B32" i="3"/>
  <c r="S30" i="3"/>
  <c r="T30" i="3" s="1"/>
  <c r="G30" i="3" s="1"/>
  <c r="G35" i="4" s="1"/>
  <c r="C31" i="3"/>
  <c r="D31" i="3"/>
  <c r="C36" i="4" s="1"/>
  <c r="H26" i="7"/>
  <c r="I30" i="7"/>
  <c r="A30" i="7"/>
  <c r="K30" i="7"/>
  <c r="F28" i="7"/>
  <c r="E27" i="7"/>
  <c r="G27" i="7"/>
  <c r="A33" i="3"/>
  <c r="M33" i="3"/>
  <c r="H38" i="4" s="1"/>
  <c r="F31" i="3"/>
  <c r="F36" i="4" s="1"/>
  <c r="H29" i="3"/>
  <c r="E34" i="4" s="1"/>
  <c r="E30" i="3"/>
  <c r="D35" i="4" s="1"/>
  <c r="A38" i="4" l="1"/>
  <c r="N34" i="3"/>
  <c r="J39" i="4" s="1"/>
  <c r="U31" i="3"/>
  <c r="V31" i="3" s="1"/>
  <c r="W31" i="3" s="1"/>
  <c r="B36" i="4"/>
  <c r="Q34" i="3"/>
  <c r="P39" i="4" s="1"/>
  <c r="P34" i="3"/>
  <c r="O39" i="4" s="1"/>
  <c r="R29" i="3"/>
  <c r="L33" i="3"/>
  <c r="N38" i="4" s="1"/>
  <c r="I33" i="3"/>
  <c r="K38" i="4" s="1"/>
  <c r="J33" i="3"/>
  <c r="L38" i="4" s="1"/>
  <c r="S31" i="3"/>
  <c r="T31" i="3" s="1"/>
  <c r="G31" i="3" s="1"/>
  <c r="G36" i="4" s="1"/>
  <c r="M34" i="3"/>
  <c r="H39" i="4" s="1"/>
  <c r="B33" i="3"/>
  <c r="C32" i="3"/>
  <c r="D32" i="3"/>
  <c r="C37" i="4" s="1"/>
  <c r="H27" i="7"/>
  <c r="A31" i="7"/>
  <c r="L32" i="7" s="1"/>
  <c r="F29" i="7"/>
  <c r="I31" i="7"/>
  <c r="G28" i="7"/>
  <c r="E28" i="7"/>
  <c r="H30" i="3"/>
  <c r="E35" i="4" s="1"/>
  <c r="A34" i="3"/>
  <c r="F32" i="3"/>
  <c r="F37" i="4" s="1"/>
  <c r="E31" i="3"/>
  <c r="D36" i="4" s="1"/>
  <c r="A39" i="4" l="1"/>
  <c r="N35" i="3"/>
  <c r="J40" i="4" s="1"/>
  <c r="U32" i="3"/>
  <c r="V32" i="3" s="1"/>
  <c r="W32" i="3" s="1"/>
  <c r="B37" i="4"/>
  <c r="Q35" i="3"/>
  <c r="P40" i="4" s="1"/>
  <c r="P35" i="3"/>
  <c r="O40" i="4" s="1"/>
  <c r="R30" i="3"/>
  <c r="L34" i="3"/>
  <c r="N39" i="4" s="1"/>
  <c r="I34" i="3"/>
  <c r="K39" i="4" s="1"/>
  <c r="J34" i="3"/>
  <c r="L39" i="4" s="1"/>
  <c r="C33" i="3"/>
  <c r="D33" i="3"/>
  <c r="C38" i="4" s="1"/>
  <c r="S32" i="3"/>
  <c r="T32" i="3" s="1"/>
  <c r="G32" i="3" s="1"/>
  <c r="G37" i="4" s="1"/>
  <c r="M35" i="3"/>
  <c r="H40" i="4" s="1"/>
  <c r="B34" i="3"/>
  <c r="H28" i="7"/>
  <c r="E29" i="7"/>
  <c r="G29" i="7"/>
  <c r="K32" i="7"/>
  <c r="F30" i="7"/>
  <c r="I32" i="7"/>
  <c r="A32" i="7"/>
  <c r="L33" i="7" s="1"/>
  <c r="D31" i="7"/>
  <c r="H31" i="3"/>
  <c r="E36" i="4" s="1"/>
  <c r="E32" i="3"/>
  <c r="D37" i="4" s="1"/>
  <c r="A35" i="3"/>
  <c r="F33" i="3"/>
  <c r="F38" i="4" s="1"/>
  <c r="A40" i="4" l="1"/>
  <c r="N36" i="3"/>
  <c r="J41" i="4" s="1"/>
  <c r="S33" i="3"/>
  <c r="T33" i="3" s="1"/>
  <c r="G33" i="3" s="1"/>
  <c r="B38" i="4"/>
  <c r="Q36" i="3"/>
  <c r="P41" i="4" s="1"/>
  <c r="P36" i="3"/>
  <c r="O41" i="4" s="1"/>
  <c r="R31" i="3"/>
  <c r="L35" i="3"/>
  <c r="N40" i="4" s="1"/>
  <c r="I35" i="3"/>
  <c r="K40" i="4" s="1"/>
  <c r="J35" i="3"/>
  <c r="L40" i="4" s="1"/>
  <c r="U33" i="3"/>
  <c r="V33" i="3" s="1"/>
  <c r="W33" i="3" s="1"/>
  <c r="M36" i="3"/>
  <c r="H41" i="4" s="1"/>
  <c r="B35" i="3"/>
  <c r="C34" i="3"/>
  <c r="D34" i="3"/>
  <c r="C39" i="4" s="1"/>
  <c r="H29" i="7"/>
  <c r="Q31" i="7"/>
  <c r="I33" i="7"/>
  <c r="D32" i="7"/>
  <c r="A33" i="7"/>
  <c r="L34" i="7" s="1"/>
  <c r="K33" i="7"/>
  <c r="F31" i="7"/>
  <c r="G30" i="7"/>
  <c r="E30" i="7"/>
  <c r="H32" i="3"/>
  <c r="A36" i="3"/>
  <c r="F34" i="3"/>
  <c r="F39" i="4" s="1"/>
  <c r="E33" i="3"/>
  <c r="D38" i="4" s="1"/>
  <c r="A41" i="4" l="1"/>
  <c r="N37" i="3"/>
  <c r="J42" i="4" s="1"/>
  <c r="R32" i="3"/>
  <c r="E37" i="4"/>
  <c r="S34" i="3"/>
  <c r="T34" i="3" s="1"/>
  <c r="B39" i="4"/>
  <c r="H33" i="3"/>
  <c r="E38" i="4" s="1"/>
  <c r="G38" i="4"/>
  <c r="K37" i="3"/>
  <c r="L36" i="3"/>
  <c r="N41" i="4" s="1"/>
  <c r="I36" i="3"/>
  <c r="K41" i="4" s="1"/>
  <c r="J36" i="3"/>
  <c r="L41" i="4" s="1"/>
  <c r="U34" i="3"/>
  <c r="V34" i="3" s="1"/>
  <c r="W34" i="3" s="1"/>
  <c r="C35" i="3"/>
  <c r="D35" i="3"/>
  <c r="C40" i="4" s="1"/>
  <c r="M37" i="3"/>
  <c r="H42" i="4" s="1"/>
  <c r="B36" i="3"/>
  <c r="H30" i="7"/>
  <c r="Q32" i="7"/>
  <c r="E31" i="7"/>
  <c r="G31" i="7"/>
  <c r="D33" i="7"/>
  <c r="K34" i="7"/>
  <c r="I34" i="7"/>
  <c r="A34" i="7"/>
  <c r="L35" i="7" s="1"/>
  <c r="F32" i="7"/>
  <c r="E34" i="3"/>
  <c r="D39" i="4" s="1"/>
  <c r="A37" i="3"/>
  <c r="F35" i="3"/>
  <c r="F40" i="4" s="1"/>
  <c r="A42" i="4" l="1"/>
  <c r="N38" i="3"/>
  <c r="J43" i="4" s="1"/>
  <c r="G34" i="3"/>
  <c r="G39" i="4" s="1"/>
  <c r="Y3" i="3"/>
  <c r="Z3" i="3" s="1"/>
  <c r="M42" i="4"/>
  <c r="R33" i="3"/>
  <c r="S35" i="3"/>
  <c r="T35" i="3" s="1"/>
  <c r="B40" i="4"/>
  <c r="Q38" i="3"/>
  <c r="P43" i="4" s="1"/>
  <c r="P38" i="3"/>
  <c r="O43" i="4" s="1"/>
  <c r="L37" i="3"/>
  <c r="N42" i="4" s="1"/>
  <c r="L38" i="3"/>
  <c r="N43" i="4" s="1"/>
  <c r="I38" i="3"/>
  <c r="K43" i="4" s="1"/>
  <c r="I37" i="3"/>
  <c r="K42" i="4" s="1"/>
  <c r="J38" i="3"/>
  <c r="L43" i="4" s="1"/>
  <c r="J37" i="3"/>
  <c r="L42" i="4" s="1"/>
  <c r="U35" i="3"/>
  <c r="V35" i="3" s="1"/>
  <c r="W35" i="3" s="1"/>
  <c r="M38" i="3"/>
  <c r="H43" i="4" s="1"/>
  <c r="B37" i="3"/>
  <c r="C37" i="3" s="1"/>
  <c r="B42" i="4" s="1"/>
  <c r="C36" i="3"/>
  <c r="D36" i="3"/>
  <c r="C41" i="4" s="1"/>
  <c r="H31" i="7"/>
  <c r="Q33" i="7"/>
  <c r="D34" i="7"/>
  <c r="K35" i="7"/>
  <c r="F33" i="7"/>
  <c r="I35" i="7"/>
  <c r="A35" i="7"/>
  <c r="L36" i="7" s="1"/>
  <c r="G32" i="7"/>
  <c r="E32" i="7"/>
  <c r="A38" i="3"/>
  <c r="F36" i="3"/>
  <c r="F41" i="4" s="1"/>
  <c r="E35" i="3"/>
  <c r="D40" i="4" s="1"/>
  <c r="A43" i="4" l="1"/>
  <c r="N39" i="3"/>
  <c r="J44" i="4" s="1"/>
  <c r="H34" i="3"/>
  <c r="R34" i="3" s="1"/>
  <c r="U36" i="3"/>
  <c r="V36" i="3" s="1"/>
  <c r="W36" i="3" s="1"/>
  <c r="B41" i="4"/>
  <c r="Q39" i="3"/>
  <c r="P44" i="4" s="1"/>
  <c r="P39" i="3"/>
  <c r="O44" i="4" s="1"/>
  <c r="L39" i="3"/>
  <c r="N44" i="4" s="1"/>
  <c r="I39" i="3"/>
  <c r="K44" i="4" s="1"/>
  <c r="J39" i="3"/>
  <c r="L44" i="4" s="1"/>
  <c r="G35" i="3"/>
  <c r="G40" i="4" s="1"/>
  <c r="S36" i="3"/>
  <c r="T36" i="3" s="1"/>
  <c r="G36" i="3" s="1"/>
  <c r="G41" i="4" s="1"/>
  <c r="D37" i="3"/>
  <c r="C42" i="4" s="1"/>
  <c r="M39" i="3"/>
  <c r="H44" i="4" s="1"/>
  <c r="B38" i="3"/>
  <c r="C38" i="3" s="1"/>
  <c r="H32" i="7"/>
  <c r="Q34" i="7"/>
  <c r="D35" i="7"/>
  <c r="K36" i="7"/>
  <c r="F34" i="7"/>
  <c r="I36" i="7"/>
  <c r="A36" i="7"/>
  <c r="L37" i="7" s="1"/>
  <c r="G33" i="7"/>
  <c r="E33" i="7"/>
  <c r="E36" i="3"/>
  <c r="D41" i="4" s="1"/>
  <c r="S37" i="3"/>
  <c r="T37" i="3" s="1"/>
  <c r="U37" i="3"/>
  <c r="V37" i="3" s="1"/>
  <c r="A39" i="3"/>
  <c r="F37" i="3"/>
  <c r="F42" i="4" s="1"/>
  <c r="A44" i="4" l="1"/>
  <c r="N40" i="3"/>
  <c r="J45" i="4" s="1"/>
  <c r="E39" i="4"/>
  <c r="H35" i="3"/>
  <c r="E40" i="4" s="1"/>
  <c r="D38" i="3"/>
  <c r="C43" i="4" s="1"/>
  <c r="B43" i="4"/>
  <c r="Q40" i="3"/>
  <c r="P45" i="4" s="1"/>
  <c r="P40" i="3"/>
  <c r="O45" i="4" s="1"/>
  <c r="L40" i="3"/>
  <c r="N45" i="4" s="1"/>
  <c r="I40" i="3"/>
  <c r="K45" i="4" s="1"/>
  <c r="J40" i="3"/>
  <c r="L45" i="4" s="1"/>
  <c r="W37" i="3"/>
  <c r="M40" i="3"/>
  <c r="H45" i="4" s="1"/>
  <c r="B39" i="3"/>
  <c r="C39" i="3" s="1"/>
  <c r="H33" i="7"/>
  <c r="Q35" i="7"/>
  <c r="E34" i="7"/>
  <c r="G34" i="7"/>
  <c r="D36" i="7"/>
  <c r="I37" i="7"/>
  <c r="A37" i="7"/>
  <c r="L38" i="7" s="1"/>
  <c r="K37" i="7"/>
  <c r="F35" i="7"/>
  <c r="G37" i="3"/>
  <c r="U38" i="3"/>
  <c r="V38" i="3" s="1"/>
  <c r="S38" i="3"/>
  <c r="T38" i="3" s="1"/>
  <c r="A40" i="3"/>
  <c r="F38" i="3"/>
  <c r="F43" i="4" s="1"/>
  <c r="H36" i="3"/>
  <c r="E37" i="3"/>
  <c r="D42" i="4" s="1"/>
  <c r="A45" i="4" l="1"/>
  <c r="N41" i="3"/>
  <c r="J46" i="4" s="1"/>
  <c r="R35" i="3"/>
  <c r="W38" i="3"/>
  <c r="R36" i="3"/>
  <c r="E41" i="4"/>
  <c r="Q37" i="3"/>
  <c r="P42" i="4" s="1"/>
  <c r="G42" i="4"/>
  <c r="D39" i="3"/>
  <c r="C44" i="4" s="1"/>
  <c r="B44" i="4"/>
  <c r="Q41" i="3"/>
  <c r="P46" i="4" s="1"/>
  <c r="P41" i="3"/>
  <c r="O46" i="4" s="1"/>
  <c r="L41" i="3"/>
  <c r="N46" i="4" s="1"/>
  <c r="I41" i="3"/>
  <c r="K46" i="4" s="1"/>
  <c r="J41" i="3"/>
  <c r="L46" i="4" s="1"/>
  <c r="M41" i="3"/>
  <c r="H46" i="4" s="1"/>
  <c r="B40" i="3"/>
  <c r="C40" i="3" s="1"/>
  <c r="H34" i="7"/>
  <c r="Q36" i="7"/>
  <c r="I38" i="7"/>
  <c r="D37" i="7"/>
  <c r="A38" i="7"/>
  <c r="L39" i="7" s="1"/>
  <c r="K38" i="7"/>
  <c r="F36" i="7"/>
  <c r="E35" i="7"/>
  <c r="G35" i="7"/>
  <c r="H37" i="3"/>
  <c r="E42" i="4" s="1"/>
  <c r="A41" i="3"/>
  <c r="F39" i="3"/>
  <c r="F44" i="4" s="1"/>
  <c r="G38" i="3"/>
  <c r="G43" i="4" s="1"/>
  <c r="E38" i="3"/>
  <c r="D43" i="4" s="1"/>
  <c r="S39" i="3"/>
  <c r="T39" i="3" s="1"/>
  <c r="U39" i="3"/>
  <c r="V39" i="3" s="1"/>
  <c r="A46" i="4" l="1"/>
  <c r="N42" i="3"/>
  <c r="J47" i="4" s="1"/>
  <c r="W39" i="3"/>
  <c r="D40" i="3"/>
  <c r="C45" i="4" s="1"/>
  <c r="B45" i="4"/>
  <c r="Q42" i="3"/>
  <c r="P47" i="4" s="1"/>
  <c r="P42" i="3"/>
  <c r="O47" i="4" s="1"/>
  <c r="L42" i="3"/>
  <c r="N47" i="4" s="1"/>
  <c r="I42" i="3"/>
  <c r="K47" i="4" s="1"/>
  <c r="J42" i="3"/>
  <c r="L47" i="4" s="1"/>
  <c r="M42" i="3"/>
  <c r="H47" i="4" s="1"/>
  <c r="B41" i="3"/>
  <c r="C41" i="3" s="1"/>
  <c r="H35" i="7"/>
  <c r="Q37" i="7"/>
  <c r="K39" i="7"/>
  <c r="F37" i="7"/>
  <c r="I39" i="7"/>
  <c r="D38" i="7"/>
  <c r="A39" i="7"/>
  <c r="L40" i="7" s="1"/>
  <c r="G36" i="7"/>
  <c r="E36" i="7"/>
  <c r="G39" i="3"/>
  <c r="G44" i="4" s="1"/>
  <c r="E39" i="3"/>
  <c r="D44" i="4" s="1"/>
  <c r="H38" i="3"/>
  <c r="E43" i="4" s="1"/>
  <c r="S40" i="3"/>
  <c r="U40" i="3"/>
  <c r="V40" i="3" s="1"/>
  <c r="A42" i="3"/>
  <c r="F40" i="3"/>
  <c r="F45" i="4" s="1"/>
  <c r="A47" i="4" l="1"/>
  <c r="N43" i="3"/>
  <c r="J48" i="4" s="1"/>
  <c r="W40" i="3"/>
  <c r="D41" i="3"/>
  <c r="C46" i="4" s="1"/>
  <c r="B46" i="4"/>
  <c r="Q43" i="3"/>
  <c r="P48" i="4" s="1"/>
  <c r="P43" i="3"/>
  <c r="O48" i="4" s="1"/>
  <c r="R38" i="3"/>
  <c r="L43" i="3"/>
  <c r="N48" i="4" s="1"/>
  <c r="I43" i="3"/>
  <c r="K48" i="4" s="1"/>
  <c r="J43" i="3"/>
  <c r="L48" i="4" s="1"/>
  <c r="M43" i="3"/>
  <c r="H48" i="4" s="1"/>
  <c r="B42" i="3"/>
  <c r="C42" i="3" s="1"/>
  <c r="T40" i="3"/>
  <c r="G40" i="3" s="1"/>
  <c r="G45" i="4" s="1"/>
  <c r="H36" i="7"/>
  <c r="Q38" i="7"/>
  <c r="E37" i="7"/>
  <c r="G37" i="7"/>
  <c r="A40" i="7"/>
  <c r="L41" i="7" s="1"/>
  <c r="D39" i="7"/>
  <c r="K40" i="7"/>
  <c r="F38" i="7"/>
  <c r="I40" i="7"/>
  <c r="H39" i="3"/>
  <c r="E44" i="4" s="1"/>
  <c r="S41" i="3"/>
  <c r="T41" i="3" s="1"/>
  <c r="U41" i="3"/>
  <c r="V41" i="3" s="1"/>
  <c r="A43" i="3"/>
  <c r="F41" i="3"/>
  <c r="F46" i="4" s="1"/>
  <c r="E40" i="3"/>
  <c r="D45" i="4" s="1"/>
  <c r="W41" i="3" l="1"/>
  <c r="A48" i="4"/>
  <c r="N44" i="3"/>
  <c r="J49" i="4" s="1"/>
  <c r="D42" i="3"/>
  <c r="C47" i="4" s="1"/>
  <c r="B47" i="4"/>
  <c r="Q44" i="3"/>
  <c r="P49" i="4" s="1"/>
  <c r="P44" i="3"/>
  <c r="O49" i="4" s="1"/>
  <c r="R39" i="3"/>
  <c r="L44" i="3"/>
  <c r="N49" i="4" s="1"/>
  <c r="I44" i="3"/>
  <c r="K49" i="4" s="1"/>
  <c r="J44" i="3"/>
  <c r="L49" i="4" s="1"/>
  <c r="M44" i="3"/>
  <c r="H49" i="4" s="1"/>
  <c r="B43" i="3"/>
  <c r="C43" i="3" s="1"/>
  <c r="H40" i="3"/>
  <c r="E45" i="4" s="1"/>
  <c r="H37" i="7"/>
  <c r="Q39" i="7"/>
  <c r="G38" i="7"/>
  <c r="E38" i="7"/>
  <c r="D40" i="7"/>
  <c r="A41" i="7"/>
  <c r="L42" i="7" s="1"/>
  <c r="K41" i="7"/>
  <c r="F39" i="7"/>
  <c r="I41" i="7"/>
  <c r="U42" i="3"/>
  <c r="V42" i="3" s="1"/>
  <c r="W42" i="3" s="1"/>
  <c r="S42" i="3"/>
  <c r="T42" i="3" s="1"/>
  <c r="A44" i="3"/>
  <c r="F42" i="3"/>
  <c r="F47" i="4" s="1"/>
  <c r="E41" i="3"/>
  <c r="D46" i="4" s="1"/>
  <c r="G41" i="3"/>
  <c r="G46" i="4" s="1"/>
  <c r="A49" i="4" l="1"/>
  <c r="N45" i="3"/>
  <c r="J50" i="4" s="1"/>
  <c r="D43" i="3"/>
  <c r="C48" i="4" s="1"/>
  <c r="B48" i="4"/>
  <c r="Q45" i="3"/>
  <c r="P50" i="4" s="1"/>
  <c r="P45" i="3"/>
  <c r="O50" i="4" s="1"/>
  <c r="R40" i="3"/>
  <c r="L45" i="3"/>
  <c r="N50" i="4" s="1"/>
  <c r="I45" i="3"/>
  <c r="K50" i="4" s="1"/>
  <c r="J45" i="3"/>
  <c r="L50" i="4" s="1"/>
  <c r="M45" i="3"/>
  <c r="H50" i="4" s="1"/>
  <c r="B44" i="3"/>
  <c r="C44" i="3" s="1"/>
  <c r="H38" i="7"/>
  <c r="Q40" i="7"/>
  <c r="K42" i="7"/>
  <c r="F40" i="7"/>
  <c r="I42" i="7"/>
  <c r="D41" i="7"/>
  <c r="A42" i="7"/>
  <c r="G39" i="7"/>
  <c r="E39" i="7"/>
  <c r="A45" i="3"/>
  <c r="F43" i="3"/>
  <c r="F48" i="4" s="1"/>
  <c r="G42" i="3"/>
  <c r="G47" i="4" s="1"/>
  <c r="H41" i="3"/>
  <c r="E46" i="4" s="1"/>
  <c r="E42" i="3"/>
  <c r="D47" i="4" s="1"/>
  <c r="S43" i="3"/>
  <c r="T43" i="3" s="1"/>
  <c r="U43" i="3"/>
  <c r="V43" i="3" s="1"/>
  <c r="A50" i="4" l="1"/>
  <c r="N46" i="3"/>
  <c r="J51" i="4" s="1"/>
  <c r="W43" i="3"/>
  <c r="D44" i="3"/>
  <c r="C49" i="4" s="1"/>
  <c r="B49" i="4"/>
  <c r="Q46" i="3"/>
  <c r="P51" i="4" s="1"/>
  <c r="P46" i="3"/>
  <c r="O51" i="4" s="1"/>
  <c r="R41" i="3"/>
  <c r="L46" i="3"/>
  <c r="N51" i="4" s="1"/>
  <c r="I46" i="3"/>
  <c r="K51" i="4" s="1"/>
  <c r="J46" i="3"/>
  <c r="L51" i="4" s="1"/>
  <c r="M46" i="3"/>
  <c r="H51" i="4" s="1"/>
  <c r="B45" i="3"/>
  <c r="C45" i="3" s="1"/>
  <c r="H39" i="7"/>
  <c r="Q41" i="7"/>
  <c r="E40" i="7"/>
  <c r="G40" i="7"/>
  <c r="A43" i="7"/>
  <c r="L44" i="7" s="1"/>
  <c r="D42" i="7"/>
  <c r="F41" i="7"/>
  <c r="I43" i="7"/>
  <c r="G43" i="3"/>
  <c r="G48" i="4" s="1"/>
  <c r="H42" i="3"/>
  <c r="E43" i="3"/>
  <c r="D48" i="4" s="1"/>
  <c r="U44" i="3"/>
  <c r="V44" i="3" s="1"/>
  <c r="S44" i="3"/>
  <c r="T44" i="3" s="1"/>
  <c r="A46" i="3"/>
  <c r="F44" i="3"/>
  <c r="F49" i="4" s="1"/>
  <c r="A51" i="4" l="1"/>
  <c r="N47" i="3"/>
  <c r="J52" i="4" s="1"/>
  <c r="W44" i="3"/>
  <c r="R42" i="3"/>
  <c r="E47" i="4"/>
  <c r="D45" i="3"/>
  <c r="C50" i="4" s="1"/>
  <c r="B50" i="4"/>
  <c r="Q47" i="3"/>
  <c r="P52" i="4" s="1"/>
  <c r="P47" i="3"/>
  <c r="O52" i="4" s="1"/>
  <c r="L47" i="3"/>
  <c r="N52" i="4" s="1"/>
  <c r="I47" i="3"/>
  <c r="K52" i="4" s="1"/>
  <c r="J47" i="3"/>
  <c r="L52" i="4" s="1"/>
  <c r="M47" i="3"/>
  <c r="H52" i="4" s="1"/>
  <c r="B46" i="3"/>
  <c r="C46" i="3" s="1"/>
  <c r="H40" i="7"/>
  <c r="Q42" i="7"/>
  <c r="K44" i="7"/>
  <c r="F42" i="7"/>
  <c r="I44" i="7"/>
  <c r="A44" i="7"/>
  <c r="L45" i="7" s="1"/>
  <c r="D43" i="7"/>
  <c r="E41" i="7"/>
  <c r="G41" i="7"/>
  <c r="H43" i="3"/>
  <c r="E48" i="4" s="1"/>
  <c r="G44" i="3"/>
  <c r="G49" i="4" s="1"/>
  <c r="S45" i="3"/>
  <c r="T45" i="3" s="1"/>
  <c r="U45" i="3"/>
  <c r="V45" i="3" s="1"/>
  <c r="A47" i="3"/>
  <c r="F45" i="3"/>
  <c r="F50" i="4" s="1"/>
  <c r="E44" i="3"/>
  <c r="D49" i="4" s="1"/>
  <c r="A52" i="4" l="1"/>
  <c r="N48" i="3"/>
  <c r="J53" i="4" s="1"/>
  <c r="W45" i="3"/>
  <c r="D46" i="3"/>
  <c r="C51" i="4" s="1"/>
  <c r="B51" i="4"/>
  <c r="Q48" i="3"/>
  <c r="P53" i="4" s="1"/>
  <c r="P48" i="3"/>
  <c r="O53" i="4" s="1"/>
  <c r="R43" i="3"/>
  <c r="L48" i="3"/>
  <c r="N53" i="4" s="1"/>
  <c r="J48" i="3"/>
  <c r="L53" i="4" s="1"/>
  <c r="I48" i="3"/>
  <c r="K53" i="4" s="1"/>
  <c r="M48" i="3"/>
  <c r="H53" i="4" s="1"/>
  <c r="B47" i="3"/>
  <c r="C47" i="3" s="1"/>
  <c r="H41" i="7"/>
  <c r="Q43" i="7"/>
  <c r="A45" i="7"/>
  <c r="L46" i="7" s="1"/>
  <c r="D44" i="7"/>
  <c r="K45" i="7"/>
  <c r="F43" i="7"/>
  <c r="I45" i="7"/>
  <c r="G42" i="7"/>
  <c r="E42" i="7"/>
  <c r="H44" i="3"/>
  <c r="U46" i="3"/>
  <c r="V46" i="3" s="1"/>
  <c r="W46" i="3" s="1"/>
  <c r="S46" i="3"/>
  <c r="T46" i="3" s="1"/>
  <c r="A48" i="3"/>
  <c r="F46" i="3"/>
  <c r="F51" i="4" s="1"/>
  <c r="E45" i="3"/>
  <c r="D50" i="4" s="1"/>
  <c r="G45" i="3"/>
  <c r="G50" i="4" s="1"/>
  <c r="A53" i="4" l="1"/>
  <c r="N49" i="3"/>
  <c r="J54" i="4" s="1"/>
  <c r="R44" i="3"/>
  <c r="E49" i="4"/>
  <c r="D47" i="3"/>
  <c r="C52" i="4" s="1"/>
  <c r="B52" i="4"/>
  <c r="K49" i="3"/>
  <c r="L49" i="3"/>
  <c r="N54" i="4" s="1"/>
  <c r="J49" i="3"/>
  <c r="L54" i="4" s="1"/>
  <c r="I49" i="3"/>
  <c r="K54" i="4" s="1"/>
  <c r="M49" i="3"/>
  <c r="H54" i="4" s="1"/>
  <c r="B48" i="3"/>
  <c r="C48" i="3" s="1"/>
  <c r="H42" i="7"/>
  <c r="Q44" i="7"/>
  <c r="E43" i="7"/>
  <c r="G43" i="7"/>
  <c r="D45" i="7"/>
  <c r="A46" i="7"/>
  <c r="L47" i="7" s="1"/>
  <c r="K46" i="7"/>
  <c r="F44" i="7"/>
  <c r="I46" i="7"/>
  <c r="A49" i="3"/>
  <c r="F47" i="3"/>
  <c r="F52" i="4" s="1"/>
  <c r="G46" i="3"/>
  <c r="G51" i="4" s="1"/>
  <c r="H45" i="3"/>
  <c r="E50" i="4" s="1"/>
  <c r="E46" i="3"/>
  <c r="D51" i="4" s="1"/>
  <c r="S47" i="3"/>
  <c r="T47" i="3" s="1"/>
  <c r="U47" i="3"/>
  <c r="V47" i="3" s="1"/>
  <c r="A54" i="4" l="1"/>
  <c r="N50" i="3"/>
  <c r="J55" i="4" s="1"/>
  <c r="W47" i="3"/>
  <c r="Y4" i="3"/>
  <c r="M54" i="4"/>
  <c r="D48" i="3"/>
  <c r="C53" i="4" s="1"/>
  <c r="B53" i="4"/>
  <c r="Z4" i="3"/>
  <c r="Q50" i="3"/>
  <c r="P55" i="4" s="1"/>
  <c r="P50" i="3"/>
  <c r="O55" i="4" s="1"/>
  <c r="R45" i="3"/>
  <c r="L50" i="3"/>
  <c r="N55" i="4" s="1"/>
  <c r="J50" i="3"/>
  <c r="L55" i="4" s="1"/>
  <c r="I50" i="3"/>
  <c r="K55" i="4" s="1"/>
  <c r="M50" i="3"/>
  <c r="H55" i="4" s="1"/>
  <c r="B49" i="3"/>
  <c r="C49" i="3" s="1"/>
  <c r="H43" i="7"/>
  <c r="Q45" i="7"/>
  <c r="I47" i="7"/>
  <c r="D46" i="7"/>
  <c r="A47" i="7"/>
  <c r="L48" i="7" s="1"/>
  <c r="K47" i="7"/>
  <c r="F45" i="7"/>
  <c r="G44" i="7"/>
  <c r="E44" i="7"/>
  <c r="E47" i="3"/>
  <c r="D52" i="4" s="1"/>
  <c r="H46" i="3"/>
  <c r="E51" i="4" s="1"/>
  <c r="S48" i="3"/>
  <c r="T48" i="3" s="1"/>
  <c r="U48" i="3"/>
  <c r="V48" i="3" s="1"/>
  <c r="A50" i="3"/>
  <c r="F48" i="3"/>
  <c r="F53" i="4" s="1"/>
  <c r="G47" i="3"/>
  <c r="G52" i="4" s="1"/>
  <c r="A55" i="4" l="1"/>
  <c r="N51" i="3"/>
  <c r="J56" i="4" s="1"/>
  <c r="W48" i="3"/>
  <c r="D49" i="3"/>
  <c r="C54" i="4" s="1"/>
  <c r="B54" i="4"/>
  <c r="Q51" i="3"/>
  <c r="P56" i="4" s="1"/>
  <c r="P51" i="3"/>
  <c r="O56" i="4" s="1"/>
  <c r="R46" i="3"/>
  <c r="L51" i="3"/>
  <c r="N56" i="4" s="1"/>
  <c r="J51" i="3"/>
  <c r="L56" i="4" s="1"/>
  <c r="I51" i="3"/>
  <c r="K56" i="4" s="1"/>
  <c r="M51" i="3"/>
  <c r="H56" i="4" s="1"/>
  <c r="B50" i="3"/>
  <c r="C50" i="3" s="1"/>
  <c r="H44" i="7"/>
  <c r="Q46" i="7"/>
  <c r="E45" i="7"/>
  <c r="G45" i="7"/>
  <c r="I48" i="7"/>
  <c r="D47" i="7"/>
  <c r="K48" i="7"/>
  <c r="F46" i="7"/>
  <c r="A48" i="7"/>
  <c r="L49" i="7" s="1"/>
  <c r="G48" i="3"/>
  <c r="G53" i="4" s="1"/>
  <c r="H47" i="3"/>
  <c r="U49" i="3"/>
  <c r="V49" i="3" s="1"/>
  <c r="S49" i="3"/>
  <c r="T49" i="3" s="1"/>
  <c r="A51" i="3"/>
  <c r="F49" i="3"/>
  <c r="F54" i="4" s="1"/>
  <c r="E48" i="3"/>
  <c r="D53" i="4" s="1"/>
  <c r="A56" i="4" l="1"/>
  <c r="N52" i="3"/>
  <c r="J57" i="4" s="1"/>
  <c r="W49" i="3"/>
  <c r="D50" i="3"/>
  <c r="C55" i="4" s="1"/>
  <c r="B55" i="4"/>
  <c r="R47" i="3"/>
  <c r="E52" i="4"/>
  <c r="Q52" i="3"/>
  <c r="P57" i="4" s="1"/>
  <c r="P52" i="3"/>
  <c r="O57" i="4" s="1"/>
  <c r="L52" i="3"/>
  <c r="N57" i="4" s="1"/>
  <c r="J52" i="3"/>
  <c r="L57" i="4" s="1"/>
  <c r="I52" i="3"/>
  <c r="K57" i="4" s="1"/>
  <c r="M52" i="3"/>
  <c r="H57" i="4" s="1"/>
  <c r="B51" i="3"/>
  <c r="C51" i="3" s="1"/>
  <c r="H45" i="7"/>
  <c r="Q47" i="7"/>
  <c r="I49" i="7"/>
  <c r="A49" i="7"/>
  <c r="L50" i="7" s="1"/>
  <c r="D48" i="7"/>
  <c r="K49" i="7"/>
  <c r="F47" i="7"/>
  <c r="G46" i="7"/>
  <c r="E46" i="7"/>
  <c r="H48" i="3"/>
  <c r="E53" i="4" s="1"/>
  <c r="E49" i="3"/>
  <c r="D54" i="4" s="1"/>
  <c r="S50" i="3"/>
  <c r="T50" i="3" s="1"/>
  <c r="U50" i="3"/>
  <c r="V50" i="3" s="1"/>
  <c r="A52" i="3"/>
  <c r="F50" i="3"/>
  <c r="F55" i="4" s="1"/>
  <c r="G49" i="3"/>
  <c r="A57" i="4" l="1"/>
  <c r="N53" i="3"/>
  <c r="J58" i="4" s="1"/>
  <c r="W50" i="3"/>
  <c r="Q49" i="3"/>
  <c r="P54" i="4" s="1"/>
  <c r="G54" i="4"/>
  <c r="D51" i="3"/>
  <c r="C56" i="4" s="1"/>
  <c r="B56" i="4"/>
  <c r="Q53" i="3"/>
  <c r="P58" i="4" s="1"/>
  <c r="P53" i="3"/>
  <c r="O58" i="4" s="1"/>
  <c r="R48" i="3"/>
  <c r="L53" i="3"/>
  <c r="N58" i="4" s="1"/>
  <c r="J53" i="3"/>
  <c r="L58" i="4" s="1"/>
  <c r="I53" i="3"/>
  <c r="K58" i="4" s="1"/>
  <c r="M53" i="3"/>
  <c r="H58" i="4" s="1"/>
  <c r="B52" i="3"/>
  <c r="C52" i="3" s="1"/>
  <c r="H46" i="7"/>
  <c r="Q48" i="7"/>
  <c r="G47" i="7"/>
  <c r="E47" i="7"/>
  <c r="D49" i="7"/>
  <c r="A50" i="7"/>
  <c r="L51" i="7" s="1"/>
  <c r="K50" i="7"/>
  <c r="F48" i="7"/>
  <c r="I50" i="7"/>
  <c r="G50" i="3"/>
  <c r="G55" i="4" s="1"/>
  <c r="S51" i="3"/>
  <c r="T51" i="3" s="1"/>
  <c r="U51" i="3"/>
  <c r="V51" i="3" s="1"/>
  <c r="A53" i="3"/>
  <c r="F51" i="3"/>
  <c r="F56" i="4" s="1"/>
  <c r="H49" i="3"/>
  <c r="E54" i="4" s="1"/>
  <c r="E50" i="3"/>
  <c r="D55" i="4" s="1"/>
  <c r="A58" i="4" l="1"/>
  <c r="N54" i="3"/>
  <c r="J59" i="4" s="1"/>
  <c r="W51" i="3"/>
  <c r="D52" i="3"/>
  <c r="C57" i="4" s="1"/>
  <c r="B57" i="4"/>
  <c r="Q54" i="3"/>
  <c r="P59" i="4" s="1"/>
  <c r="P54" i="3"/>
  <c r="O59" i="4" s="1"/>
  <c r="L54" i="3"/>
  <c r="N59" i="4" s="1"/>
  <c r="J54" i="3"/>
  <c r="L59" i="4" s="1"/>
  <c r="I54" i="3"/>
  <c r="K59" i="4" s="1"/>
  <c r="M54" i="3"/>
  <c r="H59" i="4" s="1"/>
  <c r="B53" i="3"/>
  <c r="C53" i="3" s="1"/>
  <c r="H47" i="7"/>
  <c r="Q49" i="7"/>
  <c r="D50" i="7"/>
  <c r="A51" i="7"/>
  <c r="L52" i="7" s="1"/>
  <c r="K51" i="7"/>
  <c r="F49" i="7"/>
  <c r="I51" i="7"/>
  <c r="G48" i="7"/>
  <c r="E48" i="7"/>
  <c r="H50" i="3"/>
  <c r="E55" i="4" s="1"/>
  <c r="E51" i="3"/>
  <c r="D56" i="4" s="1"/>
  <c r="U52" i="3"/>
  <c r="V52" i="3" s="1"/>
  <c r="W52" i="3" s="1"/>
  <c r="S52" i="3"/>
  <c r="T52" i="3" s="1"/>
  <c r="G51" i="3"/>
  <c r="G56" i="4" s="1"/>
  <c r="A54" i="3"/>
  <c r="F52" i="3"/>
  <c r="F57" i="4" s="1"/>
  <c r="A59" i="4" l="1"/>
  <c r="N55" i="3"/>
  <c r="J60" i="4" s="1"/>
  <c r="D53" i="3"/>
  <c r="C58" i="4" s="1"/>
  <c r="B58" i="4"/>
  <c r="Q55" i="3"/>
  <c r="P60" i="4" s="1"/>
  <c r="P55" i="3"/>
  <c r="O60" i="4" s="1"/>
  <c r="R50" i="3"/>
  <c r="L55" i="3"/>
  <c r="N60" i="4" s="1"/>
  <c r="J55" i="3"/>
  <c r="L60" i="4" s="1"/>
  <c r="I55" i="3"/>
  <c r="K60" i="4" s="1"/>
  <c r="M55" i="3"/>
  <c r="H60" i="4" s="1"/>
  <c r="B54" i="3"/>
  <c r="C54" i="3" s="1"/>
  <c r="H48" i="7"/>
  <c r="Q50" i="7"/>
  <c r="E49" i="7"/>
  <c r="G49" i="7"/>
  <c r="I52" i="7"/>
  <c r="D51" i="7"/>
  <c r="A52" i="7"/>
  <c r="L53" i="7" s="1"/>
  <c r="K52" i="7"/>
  <c r="F50" i="7"/>
  <c r="A55" i="3"/>
  <c r="F53" i="3"/>
  <c r="F58" i="4" s="1"/>
  <c r="E52" i="3"/>
  <c r="D57" i="4" s="1"/>
  <c r="S53" i="3"/>
  <c r="T53" i="3" s="1"/>
  <c r="U53" i="3"/>
  <c r="V53" i="3" s="1"/>
  <c r="H51" i="3"/>
  <c r="E56" i="4" s="1"/>
  <c r="G52" i="3"/>
  <c r="G57" i="4" s="1"/>
  <c r="A60" i="4" l="1"/>
  <c r="N56" i="3"/>
  <c r="J61" i="4" s="1"/>
  <c r="W53" i="3"/>
  <c r="D54" i="3"/>
  <c r="C59" i="4" s="1"/>
  <c r="B59" i="4"/>
  <c r="Q56" i="3"/>
  <c r="P61" i="4" s="1"/>
  <c r="P56" i="3"/>
  <c r="O61" i="4" s="1"/>
  <c r="R51" i="3"/>
  <c r="L56" i="3"/>
  <c r="N61" i="4" s="1"/>
  <c r="J56" i="3"/>
  <c r="L61" i="4" s="1"/>
  <c r="I56" i="3"/>
  <c r="K61" i="4" s="1"/>
  <c r="M56" i="3"/>
  <c r="H61" i="4" s="1"/>
  <c r="B55" i="3"/>
  <c r="C55" i="3" s="1"/>
  <c r="H49" i="7"/>
  <c r="Q51" i="7"/>
  <c r="D52" i="7"/>
  <c r="A53" i="7"/>
  <c r="L54" i="7" s="1"/>
  <c r="I53" i="7"/>
  <c r="K53" i="7"/>
  <c r="F51" i="7"/>
  <c r="E50" i="7"/>
  <c r="G50" i="7"/>
  <c r="G53" i="3"/>
  <c r="G58" i="4" s="1"/>
  <c r="E53" i="3"/>
  <c r="D58" i="4" s="1"/>
  <c r="S54" i="3"/>
  <c r="T54" i="3" s="1"/>
  <c r="U54" i="3"/>
  <c r="V54" i="3" s="1"/>
  <c r="A56" i="3"/>
  <c r="F54" i="3"/>
  <c r="F59" i="4" s="1"/>
  <c r="H52" i="3"/>
  <c r="E57" i="4" s="1"/>
  <c r="W54" i="3" l="1"/>
  <c r="A61" i="4"/>
  <c r="N57" i="3"/>
  <c r="J62" i="4" s="1"/>
  <c r="D55" i="3"/>
  <c r="C60" i="4" s="1"/>
  <c r="B60" i="4"/>
  <c r="Q57" i="3"/>
  <c r="P62" i="4" s="1"/>
  <c r="P57" i="3"/>
  <c r="O62" i="4" s="1"/>
  <c r="R52" i="3"/>
  <c r="L57" i="3"/>
  <c r="N62" i="4" s="1"/>
  <c r="J57" i="3"/>
  <c r="L62" i="4" s="1"/>
  <c r="I57" i="3"/>
  <c r="K62" i="4" s="1"/>
  <c r="M57" i="3"/>
  <c r="H62" i="4" s="1"/>
  <c r="B56" i="3"/>
  <c r="C56" i="3" s="1"/>
  <c r="H50" i="7"/>
  <c r="Q52" i="7"/>
  <c r="I54" i="7"/>
  <c r="D53" i="7"/>
  <c r="A54" i="7"/>
  <c r="K54" i="7"/>
  <c r="F52" i="7"/>
  <c r="G51" i="7"/>
  <c r="E51" i="7"/>
  <c r="G54" i="3"/>
  <c r="G59" i="4" s="1"/>
  <c r="H53" i="3"/>
  <c r="E58" i="4" s="1"/>
  <c r="A57" i="3"/>
  <c r="F55" i="3"/>
  <c r="F60" i="4" s="1"/>
  <c r="U55" i="3"/>
  <c r="V55" i="3" s="1"/>
  <c r="S55" i="3"/>
  <c r="T55" i="3" s="1"/>
  <c r="E54" i="3"/>
  <c r="D59" i="4" s="1"/>
  <c r="A62" i="4" l="1"/>
  <c r="N58" i="3"/>
  <c r="J63" i="4" s="1"/>
  <c r="W55" i="3"/>
  <c r="D56" i="3"/>
  <c r="C61" i="4" s="1"/>
  <c r="B61" i="4"/>
  <c r="Q58" i="3"/>
  <c r="P63" i="4" s="1"/>
  <c r="P58" i="3"/>
  <c r="O63" i="4" s="1"/>
  <c r="R53" i="3"/>
  <c r="L58" i="3"/>
  <c r="N63" i="4" s="1"/>
  <c r="J58" i="3"/>
  <c r="L63" i="4" s="1"/>
  <c r="I58" i="3"/>
  <c r="K63" i="4" s="1"/>
  <c r="M58" i="3"/>
  <c r="H63" i="4" s="1"/>
  <c r="B57" i="3"/>
  <c r="C57" i="3" s="1"/>
  <c r="H51" i="7"/>
  <c r="Q53" i="7"/>
  <c r="I55" i="7"/>
  <c r="D54" i="7"/>
  <c r="A55" i="7"/>
  <c r="L56" i="7" s="1"/>
  <c r="F53" i="7"/>
  <c r="E52" i="7"/>
  <c r="G52" i="7"/>
  <c r="H54" i="3"/>
  <c r="E59" i="4" s="1"/>
  <c r="G55" i="3"/>
  <c r="G60" i="4" s="1"/>
  <c r="E55" i="3"/>
  <c r="D60" i="4" s="1"/>
  <c r="S56" i="3"/>
  <c r="T56" i="3" s="1"/>
  <c r="U56" i="3"/>
  <c r="V56" i="3" s="1"/>
  <c r="A58" i="3"/>
  <c r="F56" i="3"/>
  <c r="F61" i="4" s="1"/>
  <c r="W56" i="3" l="1"/>
  <c r="A63" i="4"/>
  <c r="N59" i="3"/>
  <c r="J64" i="4" s="1"/>
  <c r="D57" i="3"/>
  <c r="C62" i="4" s="1"/>
  <c r="B62" i="4"/>
  <c r="Q59" i="3"/>
  <c r="P64" i="4" s="1"/>
  <c r="P59" i="3"/>
  <c r="O64" i="4" s="1"/>
  <c r="R54" i="3"/>
  <c r="L59" i="3"/>
  <c r="N64" i="4" s="1"/>
  <c r="J59" i="3"/>
  <c r="L64" i="4" s="1"/>
  <c r="I59" i="3"/>
  <c r="K64" i="4" s="1"/>
  <c r="M59" i="3"/>
  <c r="H64" i="4" s="1"/>
  <c r="B58" i="3"/>
  <c r="C58" i="3" s="1"/>
  <c r="H52" i="7"/>
  <c r="Q54" i="7"/>
  <c r="I56" i="7"/>
  <c r="A56" i="7"/>
  <c r="L57" i="7" s="1"/>
  <c r="D55" i="7"/>
  <c r="K56" i="7"/>
  <c r="F54" i="7"/>
  <c r="G53" i="7"/>
  <c r="E53" i="7"/>
  <c r="G56" i="3"/>
  <c r="G61" i="4" s="1"/>
  <c r="H55" i="3"/>
  <c r="E60" i="4" s="1"/>
  <c r="E56" i="3"/>
  <c r="D61" i="4" s="1"/>
  <c r="S57" i="3"/>
  <c r="T57" i="3" s="1"/>
  <c r="U57" i="3"/>
  <c r="V57" i="3" s="1"/>
  <c r="A59" i="3"/>
  <c r="F57" i="3"/>
  <c r="F62" i="4" s="1"/>
  <c r="A64" i="4" l="1"/>
  <c r="N60" i="3"/>
  <c r="J65" i="4" s="1"/>
  <c r="W57" i="3"/>
  <c r="D58" i="3"/>
  <c r="C63" i="4" s="1"/>
  <c r="B63" i="4"/>
  <c r="Q60" i="3"/>
  <c r="P65" i="4" s="1"/>
  <c r="P60" i="3"/>
  <c r="O65" i="4" s="1"/>
  <c r="R55" i="3"/>
  <c r="L60" i="3"/>
  <c r="N65" i="4" s="1"/>
  <c r="J60" i="3"/>
  <c r="L65" i="4" s="1"/>
  <c r="I60" i="3"/>
  <c r="K65" i="4" s="1"/>
  <c r="M60" i="3"/>
  <c r="H65" i="4" s="1"/>
  <c r="B59" i="3"/>
  <c r="C59" i="3" s="1"/>
  <c r="H53" i="7"/>
  <c r="Q55" i="7"/>
  <c r="D56" i="7"/>
  <c r="I57" i="7"/>
  <c r="A57" i="7"/>
  <c r="L58" i="7" s="1"/>
  <c r="K57" i="7"/>
  <c r="F55" i="7"/>
  <c r="G54" i="7"/>
  <c r="E54" i="7"/>
  <c r="H56" i="3"/>
  <c r="E61" i="4" s="1"/>
  <c r="G57" i="3"/>
  <c r="G62" i="4" s="1"/>
  <c r="S58" i="3"/>
  <c r="T58" i="3" s="1"/>
  <c r="U58" i="3"/>
  <c r="V58" i="3" s="1"/>
  <c r="A60" i="3"/>
  <c r="F58" i="3"/>
  <c r="F63" i="4" s="1"/>
  <c r="E57" i="3"/>
  <c r="D62" i="4" s="1"/>
  <c r="W58" i="3" l="1"/>
  <c r="A65" i="4"/>
  <c r="N61" i="3"/>
  <c r="J66" i="4" s="1"/>
  <c r="D59" i="3"/>
  <c r="C64" i="4" s="1"/>
  <c r="B64" i="4"/>
  <c r="K61" i="3"/>
  <c r="Q61" i="3"/>
  <c r="P66" i="4" s="1"/>
  <c r="P61" i="3"/>
  <c r="O66" i="4" s="1"/>
  <c r="R56" i="3"/>
  <c r="L61" i="3"/>
  <c r="N66" i="4" s="1"/>
  <c r="J61" i="3"/>
  <c r="L66" i="4" s="1"/>
  <c r="I61" i="3"/>
  <c r="K66" i="4" s="1"/>
  <c r="M61" i="3"/>
  <c r="H66" i="4" s="1"/>
  <c r="B60" i="3"/>
  <c r="C60" i="3" s="1"/>
  <c r="H54" i="7"/>
  <c r="Q56" i="7"/>
  <c r="G55" i="7"/>
  <c r="L55" i="7" s="1"/>
  <c r="E55" i="7"/>
  <c r="A58" i="7"/>
  <c r="L59" i="7" s="1"/>
  <c r="I58" i="7"/>
  <c r="D57" i="7"/>
  <c r="K58" i="7"/>
  <c r="F56" i="7"/>
  <c r="H57" i="3"/>
  <c r="E62" i="4" s="1"/>
  <c r="E58" i="3"/>
  <c r="D63" i="4" s="1"/>
  <c r="G58" i="3"/>
  <c r="G63" i="4" s="1"/>
  <c r="S59" i="3"/>
  <c r="T59" i="3" s="1"/>
  <c r="U59" i="3"/>
  <c r="V59" i="3" s="1"/>
  <c r="W59" i="3" s="1"/>
  <c r="A61" i="3"/>
  <c r="F59" i="3"/>
  <c r="F64" i="4" s="1"/>
  <c r="A66" i="4" l="1"/>
  <c r="N62" i="3"/>
  <c r="J67" i="4" s="1"/>
  <c r="Y5" i="3"/>
  <c r="M66" i="4"/>
  <c r="D60" i="3"/>
  <c r="C65" i="4" s="1"/>
  <c r="B65" i="4"/>
  <c r="Z5" i="3"/>
  <c r="Q62" i="3"/>
  <c r="P67" i="4" s="1"/>
  <c r="P62" i="3"/>
  <c r="O67" i="4" s="1"/>
  <c r="R57" i="3"/>
  <c r="L62" i="3"/>
  <c r="N67" i="4" s="1"/>
  <c r="J62" i="3"/>
  <c r="L67" i="4" s="1"/>
  <c r="I62" i="3"/>
  <c r="K67" i="4" s="1"/>
  <c r="M62" i="3"/>
  <c r="H67" i="4" s="1"/>
  <c r="B61" i="3"/>
  <c r="C61" i="3" s="1"/>
  <c r="K55" i="7"/>
  <c r="H55" i="7"/>
  <c r="Q57" i="7"/>
  <c r="I59" i="7"/>
  <c r="A59" i="7"/>
  <c r="L60" i="7" s="1"/>
  <c r="K59" i="7"/>
  <c r="D58" i="7"/>
  <c r="F57" i="7"/>
  <c r="G56" i="7"/>
  <c r="E56" i="7"/>
  <c r="G59" i="3"/>
  <c r="G64" i="4" s="1"/>
  <c r="S60" i="3"/>
  <c r="T60" i="3" s="1"/>
  <c r="U60" i="3"/>
  <c r="V60" i="3" s="1"/>
  <c r="E59" i="3"/>
  <c r="D64" i="4" s="1"/>
  <c r="A62" i="3"/>
  <c r="F60" i="3"/>
  <c r="F65" i="4" s="1"/>
  <c r="H58" i="3"/>
  <c r="E63" i="4" s="1"/>
  <c r="A67" i="4" l="1"/>
  <c r="N63" i="3"/>
  <c r="J68" i="4" s="1"/>
  <c r="W60" i="3"/>
  <c r="D61" i="3"/>
  <c r="C66" i="4" s="1"/>
  <c r="B66" i="4"/>
  <c r="Q63" i="3"/>
  <c r="P68" i="4" s="1"/>
  <c r="P63" i="3"/>
  <c r="O68" i="4" s="1"/>
  <c r="R58" i="3"/>
  <c r="L63" i="3"/>
  <c r="N68" i="4" s="1"/>
  <c r="J63" i="3"/>
  <c r="L68" i="4" s="1"/>
  <c r="I63" i="3"/>
  <c r="K68" i="4" s="1"/>
  <c r="M63" i="3"/>
  <c r="H68" i="4" s="1"/>
  <c r="B62" i="3"/>
  <c r="C62" i="3" s="1"/>
  <c r="H56" i="7"/>
  <c r="Q58" i="7"/>
  <c r="G57" i="7"/>
  <c r="E57" i="7"/>
  <c r="I60" i="7"/>
  <c r="F58" i="7"/>
  <c r="A60" i="7"/>
  <c r="L61" i="7" s="1"/>
  <c r="D59" i="7"/>
  <c r="K60" i="7"/>
  <c r="H59" i="3"/>
  <c r="E64" i="4" s="1"/>
  <c r="G60" i="3"/>
  <c r="A63" i="3"/>
  <c r="F61" i="3"/>
  <c r="F66" i="4" s="1"/>
  <c r="E60" i="3"/>
  <c r="D65" i="4" s="1"/>
  <c r="U61" i="3"/>
  <c r="V61" i="3" s="1"/>
  <c r="S61" i="3"/>
  <c r="T61" i="3" s="1"/>
  <c r="A68" i="4" l="1"/>
  <c r="N64" i="3"/>
  <c r="J69" i="4" s="1"/>
  <c r="W61" i="3"/>
  <c r="D62" i="3"/>
  <c r="C67" i="4" s="1"/>
  <c r="B67" i="4"/>
  <c r="H60" i="3"/>
  <c r="E65" i="4" s="1"/>
  <c r="G65" i="4"/>
  <c r="Q64" i="3"/>
  <c r="P69" i="4" s="1"/>
  <c r="P64" i="3"/>
  <c r="O69" i="4" s="1"/>
  <c r="R59" i="3"/>
  <c r="L64" i="3"/>
  <c r="N69" i="4" s="1"/>
  <c r="J64" i="3"/>
  <c r="L69" i="4" s="1"/>
  <c r="I64" i="3"/>
  <c r="K69" i="4" s="1"/>
  <c r="M64" i="3"/>
  <c r="H69" i="4" s="1"/>
  <c r="B63" i="3"/>
  <c r="C63" i="3" s="1"/>
  <c r="H57" i="7"/>
  <c r="Q59" i="7"/>
  <c r="I61" i="7"/>
  <c r="D60" i="7"/>
  <c r="A61" i="7"/>
  <c r="L62" i="7" s="1"/>
  <c r="K61" i="7"/>
  <c r="F59" i="7"/>
  <c r="G58" i="7"/>
  <c r="E58" i="7"/>
  <c r="G61" i="3"/>
  <c r="G66" i="4" s="1"/>
  <c r="E61" i="3"/>
  <c r="D66" i="4" s="1"/>
  <c r="S62" i="3"/>
  <c r="T62" i="3" s="1"/>
  <c r="U62" i="3"/>
  <c r="V62" i="3" s="1"/>
  <c r="A64" i="3"/>
  <c r="F62" i="3"/>
  <c r="F67" i="4" s="1"/>
  <c r="A69" i="4" l="1"/>
  <c r="N65" i="3"/>
  <c r="J70" i="4" s="1"/>
  <c r="R60" i="3"/>
  <c r="W62" i="3"/>
  <c r="D63" i="3"/>
  <c r="C68" i="4" s="1"/>
  <c r="B68" i="4"/>
  <c r="Q65" i="3"/>
  <c r="P70" i="4" s="1"/>
  <c r="P65" i="3"/>
  <c r="O70" i="4" s="1"/>
  <c r="L65" i="3"/>
  <c r="N70" i="4" s="1"/>
  <c r="J65" i="3"/>
  <c r="L70" i="4" s="1"/>
  <c r="I65" i="3"/>
  <c r="K70" i="4" s="1"/>
  <c r="M65" i="3"/>
  <c r="H70" i="4" s="1"/>
  <c r="B64" i="3"/>
  <c r="C64" i="3" s="1"/>
  <c r="H58" i="7"/>
  <c r="Q60" i="7"/>
  <c r="G59" i="7"/>
  <c r="E59" i="7"/>
  <c r="K62" i="7"/>
  <c r="F60" i="7"/>
  <c r="A62" i="7"/>
  <c r="L63" i="7" s="1"/>
  <c r="D61" i="7"/>
  <c r="I62" i="7"/>
  <c r="G62" i="3"/>
  <c r="H61" i="3"/>
  <c r="E66" i="4" s="1"/>
  <c r="S63" i="3"/>
  <c r="T63" i="3" s="1"/>
  <c r="U63" i="3"/>
  <c r="V63" i="3" s="1"/>
  <c r="A65" i="3"/>
  <c r="F63" i="3"/>
  <c r="F68" i="4" s="1"/>
  <c r="E62" i="3"/>
  <c r="D67" i="4" s="1"/>
  <c r="A70" i="4" l="1"/>
  <c r="N66" i="3"/>
  <c r="J71" i="4" s="1"/>
  <c r="W63" i="3"/>
  <c r="H62" i="3"/>
  <c r="E67" i="4" s="1"/>
  <c r="G67" i="4"/>
  <c r="D64" i="3"/>
  <c r="C69" i="4" s="1"/>
  <c r="B69" i="4"/>
  <c r="Q66" i="3"/>
  <c r="P71" i="4" s="1"/>
  <c r="P66" i="3"/>
  <c r="O71" i="4" s="1"/>
  <c r="R61" i="3"/>
  <c r="L66" i="3"/>
  <c r="N71" i="4" s="1"/>
  <c r="J66" i="3"/>
  <c r="L71" i="4" s="1"/>
  <c r="I66" i="3"/>
  <c r="K71" i="4" s="1"/>
  <c r="M66" i="3"/>
  <c r="H71" i="4" s="1"/>
  <c r="B65" i="3"/>
  <c r="C65" i="3" s="1"/>
  <c r="H59" i="7"/>
  <c r="Q61" i="7"/>
  <c r="G60" i="7"/>
  <c r="E60" i="7"/>
  <c r="I63" i="7"/>
  <c r="D62" i="7"/>
  <c r="A63" i="7"/>
  <c r="L64" i="7" s="1"/>
  <c r="K63" i="7"/>
  <c r="F61" i="7"/>
  <c r="A66" i="3"/>
  <c r="F64" i="3"/>
  <c r="F69" i="4" s="1"/>
  <c r="G63" i="3"/>
  <c r="G68" i="4" s="1"/>
  <c r="E63" i="3"/>
  <c r="D68" i="4" s="1"/>
  <c r="S64" i="3"/>
  <c r="T64" i="3" s="1"/>
  <c r="U64" i="3"/>
  <c r="V64" i="3" s="1"/>
  <c r="W64" i="3" l="1"/>
  <c r="A71" i="4"/>
  <c r="N67" i="3"/>
  <c r="J72" i="4" s="1"/>
  <c r="R62" i="3"/>
  <c r="D65" i="3"/>
  <c r="C70" i="4" s="1"/>
  <c r="B70" i="4"/>
  <c r="Q67" i="3"/>
  <c r="P72" i="4" s="1"/>
  <c r="P67" i="3"/>
  <c r="O72" i="4" s="1"/>
  <c r="L67" i="3"/>
  <c r="N72" i="4" s="1"/>
  <c r="J67" i="3"/>
  <c r="L72" i="4" s="1"/>
  <c r="I67" i="3"/>
  <c r="K72" i="4" s="1"/>
  <c r="M67" i="3"/>
  <c r="H72" i="4" s="1"/>
  <c r="B66" i="3"/>
  <c r="C66" i="3" s="1"/>
  <c r="H60" i="7"/>
  <c r="Q62" i="7"/>
  <c r="I64" i="7"/>
  <c r="K64" i="7"/>
  <c r="D63" i="7"/>
  <c r="A64" i="7"/>
  <c r="L65" i="7" s="1"/>
  <c r="F62" i="7"/>
  <c r="G61" i="7"/>
  <c r="E61" i="7"/>
  <c r="G64" i="3"/>
  <c r="G69" i="4" s="1"/>
  <c r="H63" i="3"/>
  <c r="E68" i="4" s="1"/>
  <c r="S65" i="3"/>
  <c r="T65" i="3" s="1"/>
  <c r="U65" i="3"/>
  <c r="V65" i="3" s="1"/>
  <c r="E64" i="3"/>
  <c r="D69" i="4" s="1"/>
  <c r="A67" i="3"/>
  <c r="F65" i="3"/>
  <c r="F70" i="4" s="1"/>
  <c r="A72" i="4" l="1"/>
  <c r="N68" i="3"/>
  <c r="J73" i="4" s="1"/>
  <c r="W65" i="3"/>
  <c r="D66" i="3"/>
  <c r="C71" i="4" s="1"/>
  <c r="B71" i="4"/>
  <c r="Q68" i="3"/>
  <c r="P73" i="4" s="1"/>
  <c r="P68" i="3"/>
  <c r="O73" i="4" s="1"/>
  <c r="R63" i="3"/>
  <c r="L68" i="3"/>
  <c r="N73" i="4" s="1"/>
  <c r="J68" i="3"/>
  <c r="L73" i="4" s="1"/>
  <c r="I68" i="3"/>
  <c r="K73" i="4" s="1"/>
  <c r="M68" i="3"/>
  <c r="H73" i="4" s="1"/>
  <c r="B67" i="3"/>
  <c r="C67" i="3" s="1"/>
  <c r="H61" i="7"/>
  <c r="Q63" i="7"/>
  <c r="G62" i="7"/>
  <c r="E62" i="7"/>
  <c r="D64" i="7"/>
  <c r="A65" i="7"/>
  <c r="L66" i="7" s="1"/>
  <c r="K65" i="7"/>
  <c r="F63" i="7"/>
  <c r="I65" i="7"/>
  <c r="H64" i="3"/>
  <c r="E69" i="4" s="1"/>
  <c r="S66" i="3"/>
  <c r="T66" i="3" s="1"/>
  <c r="U66" i="3"/>
  <c r="V66" i="3" s="1"/>
  <c r="A68" i="3"/>
  <c r="F66" i="3"/>
  <c r="F71" i="4" s="1"/>
  <c r="E65" i="3"/>
  <c r="D70" i="4" s="1"/>
  <c r="G65" i="3"/>
  <c r="G70" i="4" s="1"/>
  <c r="A73" i="4" l="1"/>
  <c r="N69" i="3"/>
  <c r="J74" i="4" s="1"/>
  <c r="W66" i="3"/>
  <c r="G66" i="3" s="1"/>
  <c r="G71" i="4" s="1"/>
  <c r="D67" i="3"/>
  <c r="C72" i="4" s="1"/>
  <c r="B72" i="4"/>
  <c r="Q69" i="3"/>
  <c r="P74" i="4" s="1"/>
  <c r="P69" i="3"/>
  <c r="O74" i="4" s="1"/>
  <c r="R64" i="3"/>
  <c r="L69" i="3"/>
  <c r="N74" i="4" s="1"/>
  <c r="J69" i="3"/>
  <c r="L74" i="4" s="1"/>
  <c r="I69" i="3"/>
  <c r="K74" i="4" s="1"/>
  <c r="M69" i="3"/>
  <c r="H74" i="4" s="1"/>
  <c r="B68" i="3"/>
  <c r="C68" i="3" s="1"/>
  <c r="H62" i="7"/>
  <c r="Q64" i="7"/>
  <c r="I66" i="7"/>
  <c r="K66" i="7"/>
  <c r="D65" i="7"/>
  <c r="A66" i="7"/>
  <c r="L67" i="7" s="1"/>
  <c r="F64" i="7"/>
  <c r="G63" i="7"/>
  <c r="E63" i="7"/>
  <c r="E66" i="3"/>
  <c r="D71" i="4" s="1"/>
  <c r="H65" i="3"/>
  <c r="E70" i="4" s="1"/>
  <c r="S67" i="3"/>
  <c r="U67" i="3"/>
  <c r="V67" i="3" s="1"/>
  <c r="A69" i="3"/>
  <c r="F67" i="3"/>
  <c r="F72" i="4" s="1"/>
  <c r="A74" i="4" l="1"/>
  <c r="N70" i="3"/>
  <c r="J75" i="4" s="1"/>
  <c r="W67" i="3"/>
  <c r="D68" i="3"/>
  <c r="C73" i="4" s="1"/>
  <c r="B73" i="4"/>
  <c r="Q70" i="3"/>
  <c r="P75" i="4" s="1"/>
  <c r="P70" i="3"/>
  <c r="O75" i="4" s="1"/>
  <c r="R65" i="3"/>
  <c r="L70" i="3"/>
  <c r="N75" i="4" s="1"/>
  <c r="J70" i="3"/>
  <c r="L75" i="4" s="1"/>
  <c r="I70" i="3"/>
  <c r="K75" i="4" s="1"/>
  <c r="M70" i="3"/>
  <c r="H75" i="4" s="1"/>
  <c r="B69" i="3"/>
  <c r="C69" i="3" s="1"/>
  <c r="T67" i="3"/>
  <c r="H63" i="7"/>
  <c r="Q65" i="7"/>
  <c r="G64" i="7"/>
  <c r="E64" i="7"/>
  <c r="D66" i="7"/>
  <c r="A67" i="7"/>
  <c r="L68" i="7" s="1"/>
  <c r="K67" i="7"/>
  <c r="F65" i="7"/>
  <c r="I67" i="7"/>
  <c r="A70" i="3"/>
  <c r="F68" i="3"/>
  <c r="F73" i="4" s="1"/>
  <c r="H66" i="3"/>
  <c r="E71" i="4" s="1"/>
  <c r="U68" i="3"/>
  <c r="V68" i="3" s="1"/>
  <c r="S68" i="3"/>
  <c r="T68" i="3" s="1"/>
  <c r="E67" i="3"/>
  <c r="D72" i="4" s="1"/>
  <c r="A75" i="4" l="1"/>
  <c r="N71" i="3"/>
  <c r="J76" i="4" s="1"/>
  <c r="G67" i="3"/>
  <c r="G72" i="4" s="1"/>
  <c r="W68" i="3"/>
  <c r="D69" i="3"/>
  <c r="C74" i="4" s="1"/>
  <c r="B74" i="4"/>
  <c r="Q71" i="3"/>
  <c r="P76" i="4" s="1"/>
  <c r="P71" i="3"/>
  <c r="O76" i="4" s="1"/>
  <c r="R66" i="3"/>
  <c r="L71" i="3"/>
  <c r="N76" i="4" s="1"/>
  <c r="J71" i="3"/>
  <c r="L76" i="4" s="1"/>
  <c r="I71" i="3"/>
  <c r="K76" i="4" s="1"/>
  <c r="M71" i="3"/>
  <c r="H76" i="4" s="1"/>
  <c r="B70" i="3"/>
  <c r="C70" i="3" s="1"/>
  <c r="H67" i="3"/>
  <c r="E72" i="4" s="1"/>
  <c r="H64" i="7"/>
  <c r="Q66" i="7"/>
  <c r="I68" i="7"/>
  <c r="K68" i="7"/>
  <c r="F66" i="7"/>
  <c r="D67" i="7"/>
  <c r="A68" i="7"/>
  <c r="L69" i="7" s="1"/>
  <c r="G65" i="7"/>
  <c r="E65" i="7"/>
  <c r="E68" i="3"/>
  <c r="D73" i="4" s="1"/>
  <c r="G68" i="3"/>
  <c r="G73" i="4" s="1"/>
  <c r="S69" i="3"/>
  <c r="T69" i="3" s="1"/>
  <c r="U69" i="3"/>
  <c r="V69" i="3" s="1"/>
  <c r="A71" i="3"/>
  <c r="F69" i="3"/>
  <c r="F74" i="4" s="1"/>
  <c r="A76" i="4" l="1"/>
  <c r="N72" i="3"/>
  <c r="J77" i="4" s="1"/>
  <c r="W69" i="3"/>
  <c r="D70" i="3"/>
  <c r="C75" i="4" s="1"/>
  <c r="B75" i="4"/>
  <c r="Q72" i="3"/>
  <c r="P77" i="4" s="1"/>
  <c r="P72" i="3"/>
  <c r="O77" i="4" s="1"/>
  <c r="R67" i="3"/>
  <c r="L72" i="3"/>
  <c r="N77" i="4" s="1"/>
  <c r="J72" i="3"/>
  <c r="L77" i="4" s="1"/>
  <c r="I72" i="3"/>
  <c r="K77" i="4" s="1"/>
  <c r="M72" i="3"/>
  <c r="H77" i="4" s="1"/>
  <c r="B71" i="3"/>
  <c r="C71" i="3" s="1"/>
  <c r="H65" i="7"/>
  <c r="Q67" i="7"/>
  <c r="E66" i="7"/>
  <c r="G66" i="7"/>
  <c r="D68" i="7"/>
  <c r="A69" i="7"/>
  <c r="L70" i="7" s="1"/>
  <c r="I69" i="7"/>
  <c r="K69" i="7"/>
  <c r="F67" i="7"/>
  <c r="G69" i="3"/>
  <c r="E69" i="3"/>
  <c r="D74" i="4" s="1"/>
  <c r="U70" i="3"/>
  <c r="V70" i="3" s="1"/>
  <c r="S70" i="3"/>
  <c r="A72" i="3"/>
  <c r="F70" i="3"/>
  <c r="F75" i="4" s="1"/>
  <c r="H68" i="3"/>
  <c r="E73" i="4" s="1"/>
  <c r="A77" i="4" l="1"/>
  <c r="N73" i="3"/>
  <c r="J78" i="4" s="1"/>
  <c r="W70" i="3"/>
  <c r="D71" i="3"/>
  <c r="C76" i="4" s="1"/>
  <c r="B76" i="4"/>
  <c r="H69" i="3"/>
  <c r="E74" i="4" s="1"/>
  <c r="G74" i="4"/>
  <c r="K73" i="3"/>
  <c r="Q73" i="3"/>
  <c r="P78" i="4" s="1"/>
  <c r="P73" i="3"/>
  <c r="O78" i="4" s="1"/>
  <c r="R68" i="3"/>
  <c r="L73" i="3"/>
  <c r="N78" i="4" s="1"/>
  <c r="J73" i="3"/>
  <c r="L78" i="4" s="1"/>
  <c r="I73" i="3"/>
  <c r="K78" i="4" s="1"/>
  <c r="M73" i="3"/>
  <c r="H78" i="4" s="1"/>
  <c r="B72" i="3"/>
  <c r="C72" i="3" s="1"/>
  <c r="T70" i="3"/>
  <c r="G70" i="3" s="1"/>
  <c r="G75" i="4" s="1"/>
  <c r="H66" i="7"/>
  <c r="Q68" i="7"/>
  <c r="I70" i="7"/>
  <c r="K70" i="7"/>
  <c r="F68" i="7"/>
  <c r="A70" i="7"/>
  <c r="L71" i="7" s="1"/>
  <c r="D69" i="7"/>
  <c r="G67" i="7"/>
  <c r="E67" i="7"/>
  <c r="A73" i="3"/>
  <c r="F71" i="3"/>
  <c r="F76" i="4" s="1"/>
  <c r="U71" i="3"/>
  <c r="V71" i="3" s="1"/>
  <c r="S71" i="3"/>
  <c r="T71" i="3" s="1"/>
  <c r="E70" i="3"/>
  <c r="D75" i="4" s="1"/>
  <c r="A78" i="4" l="1"/>
  <c r="N74" i="3"/>
  <c r="J79" i="4" s="1"/>
  <c r="W71" i="3"/>
  <c r="G71" i="3" s="1"/>
  <c r="G76" i="4" s="1"/>
  <c r="Y6" i="3"/>
  <c r="Z6" i="3" s="1"/>
  <c r="M78" i="4"/>
  <c r="D72" i="3"/>
  <c r="C77" i="4" s="1"/>
  <c r="B77" i="4"/>
  <c r="R69" i="3"/>
  <c r="Q74" i="3"/>
  <c r="P79" i="4" s="1"/>
  <c r="P74" i="3"/>
  <c r="O79" i="4" s="1"/>
  <c r="L74" i="3"/>
  <c r="N79" i="4" s="1"/>
  <c r="J74" i="3"/>
  <c r="L79" i="4" s="1"/>
  <c r="I74" i="3"/>
  <c r="K79" i="4" s="1"/>
  <c r="M74" i="3"/>
  <c r="H79" i="4" s="1"/>
  <c r="B73" i="3"/>
  <c r="C73" i="3" s="1"/>
  <c r="H70" i="3"/>
  <c r="E75" i="4" s="1"/>
  <c r="H67" i="7"/>
  <c r="Q69" i="7"/>
  <c r="G68" i="7"/>
  <c r="E68" i="7"/>
  <c r="D70" i="7"/>
  <c r="I71" i="7"/>
  <c r="A71" i="7"/>
  <c r="L72" i="7" s="1"/>
  <c r="K71" i="7"/>
  <c r="F69" i="7"/>
  <c r="E71" i="3"/>
  <c r="D76" i="4" s="1"/>
  <c r="S72" i="3"/>
  <c r="T72" i="3" s="1"/>
  <c r="U72" i="3"/>
  <c r="V72" i="3" s="1"/>
  <c r="A74" i="3"/>
  <c r="F72" i="3"/>
  <c r="F77" i="4" s="1"/>
  <c r="W72" i="3" l="1"/>
  <c r="A79" i="4"/>
  <c r="N75" i="3"/>
  <c r="J80" i="4" s="1"/>
  <c r="D73" i="3"/>
  <c r="C78" i="4" s="1"/>
  <c r="B78" i="4"/>
  <c r="Q75" i="3"/>
  <c r="P80" i="4" s="1"/>
  <c r="P75" i="3"/>
  <c r="O80" i="4" s="1"/>
  <c r="R70" i="3"/>
  <c r="L75" i="3"/>
  <c r="N80" i="4" s="1"/>
  <c r="J75" i="3"/>
  <c r="L80" i="4" s="1"/>
  <c r="I75" i="3"/>
  <c r="K80" i="4" s="1"/>
  <c r="M75" i="3"/>
  <c r="H80" i="4" s="1"/>
  <c r="B74" i="3"/>
  <c r="C74" i="3" s="1"/>
  <c r="H68" i="7"/>
  <c r="Q70" i="7"/>
  <c r="D71" i="7"/>
  <c r="A72" i="7"/>
  <c r="L73" i="7" s="1"/>
  <c r="K72" i="7"/>
  <c r="F70" i="7"/>
  <c r="I72" i="7"/>
  <c r="G69" i="7"/>
  <c r="E69" i="7"/>
  <c r="G72" i="3"/>
  <c r="G77" i="4" s="1"/>
  <c r="E72" i="3"/>
  <c r="D77" i="4" s="1"/>
  <c r="U73" i="3"/>
  <c r="V73" i="3" s="1"/>
  <c r="S73" i="3"/>
  <c r="T73" i="3" s="1"/>
  <c r="A75" i="3"/>
  <c r="F73" i="3"/>
  <c r="F78" i="4" s="1"/>
  <c r="H71" i="3"/>
  <c r="E76" i="4" s="1"/>
  <c r="A80" i="4" l="1"/>
  <c r="N76" i="3"/>
  <c r="J81" i="4" s="1"/>
  <c r="W73" i="3"/>
  <c r="D74" i="3"/>
  <c r="C79" i="4" s="1"/>
  <c r="B79" i="4"/>
  <c r="Q76" i="3"/>
  <c r="P81" i="4" s="1"/>
  <c r="P76" i="3"/>
  <c r="O81" i="4" s="1"/>
  <c r="R71" i="3"/>
  <c r="L76" i="3"/>
  <c r="N81" i="4" s="1"/>
  <c r="J76" i="3"/>
  <c r="L81" i="4" s="1"/>
  <c r="I76" i="3"/>
  <c r="K81" i="4" s="1"/>
  <c r="M76" i="3"/>
  <c r="H81" i="4" s="1"/>
  <c r="B75" i="3"/>
  <c r="C75" i="3" s="1"/>
  <c r="H69" i="7"/>
  <c r="Q71" i="7"/>
  <c r="E70" i="7"/>
  <c r="G70" i="7"/>
  <c r="A73" i="7"/>
  <c r="L74" i="7" s="1"/>
  <c r="D72" i="7"/>
  <c r="I73" i="7"/>
  <c r="K73" i="7"/>
  <c r="F71" i="7"/>
  <c r="H72" i="3"/>
  <c r="E77" i="4" s="1"/>
  <c r="G73" i="3"/>
  <c r="G78" i="4" s="1"/>
  <c r="E73" i="3"/>
  <c r="D78" i="4" s="1"/>
  <c r="S74" i="3"/>
  <c r="T74" i="3" s="1"/>
  <c r="U74" i="3"/>
  <c r="V74" i="3" s="1"/>
  <c r="A76" i="3"/>
  <c r="F74" i="3"/>
  <c r="F79" i="4" s="1"/>
  <c r="A81" i="4" l="1"/>
  <c r="N77" i="3"/>
  <c r="J82" i="4" s="1"/>
  <c r="W74" i="3"/>
  <c r="D75" i="3"/>
  <c r="C80" i="4" s="1"/>
  <c r="B80" i="4"/>
  <c r="Q77" i="3"/>
  <c r="P82" i="4" s="1"/>
  <c r="P77" i="3"/>
  <c r="O82" i="4" s="1"/>
  <c r="R72" i="3"/>
  <c r="L77" i="3"/>
  <c r="N82" i="4" s="1"/>
  <c r="J77" i="3"/>
  <c r="L82" i="4" s="1"/>
  <c r="I77" i="3"/>
  <c r="K82" i="4" s="1"/>
  <c r="M77" i="3"/>
  <c r="H82" i="4" s="1"/>
  <c r="B76" i="3"/>
  <c r="C76" i="3" s="1"/>
  <c r="H70" i="7"/>
  <c r="Q72" i="7"/>
  <c r="G71" i="7"/>
  <c r="E71" i="7"/>
  <c r="A74" i="7"/>
  <c r="L75" i="7" s="1"/>
  <c r="D73" i="7"/>
  <c r="K74" i="7"/>
  <c r="F72" i="7"/>
  <c r="I74" i="7"/>
  <c r="H73" i="3"/>
  <c r="E78" i="4" s="1"/>
  <c r="G74" i="3"/>
  <c r="G79" i="4" s="1"/>
  <c r="S75" i="3"/>
  <c r="T75" i="3" s="1"/>
  <c r="U75" i="3"/>
  <c r="V75" i="3" s="1"/>
  <c r="A77" i="3"/>
  <c r="F75" i="3"/>
  <c r="F80" i="4" s="1"/>
  <c r="E74" i="3"/>
  <c r="D79" i="4" s="1"/>
  <c r="W75" i="3" l="1"/>
  <c r="A82" i="4"/>
  <c r="N78" i="3"/>
  <c r="J83" i="4" s="1"/>
  <c r="D76" i="3"/>
  <c r="C81" i="4" s="1"/>
  <c r="B81" i="4"/>
  <c r="Q78" i="3"/>
  <c r="P83" i="4" s="1"/>
  <c r="P78" i="3"/>
  <c r="O83" i="4" s="1"/>
  <c r="R73" i="3"/>
  <c r="L78" i="3"/>
  <c r="N83" i="4" s="1"/>
  <c r="J78" i="3"/>
  <c r="L83" i="4" s="1"/>
  <c r="I78" i="3"/>
  <c r="K83" i="4" s="1"/>
  <c r="M78" i="3"/>
  <c r="H83" i="4" s="1"/>
  <c r="B77" i="3"/>
  <c r="C77" i="3" s="1"/>
  <c r="H71" i="7"/>
  <c r="Q73" i="7"/>
  <c r="K75" i="7"/>
  <c r="F73" i="7"/>
  <c r="A75" i="7"/>
  <c r="L76" i="7" s="1"/>
  <c r="D74" i="7"/>
  <c r="I75" i="7"/>
  <c r="G72" i="7"/>
  <c r="E72" i="7"/>
  <c r="H74" i="3"/>
  <c r="E79" i="4" s="1"/>
  <c r="E75" i="3"/>
  <c r="D80" i="4" s="1"/>
  <c r="G75" i="3"/>
  <c r="G80" i="4" s="1"/>
  <c r="S76" i="3"/>
  <c r="U76" i="3"/>
  <c r="V76" i="3" s="1"/>
  <c r="A78" i="3"/>
  <c r="F76" i="3"/>
  <c r="F81" i="4" s="1"/>
  <c r="A83" i="4" l="1"/>
  <c r="N79" i="3"/>
  <c r="J84" i="4" s="1"/>
  <c r="W76" i="3"/>
  <c r="D77" i="3"/>
  <c r="C82" i="4" s="1"/>
  <c r="B82" i="4"/>
  <c r="Q79" i="3"/>
  <c r="P84" i="4" s="1"/>
  <c r="P79" i="3"/>
  <c r="O84" i="4" s="1"/>
  <c r="R74" i="3"/>
  <c r="L79" i="3"/>
  <c r="N84" i="4" s="1"/>
  <c r="J79" i="3"/>
  <c r="L84" i="4" s="1"/>
  <c r="I79" i="3"/>
  <c r="K84" i="4" s="1"/>
  <c r="M79" i="3"/>
  <c r="H84" i="4" s="1"/>
  <c r="B78" i="3"/>
  <c r="C78" i="3" s="1"/>
  <c r="T76" i="3"/>
  <c r="G76" i="3" s="1"/>
  <c r="H72" i="7"/>
  <c r="Q74" i="7"/>
  <c r="E73" i="7"/>
  <c r="G73" i="7"/>
  <c r="K76" i="7"/>
  <c r="F74" i="7"/>
  <c r="I76" i="7"/>
  <c r="D75" i="7"/>
  <c r="A76" i="7"/>
  <c r="L77" i="7" s="1"/>
  <c r="S77" i="3"/>
  <c r="T77" i="3" s="1"/>
  <c r="U77" i="3"/>
  <c r="V77" i="3" s="1"/>
  <c r="A79" i="3"/>
  <c r="F77" i="3"/>
  <c r="F82" i="4" s="1"/>
  <c r="H75" i="3"/>
  <c r="E80" i="4" s="1"/>
  <c r="E76" i="3"/>
  <c r="D81" i="4" s="1"/>
  <c r="A84" i="4" l="1"/>
  <c r="N80" i="3"/>
  <c r="J85" i="4" s="1"/>
  <c r="W77" i="3"/>
  <c r="D78" i="3"/>
  <c r="C83" i="4" s="1"/>
  <c r="B83" i="4"/>
  <c r="H76" i="3"/>
  <c r="E81" i="4" s="1"/>
  <c r="G81" i="4"/>
  <c r="Q80" i="3"/>
  <c r="P85" i="4" s="1"/>
  <c r="P80" i="3"/>
  <c r="O85" i="4" s="1"/>
  <c r="R75" i="3"/>
  <c r="L80" i="3"/>
  <c r="N85" i="4" s="1"/>
  <c r="J80" i="3"/>
  <c r="L85" i="4" s="1"/>
  <c r="I80" i="3"/>
  <c r="K85" i="4" s="1"/>
  <c r="M80" i="3"/>
  <c r="H85" i="4" s="1"/>
  <c r="B79" i="3"/>
  <c r="C79" i="3" s="1"/>
  <c r="H73" i="7"/>
  <c r="Q75" i="7"/>
  <c r="G74" i="7"/>
  <c r="E74" i="7"/>
  <c r="A77" i="7"/>
  <c r="L78" i="7" s="1"/>
  <c r="D76" i="7"/>
  <c r="I77" i="7"/>
  <c r="K77" i="7"/>
  <c r="F75" i="7"/>
  <c r="E77" i="3"/>
  <c r="D82" i="4" s="1"/>
  <c r="A80" i="3"/>
  <c r="F78" i="3"/>
  <c r="F83" i="4" s="1"/>
  <c r="S78" i="3"/>
  <c r="T78" i="3" s="1"/>
  <c r="U78" i="3"/>
  <c r="V78" i="3" s="1"/>
  <c r="W78" i="3" s="1"/>
  <c r="G77" i="3"/>
  <c r="G82" i="4" s="1"/>
  <c r="A85" i="4" l="1"/>
  <c r="N81" i="3"/>
  <c r="J86" i="4" s="1"/>
  <c r="R76" i="3"/>
  <c r="D79" i="3"/>
  <c r="C84" i="4" s="1"/>
  <c r="B84" i="4"/>
  <c r="Q81" i="3"/>
  <c r="P86" i="4" s="1"/>
  <c r="P81" i="3"/>
  <c r="O86" i="4" s="1"/>
  <c r="L81" i="3"/>
  <c r="N86" i="4" s="1"/>
  <c r="J81" i="3"/>
  <c r="L86" i="4" s="1"/>
  <c r="I81" i="3"/>
  <c r="K86" i="4" s="1"/>
  <c r="M81" i="3"/>
  <c r="H86" i="4" s="1"/>
  <c r="B80" i="3"/>
  <c r="C80" i="3" s="1"/>
  <c r="H74" i="7"/>
  <c r="Q76" i="7"/>
  <c r="K78" i="7"/>
  <c r="F76" i="7"/>
  <c r="I78" i="7"/>
  <c r="A78" i="7"/>
  <c r="D77" i="7"/>
  <c r="G75" i="7"/>
  <c r="E75" i="7"/>
  <c r="G78" i="3"/>
  <c r="G83" i="4" s="1"/>
  <c r="S79" i="3"/>
  <c r="T79" i="3" s="1"/>
  <c r="U79" i="3"/>
  <c r="V79" i="3" s="1"/>
  <c r="W79" i="3" s="1"/>
  <c r="E78" i="3"/>
  <c r="D83" i="4" s="1"/>
  <c r="H77" i="3"/>
  <c r="E82" i="4" s="1"/>
  <c r="A81" i="3"/>
  <c r="F79" i="3"/>
  <c r="F84" i="4" s="1"/>
  <c r="A86" i="4" l="1"/>
  <c r="N82" i="3"/>
  <c r="J87" i="4" s="1"/>
  <c r="D80" i="3"/>
  <c r="C85" i="4" s="1"/>
  <c r="B85" i="4"/>
  <c r="Q82" i="3"/>
  <c r="P87" i="4" s="1"/>
  <c r="P82" i="3"/>
  <c r="O87" i="4" s="1"/>
  <c r="R77" i="3"/>
  <c r="L82" i="3"/>
  <c r="N87" i="4" s="1"/>
  <c r="J82" i="3"/>
  <c r="L87" i="4" s="1"/>
  <c r="I82" i="3"/>
  <c r="K87" i="4" s="1"/>
  <c r="M82" i="3"/>
  <c r="H87" i="4" s="1"/>
  <c r="B81" i="3"/>
  <c r="C81" i="3" s="1"/>
  <c r="H78" i="3"/>
  <c r="E83" i="4" s="1"/>
  <c r="H75" i="7"/>
  <c r="Q77" i="7"/>
  <c r="G76" i="7"/>
  <c r="E76" i="7"/>
  <c r="A79" i="7"/>
  <c r="I79" i="7"/>
  <c r="F77" i="7"/>
  <c r="D78" i="7"/>
  <c r="A82" i="3"/>
  <c r="F80" i="3"/>
  <c r="F85" i="4" s="1"/>
  <c r="E79" i="3"/>
  <c r="D84" i="4" s="1"/>
  <c r="G79" i="3"/>
  <c r="G84" i="4" s="1"/>
  <c r="S80" i="3"/>
  <c r="T80" i="3" s="1"/>
  <c r="U80" i="3"/>
  <c r="V80" i="3" s="1"/>
  <c r="W80" i="3" s="1"/>
  <c r="A87" i="4" l="1"/>
  <c r="N83" i="3"/>
  <c r="J88" i="4" s="1"/>
  <c r="D81" i="3"/>
  <c r="C86" i="4" s="1"/>
  <c r="B86" i="4"/>
  <c r="Q83" i="3"/>
  <c r="P88" i="4" s="1"/>
  <c r="P83" i="3"/>
  <c r="O88" i="4" s="1"/>
  <c r="R78" i="3"/>
  <c r="L83" i="3"/>
  <c r="N88" i="4" s="1"/>
  <c r="J83" i="3"/>
  <c r="L88" i="4" s="1"/>
  <c r="I83" i="3"/>
  <c r="K88" i="4" s="1"/>
  <c r="M83" i="3"/>
  <c r="H88" i="4" s="1"/>
  <c r="B82" i="3"/>
  <c r="C82" i="3" s="1"/>
  <c r="H76" i="7"/>
  <c r="Q78" i="7"/>
  <c r="D79" i="7"/>
  <c r="L80" i="7"/>
  <c r="K80" i="7"/>
  <c r="A80" i="7"/>
  <c r="F78" i="7"/>
  <c r="I80" i="7"/>
  <c r="G77" i="7"/>
  <c r="E77" i="7"/>
  <c r="G80" i="3"/>
  <c r="G85" i="4" s="1"/>
  <c r="H79" i="3"/>
  <c r="E84" i="4" s="1"/>
  <c r="S81" i="3"/>
  <c r="T81" i="3" s="1"/>
  <c r="U81" i="3"/>
  <c r="V81" i="3" s="1"/>
  <c r="A83" i="3"/>
  <c r="F81" i="3"/>
  <c r="F86" i="4" s="1"/>
  <c r="E80" i="3"/>
  <c r="D85" i="4" s="1"/>
  <c r="A88" i="4" l="1"/>
  <c r="N84" i="3"/>
  <c r="J89" i="4" s="1"/>
  <c r="W81" i="3"/>
  <c r="D82" i="3"/>
  <c r="C87" i="4" s="1"/>
  <c r="B87" i="4"/>
  <c r="Q84" i="3"/>
  <c r="P89" i="4" s="1"/>
  <c r="P84" i="3"/>
  <c r="O89" i="4" s="1"/>
  <c r="R79" i="3"/>
  <c r="L84" i="3"/>
  <c r="N89" i="4" s="1"/>
  <c r="J84" i="3"/>
  <c r="L89" i="4" s="1"/>
  <c r="I84" i="3"/>
  <c r="K89" i="4" s="1"/>
  <c r="M84" i="3"/>
  <c r="H89" i="4" s="1"/>
  <c r="B83" i="3"/>
  <c r="C83" i="3" s="1"/>
  <c r="H77" i="7"/>
  <c r="Q79" i="7"/>
  <c r="K81" i="7"/>
  <c r="I81" i="7"/>
  <c r="D80" i="7"/>
  <c r="A81" i="7"/>
  <c r="F79" i="7"/>
  <c r="L81" i="7"/>
  <c r="E78" i="7"/>
  <c r="G78" i="7"/>
  <c r="H80" i="3"/>
  <c r="E85" i="4" s="1"/>
  <c r="S82" i="3"/>
  <c r="T82" i="3" s="1"/>
  <c r="U82" i="3"/>
  <c r="V82" i="3" s="1"/>
  <c r="E81" i="3"/>
  <c r="D86" i="4" s="1"/>
  <c r="A84" i="3"/>
  <c r="F82" i="3"/>
  <c r="F87" i="4" s="1"/>
  <c r="G81" i="3"/>
  <c r="G86" i="4" s="1"/>
  <c r="W82" i="3" l="1"/>
  <c r="A89" i="4"/>
  <c r="N85" i="3"/>
  <c r="J90" i="4" s="1"/>
  <c r="D83" i="3"/>
  <c r="C88" i="4" s="1"/>
  <c r="B88" i="4"/>
  <c r="K85" i="3"/>
  <c r="Q85" i="3"/>
  <c r="P90" i="4" s="1"/>
  <c r="P85" i="3"/>
  <c r="O90" i="4" s="1"/>
  <c r="R80" i="3"/>
  <c r="L85" i="3"/>
  <c r="N90" i="4" s="1"/>
  <c r="J85" i="3"/>
  <c r="L90" i="4" s="1"/>
  <c r="I85" i="3"/>
  <c r="K90" i="4" s="1"/>
  <c r="M85" i="3"/>
  <c r="H90" i="4" s="1"/>
  <c r="B84" i="3"/>
  <c r="C84" i="3" s="1"/>
  <c r="E79" i="7"/>
  <c r="Q80" i="7"/>
  <c r="G79" i="7"/>
  <c r="L79" i="7" s="1"/>
  <c r="K82" i="7"/>
  <c r="D81" i="7"/>
  <c r="A82" i="7"/>
  <c r="I82" i="7"/>
  <c r="L82" i="7"/>
  <c r="F80" i="7"/>
  <c r="H78" i="7"/>
  <c r="A85" i="3"/>
  <c r="F83" i="3"/>
  <c r="F88" i="4" s="1"/>
  <c r="H81" i="3"/>
  <c r="E86" i="4" s="1"/>
  <c r="U83" i="3"/>
  <c r="V83" i="3" s="1"/>
  <c r="W83" i="3" s="1"/>
  <c r="S83" i="3"/>
  <c r="T83" i="3" s="1"/>
  <c r="E82" i="3"/>
  <c r="D87" i="4" s="1"/>
  <c r="G82" i="3"/>
  <c r="G87" i="4" s="1"/>
  <c r="A90" i="4" l="1"/>
  <c r="N86" i="3"/>
  <c r="J91" i="4" s="1"/>
  <c r="Y7" i="3"/>
  <c r="M90" i="4"/>
  <c r="D84" i="3"/>
  <c r="C89" i="4" s="1"/>
  <c r="B89" i="4"/>
  <c r="Z7" i="3"/>
  <c r="Q86" i="3"/>
  <c r="P91" i="4" s="1"/>
  <c r="P86" i="3"/>
  <c r="O91" i="4" s="1"/>
  <c r="R81" i="3"/>
  <c r="L86" i="3"/>
  <c r="N91" i="4" s="1"/>
  <c r="J86" i="3"/>
  <c r="L91" i="4" s="1"/>
  <c r="I86" i="3"/>
  <c r="K91" i="4" s="1"/>
  <c r="M86" i="3"/>
  <c r="H91" i="4" s="1"/>
  <c r="B85" i="3"/>
  <c r="C85" i="3" s="1"/>
  <c r="G80" i="7"/>
  <c r="Q81" i="7"/>
  <c r="E80" i="7"/>
  <c r="H79" i="7"/>
  <c r="K79" i="7"/>
  <c r="I83" i="7"/>
  <c r="D82" i="7"/>
  <c r="F81" i="7"/>
  <c r="A83" i="7"/>
  <c r="L83" i="7"/>
  <c r="K83" i="7"/>
  <c r="G83" i="3"/>
  <c r="A86" i="3"/>
  <c r="F84" i="3"/>
  <c r="F89" i="4" s="1"/>
  <c r="E83" i="3"/>
  <c r="D88" i="4" s="1"/>
  <c r="S84" i="3"/>
  <c r="T84" i="3" s="1"/>
  <c r="G84" i="3" s="1"/>
  <c r="G89" i="4" s="1"/>
  <c r="U84" i="3"/>
  <c r="V84" i="3" s="1"/>
  <c r="H82" i="3"/>
  <c r="E87" i="4" s="1"/>
  <c r="A91" i="4" l="1"/>
  <c r="N87" i="3"/>
  <c r="J92" i="4" s="1"/>
  <c r="W84" i="3"/>
  <c r="H83" i="3"/>
  <c r="E88" i="4" s="1"/>
  <c r="G88" i="4"/>
  <c r="D85" i="3"/>
  <c r="C90" i="4" s="1"/>
  <c r="B90" i="4"/>
  <c r="F18" i="3"/>
  <c r="F20" i="3" s="1"/>
  <c r="Q87" i="3"/>
  <c r="P92" i="4" s="1"/>
  <c r="P87" i="3"/>
  <c r="O92" i="4" s="1"/>
  <c r="R82" i="3"/>
  <c r="L87" i="3"/>
  <c r="N92" i="4" s="1"/>
  <c r="J87" i="3"/>
  <c r="L92" i="4" s="1"/>
  <c r="I87" i="3"/>
  <c r="K92" i="4" s="1"/>
  <c r="M87" i="3"/>
  <c r="H92" i="4" s="1"/>
  <c r="B86" i="3"/>
  <c r="C86" i="3" s="1"/>
  <c r="H80" i="7"/>
  <c r="Q82" i="7"/>
  <c r="E81" i="7"/>
  <c r="G81" i="7"/>
  <c r="A84" i="7"/>
  <c r="K84" i="7"/>
  <c r="F82" i="7"/>
  <c r="I84" i="7"/>
  <c r="D83" i="7"/>
  <c r="L84" i="7"/>
  <c r="E84" i="3"/>
  <c r="D89" i="4" s="1"/>
  <c r="U85" i="3"/>
  <c r="V85" i="3" s="1"/>
  <c r="S85" i="3"/>
  <c r="T85" i="3" s="1"/>
  <c r="A87" i="3"/>
  <c r="F85" i="3"/>
  <c r="F90" i="4" s="1"/>
  <c r="W85" i="3" l="1"/>
  <c r="A92" i="4"/>
  <c r="N88" i="3"/>
  <c r="J93" i="4" s="1"/>
  <c r="G85" i="3"/>
  <c r="G90" i="4" s="1"/>
  <c r="R83" i="3"/>
  <c r="D86" i="3"/>
  <c r="C91" i="4" s="1"/>
  <c r="B91" i="4"/>
  <c r="Q88" i="3"/>
  <c r="P93" i="4" s="1"/>
  <c r="P88" i="3"/>
  <c r="O93" i="4" s="1"/>
  <c r="L88" i="3"/>
  <c r="N93" i="4" s="1"/>
  <c r="J88" i="3"/>
  <c r="L93" i="4" s="1"/>
  <c r="I88" i="3"/>
  <c r="K93" i="4" s="1"/>
  <c r="M88" i="3"/>
  <c r="H93" i="4" s="1"/>
  <c r="B87" i="3"/>
  <c r="C87" i="3" s="1"/>
  <c r="H81" i="7"/>
  <c r="Q83" i="7"/>
  <c r="G82" i="7"/>
  <c r="E82" i="7"/>
  <c r="A85" i="7"/>
  <c r="K85" i="7"/>
  <c r="I85" i="7"/>
  <c r="D84" i="7"/>
  <c r="F83" i="7"/>
  <c r="L85" i="7"/>
  <c r="H84" i="3"/>
  <c r="E89" i="4" s="1"/>
  <c r="U86" i="3"/>
  <c r="V86" i="3" s="1"/>
  <c r="S86" i="3"/>
  <c r="T86" i="3" s="1"/>
  <c r="E85" i="3"/>
  <c r="D90" i="4" s="1"/>
  <c r="A88" i="3"/>
  <c r="F86" i="3"/>
  <c r="F91" i="4" s="1"/>
  <c r="W86" i="3" l="1"/>
  <c r="A93" i="4"/>
  <c r="N89" i="3"/>
  <c r="J94" i="4" s="1"/>
  <c r="G86" i="3"/>
  <c r="G91" i="4" s="1"/>
  <c r="D87" i="3"/>
  <c r="C92" i="4" s="1"/>
  <c r="B92" i="4"/>
  <c r="Q89" i="3"/>
  <c r="P94" i="4" s="1"/>
  <c r="P89" i="3"/>
  <c r="O94" i="4" s="1"/>
  <c r="R84" i="3"/>
  <c r="L89" i="3"/>
  <c r="N94" i="4" s="1"/>
  <c r="J89" i="3"/>
  <c r="L94" i="4" s="1"/>
  <c r="I89" i="3"/>
  <c r="K94" i="4" s="1"/>
  <c r="M89" i="3"/>
  <c r="H94" i="4" s="1"/>
  <c r="B88" i="3"/>
  <c r="C88" i="3" s="1"/>
  <c r="H82" i="7"/>
  <c r="Q84" i="7"/>
  <c r="G83" i="7"/>
  <c r="E83" i="7"/>
  <c r="K86" i="7"/>
  <c r="A86" i="7"/>
  <c r="L86" i="7"/>
  <c r="I86" i="7"/>
  <c r="D85" i="7"/>
  <c r="F84" i="7"/>
  <c r="H85" i="3"/>
  <c r="S87" i="3"/>
  <c r="T87" i="3" s="1"/>
  <c r="U87" i="3"/>
  <c r="V87" i="3" s="1"/>
  <c r="E86" i="3"/>
  <c r="D91" i="4" s="1"/>
  <c r="A89" i="3"/>
  <c r="F87" i="3"/>
  <c r="F92" i="4" s="1"/>
  <c r="W87" i="3" l="1"/>
  <c r="A94" i="4"/>
  <c r="N90" i="3"/>
  <c r="J95" i="4" s="1"/>
  <c r="G87" i="3"/>
  <c r="G92" i="4" s="1"/>
  <c r="D88" i="3"/>
  <c r="C93" i="4" s="1"/>
  <c r="B93" i="4"/>
  <c r="R85" i="3"/>
  <c r="E90" i="4"/>
  <c r="Q90" i="3"/>
  <c r="P95" i="4" s="1"/>
  <c r="P90" i="3"/>
  <c r="O95" i="4" s="1"/>
  <c r="L90" i="3"/>
  <c r="N95" i="4" s="1"/>
  <c r="J90" i="3"/>
  <c r="L95" i="4" s="1"/>
  <c r="I90" i="3"/>
  <c r="K95" i="4" s="1"/>
  <c r="M90" i="3"/>
  <c r="H95" i="4" s="1"/>
  <c r="B89" i="3"/>
  <c r="C89" i="3" s="1"/>
  <c r="B94" i="4" s="1"/>
  <c r="H83" i="7"/>
  <c r="Q85" i="7"/>
  <c r="E84" i="7"/>
  <c r="G84" i="7"/>
  <c r="K87" i="7"/>
  <c r="A87" i="7"/>
  <c r="L87" i="7"/>
  <c r="I87" i="7"/>
  <c r="D86" i="7"/>
  <c r="F85" i="7"/>
  <c r="H86" i="3"/>
  <c r="E91" i="4" s="1"/>
  <c r="U88" i="3"/>
  <c r="V88" i="3" s="1"/>
  <c r="S88" i="3"/>
  <c r="T88" i="3" s="1"/>
  <c r="E87" i="3"/>
  <c r="D92" i="4" s="1"/>
  <c r="A90" i="3"/>
  <c r="F88" i="3"/>
  <c r="F93" i="4" s="1"/>
  <c r="W88" i="3" l="1"/>
  <c r="A95" i="4"/>
  <c r="N91" i="3"/>
  <c r="J96" i="4" s="1"/>
  <c r="G88" i="3"/>
  <c r="G93" i="4" s="1"/>
  <c r="D89" i="3"/>
  <c r="C94" i="4" s="1"/>
  <c r="Q91" i="3"/>
  <c r="P96" i="4" s="1"/>
  <c r="P91" i="3"/>
  <c r="O96" i="4" s="1"/>
  <c r="R86" i="3"/>
  <c r="L91" i="3"/>
  <c r="N96" i="4" s="1"/>
  <c r="J91" i="3"/>
  <c r="L96" i="4" s="1"/>
  <c r="I91" i="3"/>
  <c r="K96" i="4" s="1"/>
  <c r="M91" i="3"/>
  <c r="H96" i="4" s="1"/>
  <c r="B90" i="3"/>
  <c r="C90" i="3" s="1"/>
  <c r="H84" i="7"/>
  <c r="Q86" i="7"/>
  <c r="E85" i="7"/>
  <c r="G85" i="7"/>
  <c r="K88" i="7"/>
  <c r="I88" i="7"/>
  <c r="D87" i="7"/>
  <c r="F86" i="7"/>
  <c r="L88" i="7"/>
  <c r="A88" i="7"/>
  <c r="S89" i="3"/>
  <c r="T89" i="3" s="1"/>
  <c r="U89" i="3"/>
  <c r="V89" i="3" s="1"/>
  <c r="A91" i="3"/>
  <c r="F89" i="3"/>
  <c r="F94" i="4" s="1"/>
  <c r="E88" i="3"/>
  <c r="D93" i="4" s="1"/>
  <c r="H87" i="3"/>
  <c r="E92" i="4" s="1"/>
  <c r="W89" i="3" l="1"/>
  <c r="A96" i="4"/>
  <c r="N92" i="3"/>
  <c r="J97" i="4" s="1"/>
  <c r="G89" i="3"/>
  <c r="G94" i="4" s="1"/>
  <c r="D90" i="3"/>
  <c r="C95" i="4" s="1"/>
  <c r="B95" i="4"/>
  <c r="Q92" i="3"/>
  <c r="P97" i="4" s="1"/>
  <c r="P92" i="3"/>
  <c r="O97" i="4" s="1"/>
  <c r="R87" i="3"/>
  <c r="L92" i="3"/>
  <c r="N97" i="4" s="1"/>
  <c r="J92" i="3"/>
  <c r="L97" i="4" s="1"/>
  <c r="I92" i="3"/>
  <c r="K97" i="4" s="1"/>
  <c r="M92" i="3"/>
  <c r="H97" i="4" s="1"/>
  <c r="B91" i="3"/>
  <c r="C91" i="3" s="1"/>
  <c r="H85" i="7"/>
  <c r="Q87" i="7"/>
  <c r="G86" i="7"/>
  <c r="E86" i="7"/>
  <c r="K89" i="7"/>
  <c r="L89" i="7"/>
  <c r="A89" i="7"/>
  <c r="I89" i="7"/>
  <c r="D88" i="7"/>
  <c r="F87" i="7"/>
  <c r="E89" i="3"/>
  <c r="D94" i="4" s="1"/>
  <c r="S90" i="3"/>
  <c r="T90" i="3" s="1"/>
  <c r="U90" i="3"/>
  <c r="V90" i="3" s="1"/>
  <c r="H88" i="3"/>
  <c r="E93" i="4" s="1"/>
  <c r="A92" i="3"/>
  <c r="F90" i="3"/>
  <c r="F95" i="4" s="1"/>
  <c r="W90" i="3" l="1"/>
  <c r="A97" i="4"/>
  <c r="N93" i="3"/>
  <c r="J98" i="4" s="1"/>
  <c r="G90" i="3"/>
  <c r="G95" i="4" s="1"/>
  <c r="D91" i="3"/>
  <c r="C96" i="4" s="1"/>
  <c r="B96" i="4"/>
  <c r="Q93" i="3"/>
  <c r="P98" i="4" s="1"/>
  <c r="P93" i="3"/>
  <c r="O98" i="4" s="1"/>
  <c r="R88" i="3"/>
  <c r="L93" i="3"/>
  <c r="N98" i="4" s="1"/>
  <c r="J93" i="3"/>
  <c r="L98" i="4" s="1"/>
  <c r="I93" i="3"/>
  <c r="K98" i="4" s="1"/>
  <c r="M93" i="3"/>
  <c r="H98" i="4" s="1"/>
  <c r="B92" i="3"/>
  <c r="C92" i="3" s="1"/>
  <c r="H86" i="7"/>
  <c r="Q88" i="7"/>
  <c r="G87" i="7"/>
  <c r="E87" i="7"/>
  <c r="K90" i="7"/>
  <c r="F88" i="7"/>
  <c r="I90" i="7"/>
  <c r="D89" i="7"/>
  <c r="A90" i="7"/>
  <c r="L90" i="7"/>
  <c r="A93" i="3"/>
  <c r="F91" i="3"/>
  <c r="F96" i="4" s="1"/>
  <c r="H89" i="3"/>
  <c r="E94" i="4" s="1"/>
  <c r="E90" i="3"/>
  <c r="D95" i="4" s="1"/>
  <c r="U91" i="3"/>
  <c r="V91" i="3" s="1"/>
  <c r="S91" i="3"/>
  <c r="A98" i="4" l="1"/>
  <c r="N94" i="3"/>
  <c r="J99" i="4" s="1"/>
  <c r="H90" i="3"/>
  <c r="E95" i="4" s="1"/>
  <c r="W91" i="3"/>
  <c r="D92" i="3"/>
  <c r="C97" i="4" s="1"/>
  <c r="B97" i="4"/>
  <c r="Q94" i="3"/>
  <c r="P99" i="4" s="1"/>
  <c r="P94" i="3"/>
  <c r="O99" i="4" s="1"/>
  <c r="R89" i="3"/>
  <c r="L94" i="3"/>
  <c r="N99" i="4" s="1"/>
  <c r="J94" i="3"/>
  <c r="L99" i="4" s="1"/>
  <c r="I94" i="3"/>
  <c r="K99" i="4" s="1"/>
  <c r="M94" i="3"/>
  <c r="H99" i="4" s="1"/>
  <c r="B93" i="3"/>
  <c r="C93" i="3" s="1"/>
  <c r="T91" i="3"/>
  <c r="G91" i="3" s="1"/>
  <c r="G96" i="4" s="1"/>
  <c r="H87" i="7"/>
  <c r="Q89" i="7"/>
  <c r="E88" i="7"/>
  <c r="G88" i="7"/>
  <c r="I91" i="7"/>
  <c r="D90" i="7"/>
  <c r="A91" i="7"/>
  <c r="K91" i="7"/>
  <c r="F89" i="7"/>
  <c r="L91" i="7"/>
  <c r="E91" i="3"/>
  <c r="D96" i="4" s="1"/>
  <c r="A94" i="3"/>
  <c r="F92" i="3"/>
  <c r="F97" i="4" s="1"/>
  <c r="U92" i="3"/>
  <c r="V92" i="3" s="1"/>
  <c r="S92" i="3"/>
  <c r="T92" i="3" s="1"/>
  <c r="R90" i="3" l="1"/>
  <c r="A99" i="4"/>
  <c r="N95" i="3"/>
  <c r="J100" i="4" s="1"/>
  <c r="W92" i="3"/>
  <c r="G92" i="3"/>
  <c r="G97" i="4" s="1"/>
  <c r="D93" i="3"/>
  <c r="C98" i="4" s="1"/>
  <c r="B98" i="4"/>
  <c r="Q95" i="3"/>
  <c r="P100" i="4" s="1"/>
  <c r="P95" i="3"/>
  <c r="O100" i="4" s="1"/>
  <c r="L95" i="3"/>
  <c r="N100" i="4" s="1"/>
  <c r="J95" i="3"/>
  <c r="L100" i="4" s="1"/>
  <c r="I95" i="3"/>
  <c r="K100" i="4" s="1"/>
  <c r="M95" i="3"/>
  <c r="H100" i="4" s="1"/>
  <c r="B94" i="3"/>
  <c r="C94" i="3" s="1"/>
  <c r="H91" i="3"/>
  <c r="E96" i="4" s="1"/>
  <c r="H88" i="7"/>
  <c r="Q90" i="7"/>
  <c r="E89" i="7"/>
  <c r="G89" i="7"/>
  <c r="K92" i="7"/>
  <c r="F90" i="7"/>
  <c r="I92" i="7"/>
  <c r="D91" i="7"/>
  <c r="A92" i="7"/>
  <c r="L92" i="7"/>
  <c r="S93" i="3"/>
  <c r="T93" i="3" s="1"/>
  <c r="U93" i="3"/>
  <c r="V93" i="3" s="1"/>
  <c r="E92" i="3"/>
  <c r="D97" i="4" s="1"/>
  <c r="A95" i="3"/>
  <c r="F93" i="3"/>
  <c r="F98" i="4" s="1"/>
  <c r="A100" i="4" l="1"/>
  <c r="N96" i="3"/>
  <c r="J101" i="4" s="1"/>
  <c r="G93" i="3"/>
  <c r="G98" i="4" s="1"/>
  <c r="W93" i="3"/>
  <c r="D94" i="3"/>
  <c r="C99" i="4" s="1"/>
  <c r="B99" i="4"/>
  <c r="Q96" i="3"/>
  <c r="P101" i="4" s="1"/>
  <c r="P96" i="3"/>
  <c r="O101" i="4" s="1"/>
  <c r="R91" i="3"/>
  <c r="L96" i="3"/>
  <c r="N101" i="4" s="1"/>
  <c r="J96" i="3"/>
  <c r="L101" i="4" s="1"/>
  <c r="I96" i="3"/>
  <c r="K101" i="4" s="1"/>
  <c r="M96" i="3"/>
  <c r="H101" i="4" s="1"/>
  <c r="B95" i="3"/>
  <c r="C95" i="3" s="1"/>
  <c r="H89" i="7"/>
  <c r="Q91" i="7"/>
  <c r="E90" i="7"/>
  <c r="G90" i="7"/>
  <c r="K93" i="7"/>
  <c r="A93" i="7"/>
  <c r="L93" i="7"/>
  <c r="I93" i="7"/>
  <c r="D92" i="7"/>
  <c r="F91" i="7"/>
  <c r="H92" i="3"/>
  <c r="E97" i="4" s="1"/>
  <c r="S94" i="3"/>
  <c r="T94" i="3" s="1"/>
  <c r="U94" i="3"/>
  <c r="V94" i="3" s="1"/>
  <c r="E93" i="3"/>
  <c r="D98" i="4" s="1"/>
  <c r="A96" i="3"/>
  <c r="F94" i="3"/>
  <c r="F99" i="4" s="1"/>
  <c r="W94" i="3" l="1"/>
  <c r="A101" i="4"/>
  <c r="N97" i="3"/>
  <c r="J102" i="4" s="1"/>
  <c r="G94" i="3"/>
  <c r="G99" i="4" s="1"/>
  <c r="D95" i="3"/>
  <c r="C100" i="4" s="1"/>
  <c r="B100" i="4"/>
  <c r="K97" i="3"/>
  <c r="Q97" i="3"/>
  <c r="P102" i="4" s="1"/>
  <c r="P97" i="3"/>
  <c r="O102" i="4" s="1"/>
  <c r="R92" i="3"/>
  <c r="L97" i="3"/>
  <c r="N102" i="4" s="1"/>
  <c r="J97" i="3"/>
  <c r="L102" i="4" s="1"/>
  <c r="I97" i="3"/>
  <c r="K102" i="4" s="1"/>
  <c r="M97" i="3"/>
  <c r="H102" i="4" s="1"/>
  <c r="B96" i="3"/>
  <c r="C96" i="3" s="1"/>
  <c r="H90" i="7"/>
  <c r="Q92" i="7"/>
  <c r="E91" i="7"/>
  <c r="G91" i="7"/>
  <c r="K94" i="7"/>
  <c r="L94" i="7"/>
  <c r="I94" i="7"/>
  <c r="D93" i="7"/>
  <c r="F92" i="7"/>
  <c r="A94" i="7"/>
  <c r="A97" i="3"/>
  <c r="F95" i="3"/>
  <c r="F100" i="4" s="1"/>
  <c r="H93" i="3"/>
  <c r="E98" i="4" s="1"/>
  <c r="E94" i="3"/>
  <c r="D99" i="4" s="1"/>
  <c r="S95" i="3"/>
  <c r="T95" i="3" s="1"/>
  <c r="U95" i="3"/>
  <c r="V95" i="3" s="1"/>
  <c r="W95" i="3" s="1"/>
  <c r="A102" i="4" l="1"/>
  <c r="N98" i="3"/>
  <c r="J103" i="4" s="1"/>
  <c r="G95" i="3"/>
  <c r="G100" i="4" s="1"/>
  <c r="Y8" i="3"/>
  <c r="M102" i="4"/>
  <c r="D96" i="3"/>
  <c r="C101" i="4" s="1"/>
  <c r="B101" i="4"/>
  <c r="Z8" i="3"/>
  <c r="Q98" i="3"/>
  <c r="P103" i="4" s="1"/>
  <c r="P98" i="3"/>
  <c r="O103" i="4" s="1"/>
  <c r="R93" i="3"/>
  <c r="L98" i="3"/>
  <c r="N103" i="4" s="1"/>
  <c r="J98" i="3"/>
  <c r="L103" i="4" s="1"/>
  <c r="I98" i="3"/>
  <c r="K103" i="4" s="1"/>
  <c r="M98" i="3"/>
  <c r="H103" i="4" s="1"/>
  <c r="B97" i="3"/>
  <c r="C97" i="3" s="1"/>
  <c r="H91" i="7"/>
  <c r="Q93" i="7"/>
  <c r="G92" i="7"/>
  <c r="E92" i="7"/>
  <c r="K95" i="7"/>
  <c r="F93" i="7"/>
  <c r="A95" i="7"/>
  <c r="I95" i="7"/>
  <c r="D94" i="7"/>
  <c r="L95" i="7"/>
  <c r="H94" i="3"/>
  <c r="E99" i="4" s="1"/>
  <c r="U96" i="3"/>
  <c r="V96" i="3" s="1"/>
  <c r="S96" i="3"/>
  <c r="E95" i="3"/>
  <c r="D100" i="4" s="1"/>
  <c r="A98" i="3"/>
  <c r="F96" i="3"/>
  <c r="F101" i="4" s="1"/>
  <c r="W96" i="3" l="1"/>
  <c r="A103" i="4"/>
  <c r="N99" i="3"/>
  <c r="J104" i="4" s="1"/>
  <c r="D97" i="3"/>
  <c r="C102" i="4" s="1"/>
  <c r="B102" i="4"/>
  <c r="Q99" i="3"/>
  <c r="P104" i="4" s="1"/>
  <c r="P99" i="3"/>
  <c r="O104" i="4" s="1"/>
  <c r="R94" i="3"/>
  <c r="L99" i="3"/>
  <c r="N104" i="4" s="1"/>
  <c r="J99" i="3"/>
  <c r="L104" i="4" s="1"/>
  <c r="I99" i="3"/>
  <c r="K104" i="4" s="1"/>
  <c r="M99" i="3"/>
  <c r="H104" i="4" s="1"/>
  <c r="B98" i="3"/>
  <c r="C98" i="3" s="1"/>
  <c r="T96" i="3"/>
  <c r="G96" i="3" s="1"/>
  <c r="G101" i="4" s="1"/>
  <c r="H92" i="7"/>
  <c r="Q94" i="7"/>
  <c r="H95" i="3"/>
  <c r="E100" i="4" s="1"/>
  <c r="E93" i="7"/>
  <c r="G93" i="7"/>
  <c r="L96" i="7"/>
  <c r="I96" i="7"/>
  <c r="D95" i="7"/>
  <c r="F94" i="7"/>
  <c r="A96" i="7"/>
  <c r="K96" i="7"/>
  <c r="S97" i="3"/>
  <c r="T97" i="3" s="1"/>
  <c r="U97" i="3"/>
  <c r="V97" i="3" s="1"/>
  <c r="A99" i="3"/>
  <c r="F97" i="3"/>
  <c r="F102" i="4" s="1"/>
  <c r="E96" i="3"/>
  <c r="D101" i="4" s="1"/>
  <c r="A104" i="4" l="1"/>
  <c r="N100" i="3"/>
  <c r="J105" i="4" s="1"/>
  <c r="W97" i="3"/>
  <c r="G97" i="3"/>
  <c r="G102" i="4" s="1"/>
  <c r="D98" i="3"/>
  <c r="C103" i="4" s="1"/>
  <c r="B103" i="4"/>
  <c r="Q100" i="3"/>
  <c r="P105" i="4" s="1"/>
  <c r="P100" i="3"/>
  <c r="O105" i="4" s="1"/>
  <c r="R95" i="3"/>
  <c r="L100" i="3"/>
  <c r="N105" i="4" s="1"/>
  <c r="J100" i="3"/>
  <c r="L105" i="4" s="1"/>
  <c r="I100" i="3"/>
  <c r="K105" i="4" s="1"/>
  <c r="M100" i="3"/>
  <c r="H105" i="4" s="1"/>
  <c r="B99" i="3"/>
  <c r="C99" i="3" s="1"/>
  <c r="H96" i="3"/>
  <c r="E101" i="4" s="1"/>
  <c r="H93" i="7"/>
  <c r="Q95" i="7"/>
  <c r="E94" i="7"/>
  <c r="G94" i="7"/>
  <c r="K97" i="7"/>
  <c r="L97" i="7"/>
  <c r="I97" i="7"/>
  <c r="D96" i="7"/>
  <c r="F95" i="7"/>
  <c r="A97" i="7"/>
  <c r="E97" i="3"/>
  <c r="D102" i="4" s="1"/>
  <c r="S98" i="3"/>
  <c r="T98" i="3" s="1"/>
  <c r="U98" i="3"/>
  <c r="V98" i="3" s="1"/>
  <c r="A100" i="3"/>
  <c r="F98" i="3"/>
  <c r="F103" i="4" s="1"/>
  <c r="A105" i="4" l="1"/>
  <c r="N101" i="3"/>
  <c r="J106" i="4" s="1"/>
  <c r="G98" i="3"/>
  <c r="G103" i="4" s="1"/>
  <c r="W98" i="3"/>
  <c r="D99" i="3"/>
  <c r="C104" i="4" s="1"/>
  <c r="B104" i="4"/>
  <c r="Q101" i="3"/>
  <c r="P106" i="4" s="1"/>
  <c r="P101" i="3"/>
  <c r="O106" i="4" s="1"/>
  <c r="R96" i="3"/>
  <c r="L101" i="3"/>
  <c r="N106" i="4" s="1"/>
  <c r="J101" i="3"/>
  <c r="L106" i="4" s="1"/>
  <c r="I101" i="3"/>
  <c r="K106" i="4" s="1"/>
  <c r="M101" i="3"/>
  <c r="H106" i="4" s="1"/>
  <c r="B100" i="3"/>
  <c r="C100" i="3" s="1"/>
  <c r="H94" i="7"/>
  <c r="Q96" i="7"/>
  <c r="E95" i="7"/>
  <c r="G95" i="7"/>
  <c r="K98" i="7"/>
  <c r="I98" i="7"/>
  <c r="D97" i="7"/>
  <c r="F96" i="7"/>
  <c r="A98" i="7"/>
  <c r="L98" i="7"/>
  <c r="S99" i="3"/>
  <c r="T99" i="3" s="1"/>
  <c r="U99" i="3"/>
  <c r="V99" i="3" s="1"/>
  <c r="A101" i="3"/>
  <c r="F99" i="3"/>
  <c r="F104" i="4" s="1"/>
  <c r="H97" i="3"/>
  <c r="E102" i="4" s="1"/>
  <c r="E98" i="3"/>
  <c r="D103" i="4" s="1"/>
  <c r="A106" i="4" l="1"/>
  <c r="N102" i="3"/>
  <c r="J107" i="4" s="1"/>
  <c r="W99" i="3"/>
  <c r="G99" i="3"/>
  <c r="G104" i="4" s="1"/>
  <c r="D100" i="3"/>
  <c r="C105" i="4" s="1"/>
  <c r="B105" i="4"/>
  <c r="Q102" i="3"/>
  <c r="P107" i="4" s="1"/>
  <c r="P102" i="3"/>
  <c r="O107" i="4" s="1"/>
  <c r="R97" i="3"/>
  <c r="L102" i="3"/>
  <c r="N107" i="4" s="1"/>
  <c r="J102" i="3"/>
  <c r="L107" i="4" s="1"/>
  <c r="I102" i="3"/>
  <c r="K107" i="4" s="1"/>
  <c r="M102" i="3"/>
  <c r="H107" i="4" s="1"/>
  <c r="B101" i="3"/>
  <c r="C101" i="3" s="1"/>
  <c r="H95" i="7"/>
  <c r="Q97" i="7"/>
  <c r="G96" i="7"/>
  <c r="E96" i="7"/>
  <c r="K99" i="7"/>
  <c r="F97" i="7"/>
  <c r="A99" i="7"/>
  <c r="L99" i="7"/>
  <c r="I99" i="7"/>
  <c r="D98" i="7"/>
  <c r="H98" i="3"/>
  <c r="E103" i="4" s="1"/>
  <c r="E99" i="3"/>
  <c r="D104" i="4" s="1"/>
  <c r="U100" i="3"/>
  <c r="V100" i="3" s="1"/>
  <c r="S100" i="3"/>
  <c r="T100" i="3" s="1"/>
  <c r="A102" i="3"/>
  <c r="F100" i="3"/>
  <c r="F105" i="4" s="1"/>
  <c r="W100" i="3" l="1"/>
  <c r="A107" i="4"/>
  <c r="N103" i="3"/>
  <c r="J108" i="4" s="1"/>
  <c r="G100" i="3"/>
  <c r="G105" i="4" s="1"/>
  <c r="D101" i="3"/>
  <c r="C106" i="4" s="1"/>
  <c r="B106" i="4"/>
  <c r="Q103" i="3"/>
  <c r="P108" i="4" s="1"/>
  <c r="P103" i="3"/>
  <c r="O108" i="4" s="1"/>
  <c r="R98" i="3"/>
  <c r="L103" i="3"/>
  <c r="N108" i="4" s="1"/>
  <c r="J103" i="3"/>
  <c r="L108" i="4" s="1"/>
  <c r="I103" i="3"/>
  <c r="K108" i="4" s="1"/>
  <c r="M103" i="3"/>
  <c r="H108" i="4" s="1"/>
  <c r="B102" i="3"/>
  <c r="C102" i="3" s="1"/>
  <c r="H96" i="7"/>
  <c r="Q98" i="7"/>
  <c r="G97" i="7"/>
  <c r="E97" i="7"/>
  <c r="K100" i="7"/>
  <c r="L100" i="7"/>
  <c r="F98" i="7"/>
  <c r="A100" i="7"/>
  <c r="I100" i="7"/>
  <c r="D99" i="7"/>
  <c r="H99" i="3"/>
  <c r="E104" i="4" s="1"/>
  <c r="A103" i="3"/>
  <c r="F101" i="3"/>
  <c r="F106" i="4" s="1"/>
  <c r="E100" i="3"/>
  <c r="D105" i="4" s="1"/>
  <c r="S101" i="3"/>
  <c r="T101" i="3" s="1"/>
  <c r="U101" i="3"/>
  <c r="V101" i="3" s="1"/>
  <c r="A108" i="4" l="1"/>
  <c r="N104" i="3"/>
  <c r="J109" i="4" s="1"/>
  <c r="G101" i="3"/>
  <c r="G106" i="4" s="1"/>
  <c r="W101" i="3"/>
  <c r="D102" i="3"/>
  <c r="C107" i="4" s="1"/>
  <c r="B107" i="4"/>
  <c r="Q104" i="3"/>
  <c r="P109" i="4" s="1"/>
  <c r="P104" i="3"/>
  <c r="O109" i="4" s="1"/>
  <c r="R99" i="3"/>
  <c r="L104" i="3"/>
  <c r="N109" i="4" s="1"/>
  <c r="J104" i="3"/>
  <c r="L109" i="4" s="1"/>
  <c r="I104" i="3"/>
  <c r="K109" i="4" s="1"/>
  <c r="M104" i="3"/>
  <c r="H109" i="4" s="1"/>
  <c r="B103" i="3"/>
  <c r="C103" i="3" s="1"/>
  <c r="H97" i="7"/>
  <c r="Q99" i="7"/>
  <c r="G98" i="7"/>
  <c r="E98" i="7"/>
  <c r="K101" i="7"/>
  <c r="A101" i="7"/>
  <c r="L101" i="7"/>
  <c r="I101" i="7"/>
  <c r="D100" i="7"/>
  <c r="F99" i="7"/>
  <c r="H100" i="3"/>
  <c r="E105" i="4" s="1"/>
  <c r="U102" i="3"/>
  <c r="V102" i="3" s="1"/>
  <c r="S102" i="3"/>
  <c r="T102" i="3" s="1"/>
  <c r="E101" i="3"/>
  <c r="D106" i="4" s="1"/>
  <c r="A104" i="3"/>
  <c r="F102" i="3"/>
  <c r="F107" i="4" s="1"/>
  <c r="A109" i="4" l="1"/>
  <c r="N105" i="3"/>
  <c r="J110" i="4" s="1"/>
  <c r="W102" i="3"/>
  <c r="G102" i="3" s="1"/>
  <c r="G107" i="4" s="1"/>
  <c r="D103" i="3"/>
  <c r="C108" i="4" s="1"/>
  <c r="B108" i="4"/>
  <c r="Q105" i="3"/>
  <c r="P110" i="4" s="1"/>
  <c r="P105" i="3"/>
  <c r="O110" i="4" s="1"/>
  <c r="R100" i="3"/>
  <c r="L105" i="3"/>
  <c r="N110" i="4" s="1"/>
  <c r="J105" i="3"/>
  <c r="L110" i="4" s="1"/>
  <c r="I105" i="3"/>
  <c r="K110" i="4" s="1"/>
  <c r="M105" i="3"/>
  <c r="H110" i="4" s="1"/>
  <c r="B104" i="3"/>
  <c r="C104" i="3" s="1"/>
  <c r="H98" i="7"/>
  <c r="Q100" i="7"/>
  <c r="E99" i="7"/>
  <c r="G99" i="7"/>
  <c r="I102" i="7"/>
  <c r="K102" i="7"/>
  <c r="F100" i="7"/>
  <c r="A102" i="7"/>
  <c r="D101" i="7"/>
  <c r="L102" i="7"/>
  <c r="H101" i="3"/>
  <c r="E106" i="4" s="1"/>
  <c r="A105" i="3"/>
  <c r="F103" i="3"/>
  <c r="F108" i="4" s="1"/>
  <c r="E102" i="3"/>
  <c r="D107" i="4" s="1"/>
  <c r="S103" i="3"/>
  <c r="T103" i="3" s="1"/>
  <c r="U103" i="3"/>
  <c r="V103" i="3" s="1"/>
  <c r="A110" i="4" l="1"/>
  <c r="N106" i="3"/>
  <c r="J111" i="4" s="1"/>
  <c r="G103" i="3"/>
  <c r="G108" i="4" s="1"/>
  <c r="W103" i="3"/>
  <c r="D104" i="3"/>
  <c r="C109" i="4" s="1"/>
  <c r="B109" i="4"/>
  <c r="Q106" i="3"/>
  <c r="P111" i="4" s="1"/>
  <c r="P106" i="3"/>
  <c r="O111" i="4" s="1"/>
  <c r="R101" i="3"/>
  <c r="L106" i="3"/>
  <c r="N111" i="4" s="1"/>
  <c r="J106" i="3"/>
  <c r="L111" i="4" s="1"/>
  <c r="I106" i="3"/>
  <c r="K111" i="4" s="1"/>
  <c r="M106" i="3"/>
  <c r="H111" i="4" s="1"/>
  <c r="B105" i="3"/>
  <c r="C105" i="3" s="1"/>
  <c r="H99" i="7"/>
  <c r="Q101" i="7"/>
  <c r="G100" i="7"/>
  <c r="E100" i="7"/>
  <c r="D102" i="7"/>
  <c r="I103" i="7"/>
  <c r="A103" i="7"/>
  <c r="F101" i="7"/>
  <c r="H102" i="3"/>
  <c r="E107" i="4" s="1"/>
  <c r="E103" i="3"/>
  <c r="D108" i="4" s="1"/>
  <c r="A106" i="3"/>
  <c r="F104" i="3"/>
  <c r="F109" i="4" s="1"/>
  <c r="S104" i="3"/>
  <c r="T104" i="3" s="1"/>
  <c r="U104" i="3"/>
  <c r="V104" i="3" s="1"/>
  <c r="G104" i="3" l="1"/>
  <c r="G109" i="4" s="1"/>
  <c r="A111" i="4"/>
  <c r="N107" i="3"/>
  <c r="J112" i="4" s="1"/>
  <c r="W104" i="3"/>
  <c r="D105" i="3"/>
  <c r="C110" i="4" s="1"/>
  <c r="B110" i="4"/>
  <c r="Q107" i="3"/>
  <c r="P112" i="4" s="1"/>
  <c r="P107" i="3"/>
  <c r="O112" i="4" s="1"/>
  <c r="R102" i="3"/>
  <c r="L107" i="3"/>
  <c r="N112" i="4" s="1"/>
  <c r="J107" i="3"/>
  <c r="L112" i="4" s="1"/>
  <c r="I107" i="3"/>
  <c r="K112" i="4" s="1"/>
  <c r="M107" i="3"/>
  <c r="H112" i="4" s="1"/>
  <c r="B106" i="3"/>
  <c r="C106" i="3" s="1"/>
  <c r="H100" i="7"/>
  <c r="Q102" i="7"/>
  <c r="G101" i="7"/>
  <c r="E101" i="7"/>
  <c r="F102" i="7"/>
  <c r="H103" i="3"/>
  <c r="E108" i="4" s="1"/>
  <c r="S105" i="3"/>
  <c r="T105" i="3" s="1"/>
  <c r="U105" i="3"/>
  <c r="V105" i="3" s="1"/>
  <c r="A107" i="3"/>
  <c r="F105" i="3"/>
  <c r="F110" i="4" s="1"/>
  <c r="E104" i="3"/>
  <c r="D109" i="4" s="1"/>
  <c r="A112" i="4" l="1"/>
  <c r="N108" i="3"/>
  <c r="J113" i="4" s="1"/>
  <c r="W105" i="3"/>
  <c r="G105" i="3"/>
  <c r="G110" i="4" s="1"/>
  <c r="D106" i="3"/>
  <c r="C111" i="4" s="1"/>
  <c r="B111" i="4"/>
  <c r="Q108" i="3"/>
  <c r="P113" i="4" s="1"/>
  <c r="P108" i="3"/>
  <c r="O113" i="4" s="1"/>
  <c r="R103" i="3"/>
  <c r="L108" i="3"/>
  <c r="N113" i="4" s="1"/>
  <c r="J108" i="3"/>
  <c r="L113" i="4" s="1"/>
  <c r="I108" i="3"/>
  <c r="K113" i="4" s="1"/>
  <c r="M108" i="3"/>
  <c r="H113" i="4" s="1"/>
  <c r="B107" i="3"/>
  <c r="C107" i="3" s="1"/>
  <c r="H101" i="7"/>
  <c r="F103" i="7"/>
  <c r="G102" i="7"/>
  <c r="E102" i="7"/>
  <c r="H104" i="3"/>
  <c r="E109" i="4" s="1"/>
  <c r="E105" i="3"/>
  <c r="D110" i="4" s="1"/>
  <c r="A108" i="3"/>
  <c r="F106" i="3"/>
  <c r="F111" i="4" s="1"/>
  <c r="S106" i="3"/>
  <c r="T106" i="3" s="1"/>
  <c r="U106" i="3"/>
  <c r="V106" i="3" s="1"/>
  <c r="A113" i="4" l="1"/>
  <c r="N109" i="3"/>
  <c r="J114" i="4" s="1"/>
  <c r="G106" i="3"/>
  <c r="G111" i="4" s="1"/>
  <c r="W106" i="3"/>
  <c r="D107" i="3"/>
  <c r="C112" i="4" s="1"/>
  <c r="B112" i="4"/>
  <c r="K109" i="3"/>
  <c r="R104" i="3"/>
  <c r="L109" i="3"/>
  <c r="N114" i="4" s="1"/>
  <c r="J109" i="3"/>
  <c r="L114" i="4" s="1"/>
  <c r="I109" i="3"/>
  <c r="K114" i="4" s="1"/>
  <c r="M109" i="3"/>
  <c r="H114" i="4" s="1"/>
  <c r="B108" i="3"/>
  <c r="C108" i="3" s="1"/>
  <c r="B113" i="4" s="1"/>
  <c r="G103" i="7"/>
  <c r="H102" i="7"/>
  <c r="H105" i="3"/>
  <c r="E110" i="4" s="1"/>
  <c r="S107" i="3"/>
  <c r="T107" i="3" s="1"/>
  <c r="U107" i="3"/>
  <c r="V107" i="3" s="1"/>
  <c r="A109" i="3"/>
  <c r="F107" i="3"/>
  <c r="F112" i="4" s="1"/>
  <c r="E106" i="3"/>
  <c r="D111" i="4" s="1"/>
  <c r="A114" i="4" l="1"/>
  <c r="N110" i="3"/>
  <c r="J115" i="4" s="1"/>
  <c r="G107" i="3"/>
  <c r="G112" i="4" s="1"/>
  <c r="W107" i="3"/>
  <c r="Y9" i="3"/>
  <c r="Z9" i="3" s="1"/>
  <c r="M114" i="4"/>
  <c r="Q110" i="3"/>
  <c r="P115" i="4" s="1"/>
  <c r="P110" i="3"/>
  <c r="O115" i="4" s="1"/>
  <c r="R105" i="3"/>
  <c r="L110" i="3"/>
  <c r="N115" i="4" s="1"/>
  <c r="J110" i="3"/>
  <c r="L115" i="4" s="1"/>
  <c r="I110" i="3"/>
  <c r="K115" i="4" s="1"/>
  <c r="A110" i="3"/>
  <c r="M110" i="3"/>
  <c r="H115" i="4" s="1"/>
  <c r="B109" i="3"/>
  <c r="C109" i="3" s="1"/>
  <c r="D108" i="3"/>
  <c r="C113" i="4" s="1"/>
  <c r="L103" i="7"/>
  <c r="H103" i="7"/>
  <c r="B34" i="8" s="1"/>
  <c r="H106" i="3"/>
  <c r="E111" i="4" s="1"/>
  <c r="E107" i="3"/>
  <c r="D112" i="4" s="1"/>
  <c r="U108" i="3"/>
  <c r="V108" i="3" s="1"/>
  <c r="S108" i="3"/>
  <c r="F108" i="3"/>
  <c r="F113" i="4" s="1"/>
  <c r="A115" i="4" l="1"/>
  <c r="N111" i="3"/>
  <c r="J116" i="4" s="1"/>
  <c r="D109" i="3"/>
  <c r="B114" i="4"/>
  <c r="W108" i="3"/>
  <c r="Q111" i="3"/>
  <c r="P116" i="4" s="1"/>
  <c r="P111" i="3"/>
  <c r="O116" i="4" s="1"/>
  <c r="R106" i="3"/>
  <c r="L111" i="3"/>
  <c r="N116" i="4" s="1"/>
  <c r="J111" i="3"/>
  <c r="L116" i="4" s="1"/>
  <c r="I111" i="3"/>
  <c r="K116" i="4" s="1"/>
  <c r="U109" i="3"/>
  <c r="V109" i="3" s="1"/>
  <c r="S109" i="3"/>
  <c r="T109" i="3" s="1"/>
  <c r="A111" i="3"/>
  <c r="M111" i="3"/>
  <c r="H116" i="4" s="1"/>
  <c r="B110" i="3"/>
  <c r="C110" i="3" s="1"/>
  <c r="B115" i="4" s="1"/>
  <c r="T108" i="3"/>
  <c r="G108" i="3" s="1"/>
  <c r="G113" i="4" s="1"/>
  <c r="F109" i="3"/>
  <c r="F114" i="4" s="1"/>
  <c r="H107" i="3"/>
  <c r="E112" i="4" s="1"/>
  <c r="E108" i="3"/>
  <c r="D113" i="4" s="1"/>
  <c r="A116" i="4" l="1"/>
  <c r="N112" i="3"/>
  <c r="J117" i="4" s="1"/>
  <c r="C114" i="4"/>
  <c r="W109" i="3"/>
  <c r="G109" i="3"/>
  <c r="G114" i="4" s="1"/>
  <c r="Q112" i="3"/>
  <c r="P117" i="4" s="1"/>
  <c r="P112" i="3"/>
  <c r="O117" i="4" s="1"/>
  <c r="R107" i="3"/>
  <c r="L112" i="3"/>
  <c r="N117" i="4" s="1"/>
  <c r="J112" i="3"/>
  <c r="L117" i="4" s="1"/>
  <c r="I112" i="3"/>
  <c r="K117" i="4" s="1"/>
  <c r="S110" i="3"/>
  <c r="T110" i="3" s="1"/>
  <c r="U110" i="3"/>
  <c r="V110" i="3" s="1"/>
  <c r="A112" i="3"/>
  <c r="M112" i="3"/>
  <c r="H117" i="4" s="1"/>
  <c r="B111" i="3"/>
  <c r="C111" i="3" s="1"/>
  <c r="F110" i="3"/>
  <c r="F115" i="4" s="1"/>
  <c r="D110" i="3"/>
  <c r="E109" i="3"/>
  <c r="D114" i="4" s="1"/>
  <c r="A117" i="4" l="1"/>
  <c r="N113" i="3"/>
  <c r="J118" i="4" s="1"/>
  <c r="C115" i="4"/>
  <c r="W110" i="3"/>
  <c r="D111" i="3"/>
  <c r="B116" i="4"/>
  <c r="G110" i="3"/>
  <c r="G115" i="4" s="1"/>
  <c r="H109" i="3"/>
  <c r="E114" i="4" s="1"/>
  <c r="Q113" i="3"/>
  <c r="P118" i="4" s="1"/>
  <c r="P113" i="3"/>
  <c r="O118" i="4" s="1"/>
  <c r="L113" i="3"/>
  <c r="N118" i="4" s="1"/>
  <c r="J113" i="3"/>
  <c r="L118" i="4" s="1"/>
  <c r="I113" i="3"/>
  <c r="K118" i="4" s="1"/>
  <c r="A113" i="3"/>
  <c r="M113" i="3"/>
  <c r="H118" i="4" s="1"/>
  <c r="B112" i="3"/>
  <c r="C112" i="3" s="1"/>
  <c r="F111" i="3"/>
  <c r="F116" i="4" s="1"/>
  <c r="S111" i="3"/>
  <c r="T111" i="3" s="1"/>
  <c r="U111" i="3"/>
  <c r="V111" i="3" s="1"/>
  <c r="E110" i="3"/>
  <c r="D115" i="4" s="1"/>
  <c r="H108" i="3"/>
  <c r="E113" i="4" s="1"/>
  <c r="A118" i="4" l="1"/>
  <c r="N114" i="3"/>
  <c r="J119" i="4" s="1"/>
  <c r="C116" i="4"/>
  <c r="W111" i="3"/>
  <c r="G111" i="3"/>
  <c r="G116" i="4" s="1"/>
  <c r="D112" i="3"/>
  <c r="B117" i="4"/>
  <c r="Q109" i="3"/>
  <c r="P114" i="4" s="1"/>
  <c r="Q114" i="3"/>
  <c r="P119" i="4" s="1"/>
  <c r="P114" i="3"/>
  <c r="O119" i="4" s="1"/>
  <c r="R108" i="3"/>
  <c r="L114" i="3"/>
  <c r="N119" i="4" s="1"/>
  <c r="J114" i="3"/>
  <c r="L119" i="4" s="1"/>
  <c r="I114" i="3"/>
  <c r="K119" i="4" s="1"/>
  <c r="U112" i="3"/>
  <c r="V112" i="3" s="1"/>
  <c r="S112" i="3"/>
  <c r="T112" i="3" s="1"/>
  <c r="A114" i="3"/>
  <c r="M114" i="3"/>
  <c r="H119" i="4" s="1"/>
  <c r="B113" i="3"/>
  <c r="C113" i="3" s="1"/>
  <c r="F112" i="3"/>
  <c r="F117" i="4" s="1"/>
  <c r="H110" i="3"/>
  <c r="E115" i="4" s="1"/>
  <c r="E111" i="3"/>
  <c r="D116" i="4" s="1"/>
  <c r="B33" i="8"/>
  <c r="A119" i="4" l="1"/>
  <c r="N115" i="3"/>
  <c r="J120" i="4" s="1"/>
  <c r="C117" i="4"/>
  <c r="W112" i="3"/>
  <c r="G112" i="3"/>
  <c r="G117" i="4" s="1"/>
  <c r="D113" i="3"/>
  <c r="B118" i="4"/>
  <c r="Q115" i="3"/>
  <c r="P120" i="4" s="1"/>
  <c r="P115" i="3"/>
  <c r="O120" i="4" s="1"/>
  <c r="R110" i="3"/>
  <c r="L115" i="3"/>
  <c r="N120" i="4" s="1"/>
  <c r="J115" i="3"/>
  <c r="L120" i="4" s="1"/>
  <c r="I115" i="3"/>
  <c r="K120" i="4" s="1"/>
  <c r="A115" i="3"/>
  <c r="M115" i="3"/>
  <c r="H120" i="4" s="1"/>
  <c r="B114" i="3"/>
  <c r="C114" i="3" s="1"/>
  <c r="F113" i="3"/>
  <c r="F118" i="4" s="1"/>
  <c r="U113" i="3"/>
  <c r="V113" i="3" s="1"/>
  <c r="S113" i="3"/>
  <c r="T113" i="3" s="1"/>
  <c r="E112" i="3"/>
  <c r="D117" i="4" s="1"/>
  <c r="H111" i="3"/>
  <c r="A120" i="4" l="1"/>
  <c r="N116" i="3"/>
  <c r="J121" i="4" s="1"/>
  <c r="C118" i="4"/>
  <c r="W113" i="3"/>
  <c r="G113" i="3"/>
  <c r="G118" i="4" s="1"/>
  <c r="R111" i="3"/>
  <c r="E116" i="4"/>
  <c r="D114" i="3"/>
  <c r="B119" i="4"/>
  <c r="Q116" i="3"/>
  <c r="P121" i="4" s="1"/>
  <c r="P116" i="3"/>
  <c r="O121" i="4" s="1"/>
  <c r="L116" i="3"/>
  <c r="N121" i="4" s="1"/>
  <c r="J116" i="3"/>
  <c r="L121" i="4" s="1"/>
  <c r="I116" i="3"/>
  <c r="K121" i="4" s="1"/>
  <c r="U114" i="3"/>
  <c r="V114" i="3" s="1"/>
  <c r="S114" i="3"/>
  <c r="T114" i="3" s="1"/>
  <c r="A116" i="3"/>
  <c r="M116" i="3"/>
  <c r="H121" i="4" s="1"/>
  <c r="B115" i="3"/>
  <c r="C115" i="3" s="1"/>
  <c r="F114" i="3"/>
  <c r="F119" i="4" s="1"/>
  <c r="H112" i="3"/>
  <c r="E117" i="4" s="1"/>
  <c r="E113" i="3"/>
  <c r="D118" i="4" s="1"/>
  <c r="A121" i="4" l="1"/>
  <c r="N117" i="3"/>
  <c r="J122" i="4" s="1"/>
  <c r="C119" i="4"/>
  <c r="W114" i="3"/>
  <c r="G114" i="3" s="1"/>
  <c r="G119" i="4" s="1"/>
  <c r="D115" i="3"/>
  <c r="B120" i="4"/>
  <c r="Q117" i="3"/>
  <c r="P122" i="4" s="1"/>
  <c r="P117" i="3"/>
  <c r="O122" i="4" s="1"/>
  <c r="R112" i="3"/>
  <c r="L117" i="3"/>
  <c r="N122" i="4" s="1"/>
  <c r="J117" i="3"/>
  <c r="L122" i="4" s="1"/>
  <c r="I117" i="3"/>
  <c r="K122" i="4" s="1"/>
  <c r="A117" i="3"/>
  <c r="M117" i="3"/>
  <c r="H122" i="4" s="1"/>
  <c r="B116" i="3"/>
  <c r="C116" i="3" s="1"/>
  <c r="F115" i="3"/>
  <c r="F120" i="4" s="1"/>
  <c r="U115" i="3"/>
  <c r="V115" i="3" s="1"/>
  <c r="S115" i="3"/>
  <c r="T115" i="3" s="1"/>
  <c r="E114" i="3"/>
  <c r="D119" i="4" s="1"/>
  <c r="H113" i="3"/>
  <c r="E118" i="4" s="1"/>
  <c r="A122" i="4" l="1"/>
  <c r="N118" i="3"/>
  <c r="J123" i="4" s="1"/>
  <c r="C120" i="4"/>
  <c r="W115" i="3"/>
  <c r="G115" i="3"/>
  <c r="G120" i="4" s="1"/>
  <c r="D116" i="3"/>
  <c r="B121" i="4"/>
  <c r="Q118" i="3"/>
  <c r="P123" i="4" s="1"/>
  <c r="P118" i="3"/>
  <c r="O123" i="4" s="1"/>
  <c r="R113" i="3"/>
  <c r="L118" i="3"/>
  <c r="N123" i="4" s="1"/>
  <c r="J118" i="3"/>
  <c r="L123" i="4" s="1"/>
  <c r="I118" i="3"/>
  <c r="K123" i="4" s="1"/>
  <c r="S116" i="3"/>
  <c r="T116" i="3" s="1"/>
  <c r="U116" i="3"/>
  <c r="V116" i="3" s="1"/>
  <c r="A118" i="3"/>
  <c r="M118" i="3"/>
  <c r="H123" i="4" s="1"/>
  <c r="B117" i="3"/>
  <c r="C117" i="3" s="1"/>
  <c r="F116" i="3"/>
  <c r="F121" i="4" s="1"/>
  <c r="E115" i="3"/>
  <c r="D120" i="4" s="1"/>
  <c r="H114" i="3"/>
  <c r="A123" i="4" l="1"/>
  <c r="N119" i="3"/>
  <c r="J124" i="4" s="1"/>
  <c r="C121" i="4"/>
  <c r="W116" i="3"/>
  <c r="G116" i="3"/>
  <c r="G121" i="4" s="1"/>
  <c r="D117" i="3"/>
  <c r="B122" i="4"/>
  <c r="R114" i="3"/>
  <c r="E119" i="4"/>
  <c r="Q119" i="3"/>
  <c r="P124" i="4" s="1"/>
  <c r="P119" i="3"/>
  <c r="O124" i="4" s="1"/>
  <c r="L119" i="3"/>
  <c r="N124" i="4" s="1"/>
  <c r="J119" i="3"/>
  <c r="L124" i="4" s="1"/>
  <c r="I119" i="3"/>
  <c r="K124" i="4" s="1"/>
  <c r="A119" i="3"/>
  <c r="M119" i="3"/>
  <c r="H124" i="4" s="1"/>
  <c r="B118" i="3"/>
  <c r="C118" i="3" s="1"/>
  <c r="F117" i="3"/>
  <c r="F122" i="4" s="1"/>
  <c r="U117" i="3"/>
  <c r="V117" i="3" s="1"/>
  <c r="S117" i="3"/>
  <c r="T117" i="3" s="1"/>
  <c r="H115" i="3"/>
  <c r="E116" i="3"/>
  <c r="D121" i="4" s="1"/>
  <c r="A124" i="4" l="1"/>
  <c r="N120" i="3"/>
  <c r="J125" i="4" s="1"/>
  <c r="G117" i="3"/>
  <c r="G122" i="4" s="1"/>
  <c r="C122" i="4"/>
  <c r="W117" i="3"/>
  <c r="R115" i="3"/>
  <c r="E120" i="4"/>
  <c r="D118" i="3"/>
  <c r="B123" i="4"/>
  <c r="Q120" i="3"/>
  <c r="P125" i="4" s="1"/>
  <c r="P120" i="3"/>
  <c r="O125" i="4" s="1"/>
  <c r="L120" i="3"/>
  <c r="N125" i="4" s="1"/>
  <c r="J120" i="3"/>
  <c r="L125" i="4" s="1"/>
  <c r="I120" i="3"/>
  <c r="K125" i="4" s="1"/>
  <c r="S118" i="3"/>
  <c r="T118" i="3" s="1"/>
  <c r="U118" i="3"/>
  <c r="V118" i="3" s="1"/>
  <c r="A120" i="3"/>
  <c r="M120" i="3"/>
  <c r="H125" i="4" s="1"/>
  <c r="B119" i="3"/>
  <c r="C119" i="3" s="1"/>
  <c r="F118" i="3"/>
  <c r="F123" i="4" s="1"/>
  <c r="H116" i="3"/>
  <c r="E117" i="3"/>
  <c r="D122" i="4" s="1"/>
  <c r="A125" i="4" l="1"/>
  <c r="N121" i="3"/>
  <c r="J126" i="4" s="1"/>
  <c r="C123" i="4"/>
  <c r="W118" i="3"/>
  <c r="G118" i="3"/>
  <c r="G123" i="4" s="1"/>
  <c r="R116" i="3"/>
  <c r="E121" i="4"/>
  <c r="D119" i="3"/>
  <c r="B124" i="4"/>
  <c r="K121" i="3"/>
  <c r="Q121" i="3"/>
  <c r="P126" i="4" s="1"/>
  <c r="P121" i="3"/>
  <c r="O126" i="4" s="1"/>
  <c r="L121" i="3"/>
  <c r="N126" i="4" s="1"/>
  <c r="J121" i="3"/>
  <c r="L126" i="4" s="1"/>
  <c r="I121" i="3"/>
  <c r="K126" i="4" s="1"/>
  <c r="A121" i="3"/>
  <c r="M121" i="3"/>
  <c r="H126" i="4" s="1"/>
  <c r="B120" i="3"/>
  <c r="C120" i="3" s="1"/>
  <c r="F119" i="3"/>
  <c r="F124" i="4" s="1"/>
  <c r="S119" i="3"/>
  <c r="T119" i="3" s="1"/>
  <c r="U119" i="3"/>
  <c r="V119" i="3" s="1"/>
  <c r="H117" i="3"/>
  <c r="E118" i="3"/>
  <c r="D123" i="4" s="1"/>
  <c r="A126" i="4" l="1"/>
  <c r="N122" i="3"/>
  <c r="J127" i="4" s="1"/>
  <c r="C124" i="4"/>
  <c r="W119" i="3"/>
  <c r="Y10" i="3"/>
  <c r="Z10" i="3" s="1"/>
  <c r="M126" i="4"/>
  <c r="R117" i="3"/>
  <c r="E122" i="4"/>
  <c r="D120" i="3"/>
  <c r="B125" i="4"/>
  <c r="G119" i="3"/>
  <c r="G124" i="4" s="1"/>
  <c r="Q122" i="3"/>
  <c r="P127" i="4" s="1"/>
  <c r="P122" i="3"/>
  <c r="O127" i="4" s="1"/>
  <c r="L122" i="3"/>
  <c r="N127" i="4" s="1"/>
  <c r="J122" i="3"/>
  <c r="L127" i="4" s="1"/>
  <c r="I122" i="3"/>
  <c r="K127" i="4" s="1"/>
  <c r="U120" i="3"/>
  <c r="V120" i="3" s="1"/>
  <c r="S120" i="3"/>
  <c r="T120" i="3" s="1"/>
  <c r="A122" i="3"/>
  <c r="M122" i="3"/>
  <c r="H127" i="4" s="1"/>
  <c r="B121" i="3"/>
  <c r="C121" i="3" s="1"/>
  <c r="F120" i="3"/>
  <c r="F125" i="4" s="1"/>
  <c r="H118" i="3"/>
  <c r="E119" i="3"/>
  <c r="D124" i="4" s="1"/>
  <c r="A127" i="4" l="1"/>
  <c r="N123" i="3"/>
  <c r="J128" i="4" s="1"/>
  <c r="C125" i="4"/>
  <c r="W120" i="3"/>
  <c r="G120" i="3"/>
  <c r="G125" i="4" s="1"/>
  <c r="R118" i="3"/>
  <c r="E123" i="4"/>
  <c r="D121" i="3"/>
  <c r="B126" i="4"/>
  <c r="Q123" i="3"/>
  <c r="P128" i="4" s="1"/>
  <c r="P123" i="3"/>
  <c r="O128" i="4" s="1"/>
  <c r="L123" i="3"/>
  <c r="N128" i="4" s="1"/>
  <c r="J123" i="3"/>
  <c r="L128" i="4" s="1"/>
  <c r="I123" i="3"/>
  <c r="K128" i="4" s="1"/>
  <c r="A123" i="3"/>
  <c r="M123" i="3"/>
  <c r="H128" i="4" s="1"/>
  <c r="B122" i="3"/>
  <c r="C122" i="3" s="1"/>
  <c r="F121" i="3"/>
  <c r="F126" i="4" s="1"/>
  <c r="U121" i="3"/>
  <c r="V121" i="3" s="1"/>
  <c r="S121" i="3"/>
  <c r="T121" i="3" s="1"/>
  <c r="H119" i="3"/>
  <c r="E124" i="4" s="1"/>
  <c r="E120" i="3"/>
  <c r="D125" i="4" s="1"/>
  <c r="A128" i="4" l="1"/>
  <c r="N124" i="3"/>
  <c r="J129" i="4" s="1"/>
  <c r="G121" i="3"/>
  <c r="G126" i="4" s="1"/>
  <c r="C126" i="4"/>
  <c r="W121" i="3"/>
  <c r="D122" i="3"/>
  <c r="B127" i="4"/>
  <c r="Q124" i="3"/>
  <c r="P129" i="4" s="1"/>
  <c r="P124" i="3"/>
  <c r="O129" i="4" s="1"/>
  <c r="R119" i="3"/>
  <c r="L124" i="3"/>
  <c r="N129" i="4" s="1"/>
  <c r="J124" i="3"/>
  <c r="L129" i="4" s="1"/>
  <c r="I124" i="3"/>
  <c r="K129" i="4" s="1"/>
  <c r="S122" i="3"/>
  <c r="T122" i="3" s="1"/>
  <c r="U122" i="3"/>
  <c r="V122" i="3" s="1"/>
  <c r="A124" i="3"/>
  <c r="M124" i="3"/>
  <c r="H129" i="4" s="1"/>
  <c r="B123" i="3"/>
  <c r="C123" i="3" s="1"/>
  <c r="F122" i="3"/>
  <c r="F127" i="4" s="1"/>
  <c r="H120" i="3"/>
  <c r="E125" i="4" s="1"/>
  <c r="E121" i="3"/>
  <c r="D126" i="4" s="1"/>
  <c r="A129" i="4" l="1"/>
  <c r="N125" i="3"/>
  <c r="J130" i="4" s="1"/>
  <c r="C127" i="4"/>
  <c r="W122" i="3"/>
  <c r="G122" i="3"/>
  <c r="G127" i="4" s="1"/>
  <c r="D123" i="3"/>
  <c r="B128" i="4"/>
  <c r="Q125" i="3"/>
  <c r="P130" i="4" s="1"/>
  <c r="P125" i="3"/>
  <c r="O130" i="4" s="1"/>
  <c r="R120" i="3"/>
  <c r="L125" i="3"/>
  <c r="N130" i="4" s="1"/>
  <c r="J125" i="3"/>
  <c r="L130" i="4" s="1"/>
  <c r="I125" i="3"/>
  <c r="K130" i="4" s="1"/>
  <c r="A125" i="3"/>
  <c r="M125" i="3"/>
  <c r="H130" i="4" s="1"/>
  <c r="B124" i="3"/>
  <c r="C124" i="3" s="1"/>
  <c r="F123" i="3"/>
  <c r="F128" i="4" s="1"/>
  <c r="U123" i="3"/>
  <c r="V123" i="3" s="1"/>
  <c r="S123" i="3"/>
  <c r="T123" i="3" s="1"/>
  <c r="E122" i="3"/>
  <c r="D127" i="4" s="1"/>
  <c r="H121" i="3"/>
  <c r="E126" i="4" s="1"/>
  <c r="A130" i="4" l="1"/>
  <c r="N126" i="3"/>
  <c r="J131" i="4" s="1"/>
  <c r="C128" i="4"/>
  <c r="W123" i="3"/>
  <c r="G123" i="3" s="1"/>
  <c r="G128" i="4" s="1"/>
  <c r="D124" i="3"/>
  <c r="B129" i="4"/>
  <c r="Q126" i="3"/>
  <c r="P131" i="4" s="1"/>
  <c r="P126" i="3"/>
  <c r="O131" i="4" s="1"/>
  <c r="R121" i="3"/>
  <c r="L126" i="3"/>
  <c r="N131" i="4" s="1"/>
  <c r="J126" i="3"/>
  <c r="L131" i="4" s="1"/>
  <c r="I126" i="3"/>
  <c r="K131" i="4" s="1"/>
  <c r="S124" i="3"/>
  <c r="T124" i="3" s="1"/>
  <c r="U124" i="3"/>
  <c r="V124" i="3" s="1"/>
  <c r="A126" i="3"/>
  <c r="M126" i="3"/>
  <c r="H131" i="4" s="1"/>
  <c r="B125" i="3"/>
  <c r="C125" i="3" s="1"/>
  <c r="F124" i="3"/>
  <c r="F129" i="4" s="1"/>
  <c r="H122" i="3"/>
  <c r="E127" i="4" s="1"/>
  <c r="E123" i="3"/>
  <c r="D128" i="4" s="1"/>
  <c r="A131" i="4" l="1"/>
  <c r="N127" i="3"/>
  <c r="J132" i="4" s="1"/>
  <c r="C129" i="4"/>
  <c r="W124" i="3"/>
  <c r="G124" i="3"/>
  <c r="G129" i="4" s="1"/>
  <c r="D125" i="3"/>
  <c r="B130" i="4"/>
  <c r="Q127" i="3"/>
  <c r="P132" i="4" s="1"/>
  <c r="P127" i="3"/>
  <c r="O132" i="4" s="1"/>
  <c r="R122" i="3"/>
  <c r="L127" i="3"/>
  <c r="N132" i="4" s="1"/>
  <c r="J127" i="3"/>
  <c r="L132" i="4" s="1"/>
  <c r="I127" i="3"/>
  <c r="K132" i="4" s="1"/>
  <c r="A127" i="3"/>
  <c r="M127" i="3"/>
  <c r="H132" i="4" s="1"/>
  <c r="B126" i="3"/>
  <c r="C126" i="3" s="1"/>
  <c r="F125" i="3"/>
  <c r="F130" i="4" s="1"/>
  <c r="S125" i="3"/>
  <c r="T125" i="3" s="1"/>
  <c r="U125" i="3"/>
  <c r="V125" i="3" s="1"/>
  <c r="H123" i="3"/>
  <c r="E128" i="4" s="1"/>
  <c r="E124" i="3"/>
  <c r="D129" i="4" s="1"/>
  <c r="A132" i="4" l="1"/>
  <c r="N128" i="3"/>
  <c r="J133" i="4" s="1"/>
  <c r="G125" i="3"/>
  <c r="G130" i="4" s="1"/>
  <c r="C130" i="4"/>
  <c r="W125" i="3"/>
  <c r="D126" i="3"/>
  <c r="B131" i="4"/>
  <c r="Q128" i="3"/>
  <c r="P133" i="4" s="1"/>
  <c r="P128" i="3"/>
  <c r="O133" i="4" s="1"/>
  <c r="R123" i="3"/>
  <c r="L128" i="3"/>
  <c r="N133" i="4" s="1"/>
  <c r="J128" i="3"/>
  <c r="L133" i="4" s="1"/>
  <c r="I128" i="3"/>
  <c r="K133" i="4" s="1"/>
  <c r="U126" i="3"/>
  <c r="V126" i="3" s="1"/>
  <c r="S126" i="3"/>
  <c r="T126" i="3" s="1"/>
  <c r="A128" i="3"/>
  <c r="M128" i="3"/>
  <c r="H133" i="4" s="1"/>
  <c r="B127" i="3"/>
  <c r="C127" i="3" s="1"/>
  <c r="F126" i="3"/>
  <c r="F131" i="4" s="1"/>
  <c r="E125" i="3"/>
  <c r="D130" i="4" s="1"/>
  <c r="H124" i="3"/>
  <c r="E129" i="4" s="1"/>
  <c r="A133" i="4" l="1"/>
  <c r="N129" i="3"/>
  <c r="J134" i="4" s="1"/>
  <c r="C131" i="4"/>
  <c r="W126" i="3"/>
  <c r="G126" i="3" s="1"/>
  <c r="G131" i="4" s="1"/>
  <c r="D127" i="3"/>
  <c r="B132" i="4"/>
  <c r="Q129" i="3"/>
  <c r="P134" i="4" s="1"/>
  <c r="P129" i="3"/>
  <c r="O134" i="4" s="1"/>
  <c r="R124" i="3"/>
  <c r="L129" i="3"/>
  <c r="N134" i="4" s="1"/>
  <c r="J129" i="3"/>
  <c r="L134" i="4" s="1"/>
  <c r="I129" i="3"/>
  <c r="K134" i="4" s="1"/>
  <c r="A129" i="3"/>
  <c r="M129" i="3"/>
  <c r="H134" i="4" s="1"/>
  <c r="B128" i="3"/>
  <c r="C128" i="3" s="1"/>
  <c r="F127" i="3"/>
  <c r="F132" i="4" s="1"/>
  <c r="U127" i="3"/>
  <c r="V127" i="3" s="1"/>
  <c r="S127" i="3"/>
  <c r="T127" i="3" s="1"/>
  <c r="H125" i="3"/>
  <c r="E130" i="4" s="1"/>
  <c r="E126" i="3"/>
  <c r="D131" i="4" s="1"/>
  <c r="A134" i="4" l="1"/>
  <c r="N130" i="3"/>
  <c r="J135" i="4" s="1"/>
  <c r="C132" i="4"/>
  <c r="W127" i="3"/>
  <c r="G127" i="3"/>
  <c r="G132" i="4" s="1"/>
  <c r="D128" i="3"/>
  <c r="B133" i="4"/>
  <c r="Q130" i="3"/>
  <c r="P135" i="4" s="1"/>
  <c r="P130" i="3"/>
  <c r="O135" i="4" s="1"/>
  <c r="R125" i="3"/>
  <c r="L130" i="3"/>
  <c r="N135" i="4" s="1"/>
  <c r="J130" i="3"/>
  <c r="L135" i="4" s="1"/>
  <c r="I130" i="3"/>
  <c r="K135" i="4" s="1"/>
  <c r="U128" i="3"/>
  <c r="V128" i="3" s="1"/>
  <c r="S128" i="3"/>
  <c r="T128" i="3" s="1"/>
  <c r="A130" i="3"/>
  <c r="M130" i="3"/>
  <c r="H135" i="4" s="1"/>
  <c r="B129" i="3"/>
  <c r="C129" i="3" s="1"/>
  <c r="F128" i="3"/>
  <c r="F133" i="4" s="1"/>
  <c r="H126" i="3"/>
  <c r="E131" i="4" s="1"/>
  <c r="E127" i="3"/>
  <c r="D132" i="4" s="1"/>
  <c r="A135" i="4" l="1"/>
  <c r="N131" i="3"/>
  <c r="J136" i="4" s="1"/>
  <c r="C133" i="4"/>
  <c r="W128" i="3"/>
  <c r="G128" i="3"/>
  <c r="G133" i="4" s="1"/>
  <c r="D129" i="3"/>
  <c r="B134" i="4"/>
  <c r="Q131" i="3"/>
  <c r="P136" i="4" s="1"/>
  <c r="P131" i="3"/>
  <c r="O136" i="4" s="1"/>
  <c r="R126" i="3"/>
  <c r="L131" i="3"/>
  <c r="N136" i="4" s="1"/>
  <c r="J131" i="3"/>
  <c r="L136" i="4" s="1"/>
  <c r="I131" i="3"/>
  <c r="K136" i="4" s="1"/>
  <c r="A131" i="3"/>
  <c r="M131" i="3"/>
  <c r="H136" i="4" s="1"/>
  <c r="B130" i="3"/>
  <c r="C130" i="3" s="1"/>
  <c r="F129" i="3"/>
  <c r="F134" i="4" s="1"/>
  <c r="U129" i="3"/>
  <c r="V129" i="3" s="1"/>
  <c r="S129" i="3"/>
  <c r="T129" i="3" s="1"/>
  <c r="E128" i="3"/>
  <c r="D133" i="4" s="1"/>
  <c r="H127" i="3"/>
  <c r="E132" i="4" s="1"/>
  <c r="A136" i="4" l="1"/>
  <c r="N132" i="3"/>
  <c r="J137" i="4" s="1"/>
  <c r="C134" i="4"/>
  <c r="W129" i="3"/>
  <c r="G129" i="3"/>
  <c r="G134" i="4" s="1"/>
  <c r="D130" i="3"/>
  <c r="B135" i="4"/>
  <c r="Q132" i="3"/>
  <c r="P137" i="4" s="1"/>
  <c r="P132" i="3"/>
  <c r="O137" i="4" s="1"/>
  <c r="R127" i="3"/>
  <c r="L132" i="3"/>
  <c r="N137" i="4" s="1"/>
  <c r="J132" i="3"/>
  <c r="L137" i="4" s="1"/>
  <c r="I132" i="3"/>
  <c r="K137" i="4" s="1"/>
  <c r="S130" i="3"/>
  <c r="T130" i="3" s="1"/>
  <c r="U130" i="3"/>
  <c r="V130" i="3" s="1"/>
  <c r="A132" i="3"/>
  <c r="M132" i="3"/>
  <c r="H137" i="4" s="1"/>
  <c r="B131" i="3"/>
  <c r="C131" i="3" s="1"/>
  <c r="F130" i="3"/>
  <c r="F135" i="4" s="1"/>
  <c r="H128" i="3"/>
  <c r="E133" i="4" s="1"/>
  <c r="E129" i="3"/>
  <c r="D134" i="4" s="1"/>
  <c r="A137" i="4" l="1"/>
  <c r="N133" i="3"/>
  <c r="J138" i="4" s="1"/>
  <c r="C135" i="4"/>
  <c r="W130" i="3"/>
  <c r="G130" i="3"/>
  <c r="G135" i="4" s="1"/>
  <c r="D131" i="3"/>
  <c r="B136" i="4"/>
  <c r="K133" i="3"/>
  <c r="Q133" i="3"/>
  <c r="P138" i="4" s="1"/>
  <c r="P133" i="3"/>
  <c r="O138" i="4" s="1"/>
  <c r="R128" i="3"/>
  <c r="L133" i="3"/>
  <c r="N138" i="4" s="1"/>
  <c r="J133" i="3"/>
  <c r="L138" i="4" s="1"/>
  <c r="I133" i="3"/>
  <c r="K138" i="4" s="1"/>
  <c r="A133" i="3"/>
  <c r="M133" i="3"/>
  <c r="H138" i="4" s="1"/>
  <c r="B132" i="3"/>
  <c r="C132" i="3" s="1"/>
  <c r="F131" i="3"/>
  <c r="F136" i="4" s="1"/>
  <c r="S131" i="3"/>
  <c r="T131" i="3" s="1"/>
  <c r="U131" i="3"/>
  <c r="V131" i="3" s="1"/>
  <c r="E130" i="3"/>
  <c r="D135" i="4" s="1"/>
  <c r="H129" i="3"/>
  <c r="E134" i="4" s="1"/>
  <c r="A138" i="4" l="1"/>
  <c r="N134" i="3"/>
  <c r="J139" i="4" s="1"/>
  <c r="C136" i="4"/>
  <c r="W131" i="3"/>
  <c r="Y11" i="3"/>
  <c r="Z11" i="3" s="1"/>
  <c r="M138" i="4"/>
  <c r="D132" i="3"/>
  <c r="B137" i="4"/>
  <c r="G131" i="3"/>
  <c r="G136" i="4" s="1"/>
  <c r="Q134" i="3"/>
  <c r="P139" i="4" s="1"/>
  <c r="P134" i="3"/>
  <c r="O139" i="4" s="1"/>
  <c r="R129" i="3"/>
  <c r="L134" i="3"/>
  <c r="N139" i="4" s="1"/>
  <c r="J134" i="3"/>
  <c r="L139" i="4" s="1"/>
  <c r="I134" i="3"/>
  <c r="K139" i="4" s="1"/>
  <c r="S132" i="3"/>
  <c r="T132" i="3" s="1"/>
  <c r="U132" i="3"/>
  <c r="V132" i="3" s="1"/>
  <c r="A134" i="3"/>
  <c r="M134" i="3"/>
  <c r="H139" i="4" s="1"/>
  <c r="B133" i="3"/>
  <c r="C133" i="3" s="1"/>
  <c r="B138" i="4" s="1"/>
  <c r="F132" i="3"/>
  <c r="F137" i="4" s="1"/>
  <c r="H130" i="3"/>
  <c r="E135" i="4" s="1"/>
  <c r="E131" i="3"/>
  <c r="D136" i="4" s="1"/>
  <c r="A139" i="4" l="1"/>
  <c r="N135" i="3"/>
  <c r="J140" i="4" s="1"/>
  <c r="C137" i="4"/>
  <c r="W132" i="3"/>
  <c r="G132" i="3"/>
  <c r="G137" i="4" s="1"/>
  <c r="Q135" i="3"/>
  <c r="P140" i="4" s="1"/>
  <c r="P135" i="3"/>
  <c r="O140" i="4" s="1"/>
  <c r="R130" i="3"/>
  <c r="L135" i="3"/>
  <c r="N140" i="4" s="1"/>
  <c r="J135" i="3"/>
  <c r="L140" i="4" s="1"/>
  <c r="I135" i="3"/>
  <c r="K140" i="4" s="1"/>
  <c r="U133" i="3"/>
  <c r="V133" i="3" s="1"/>
  <c r="S133" i="3"/>
  <c r="T133" i="3" s="1"/>
  <c r="A135" i="3"/>
  <c r="M135" i="3"/>
  <c r="H140" i="4" s="1"/>
  <c r="B134" i="3"/>
  <c r="C134" i="3" s="1"/>
  <c r="F133" i="3"/>
  <c r="F138" i="4" s="1"/>
  <c r="D133" i="3"/>
  <c r="H131" i="3"/>
  <c r="E136" i="4" s="1"/>
  <c r="E132" i="3"/>
  <c r="D137" i="4" s="1"/>
  <c r="A140" i="4" l="1"/>
  <c r="N136" i="3"/>
  <c r="J141" i="4" s="1"/>
  <c r="C138" i="4"/>
  <c r="W133" i="3"/>
  <c r="D134" i="3"/>
  <c r="B139" i="4"/>
  <c r="G133" i="3"/>
  <c r="G138" i="4" s="1"/>
  <c r="Q136" i="3"/>
  <c r="P141" i="4" s="1"/>
  <c r="P136" i="3"/>
  <c r="O141" i="4" s="1"/>
  <c r="R131" i="3"/>
  <c r="L136" i="3"/>
  <c r="N141" i="4" s="1"/>
  <c r="J136" i="3"/>
  <c r="L141" i="4" s="1"/>
  <c r="I136" i="3"/>
  <c r="K141" i="4" s="1"/>
  <c r="A136" i="3"/>
  <c r="M136" i="3"/>
  <c r="H141" i="4" s="1"/>
  <c r="B135" i="3"/>
  <c r="C135" i="3" s="1"/>
  <c r="F134" i="3"/>
  <c r="F139" i="4" s="1"/>
  <c r="U134" i="3"/>
  <c r="V134" i="3" s="1"/>
  <c r="S134" i="3"/>
  <c r="T134" i="3" s="1"/>
  <c r="E133" i="3"/>
  <c r="D138" i="4" s="1"/>
  <c r="H132" i="3"/>
  <c r="E137" i="4" s="1"/>
  <c r="G134" i="3" l="1"/>
  <c r="G139" i="4" s="1"/>
  <c r="A141" i="4"/>
  <c r="N137" i="3"/>
  <c r="J142" i="4" s="1"/>
  <c r="C139" i="4"/>
  <c r="W134" i="3"/>
  <c r="D135" i="3"/>
  <c r="B140" i="4"/>
  <c r="Q137" i="3"/>
  <c r="P142" i="4" s="1"/>
  <c r="P137" i="3"/>
  <c r="O142" i="4" s="1"/>
  <c r="R132" i="3"/>
  <c r="L137" i="3"/>
  <c r="N142" i="4" s="1"/>
  <c r="J137" i="3"/>
  <c r="L142" i="4" s="1"/>
  <c r="I137" i="3"/>
  <c r="K142" i="4" s="1"/>
  <c r="U135" i="3"/>
  <c r="V135" i="3" s="1"/>
  <c r="S135" i="3"/>
  <c r="T135" i="3" s="1"/>
  <c r="A137" i="3"/>
  <c r="M137" i="3"/>
  <c r="H142" i="4" s="1"/>
  <c r="B136" i="3"/>
  <c r="C136" i="3" s="1"/>
  <c r="F135" i="3"/>
  <c r="F140" i="4" s="1"/>
  <c r="H133" i="3"/>
  <c r="E138" i="4" s="1"/>
  <c r="E134" i="3"/>
  <c r="D139" i="4" s="1"/>
  <c r="A142" i="4" l="1"/>
  <c r="N138" i="3"/>
  <c r="J143" i="4" s="1"/>
  <c r="C140" i="4"/>
  <c r="W135" i="3"/>
  <c r="G135" i="3"/>
  <c r="G140" i="4" s="1"/>
  <c r="D136" i="3"/>
  <c r="B141" i="4"/>
  <c r="Q138" i="3"/>
  <c r="P143" i="4" s="1"/>
  <c r="P138" i="3"/>
  <c r="O143" i="4" s="1"/>
  <c r="R133" i="3"/>
  <c r="L138" i="3"/>
  <c r="N143" i="4" s="1"/>
  <c r="J138" i="3"/>
  <c r="L143" i="4" s="1"/>
  <c r="I138" i="3"/>
  <c r="K143" i="4" s="1"/>
  <c r="A138" i="3"/>
  <c r="M138" i="3"/>
  <c r="H143" i="4" s="1"/>
  <c r="B137" i="3"/>
  <c r="C137" i="3" s="1"/>
  <c r="F136" i="3"/>
  <c r="F141" i="4" s="1"/>
  <c r="U136" i="3"/>
  <c r="V136" i="3" s="1"/>
  <c r="S136" i="3"/>
  <c r="T136" i="3" s="1"/>
  <c r="H134" i="3"/>
  <c r="E139" i="4" s="1"/>
  <c r="E135" i="3"/>
  <c r="D140" i="4" s="1"/>
  <c r="A143" i="4" l="1"/>
  <c r="N139" i="3"/>
  <c r="J144" i="4" s="1"/>
  <c r="C141" i="4"/>
  <c r="W136" i="3"/>
  <c r="G136" i="3"/>
  <c r="G141" i="4" s="1"/>
  <c r="D137" i="3"/>
  <c r="B142" i="4"/>
  <c r="Q139" i="3"/>
  <c r="P144" i="4" s="1"/>
  <c r="P139" i="3"/>
  <c r="O144" i="4" s="1"/>
  <c r="R134" i="3"/>
  <c r="L139" i="3"/>
  <c r="N144" i="4" s="1"/>
  <c r="J139" i="3"/>
  <c r="L144" i="4" s="1"/>
  <c r="I139" i="3"/>
  <c r="K144" i="4" s="1"/>
  <c r="U137" i="3"/>
  <c r="V137" i="3" s="1"/>
  <c r="S137" i="3"/>
  <c r="T137" i="3" s="1"/>
  <c r="A139" i="3"/>
  <c r="M139" i="3"/>
  <c r="H144" i="4" s="1"/>
  <c r="B138" i="3"/>
  <c r="C138" i="3" s="1"/>
  <c r="F137" i="3"/>
  <c r="F142" i="4" s="1"/>
  <c r="E136" i="3"/>
  <c r="D141" i="4" s="1"/>
  <c r="H135" i="3"/>
  <c r="E140" i="4" s="1"/>
  <c r="A144" i="4" l="1"/>
  <c r="N140" i="3"/>
  <c r="J145" i="4" s="1"/>
  <c r="C142" i="4"/>
  <c r="W137" i="3"/>
  <c r="G137" i="3"/>
  <c r="G142" i="4" s="1"/>
  <c r="D138" i="3"/>
  <c r="B143" i="4"/>
  <c r="Q140" i="3"/>
  <c r="P145" i="4" s="1"/>
  <c r="P140" i="3"/>
  <c r="O145" i="4" s="1"/>
  <c r="R135" i="3"/>
  <c r="L140" i="3"/>
  <c r="N145" i="4" s="1"/>
  <c r="J140" i="3"/>
  <c r="L145" i="4" s="1"/>
  <c r="I140" i="3"/>
  <c r="K145" i="4" s="1"/>
  <c r="A140" i="3"/>
  <c r="M140" i="3"/>
  <c r="H145" i="4" s="1"/>
  <c r="B139" i="3"/>
  <c r="C139" i="3" s="1"/>
  <c r="F138" i="3"/>
  <c r="F143" i="4" s="1"/>
  <c r="S138" i="3"/>
  <c r="T138" i="3" s="1"/>
  <c r="U138" i="3"/>
  <c r="V138" i="3" s="1"/>
  <c r="H136" i="3"/>
  <c r="E141" i="4" s="1"/>
  <c r="E137" i="3"/>
  <c r="D142" i="4" s="1"/>
  <c r="A145" i="4" l="1"/>
  <c r="N141" i="3"/>
  <c r="J146" i="4" s="1"/>
  <c r="G138" i="3"/>
  <c r="G143" i="4" s="1"/>
  <c r="C143" i="4"/>
  <c r="W138" i="3"/>
  <c r="D139" i="3"/>
  <c r="B144" i="4"/>
  <c r="Q141" i="3"/>
  <c r="P146" i="4" s="1"/>
  <c r="P141" i="3"/>
  <c r="O146" i="4" s="1"/>
  <c r="R136" i="3"/>
  <c r="L141" i="3"/>
  <c r="N146" i="4" s="1"/>
  <c r="J141" i="3"/>
  <c r="L146" i="4" s="1"/>
  <c r="I141" i="3"/>
  <c r="K146" i="4" s="1"/>
  <c r="U139" i="3"/>
  <c r="V139" i="3" s="1"/>
  <c r="S139" i="3"/>
  <c r="T139" i="3" s="1"/>
  <c r="A141" i="3"/>
  <c r="M141" i="3"/>
  <c r="H146" i="4" s="1"/>
  <c r="B140" i="3"/>
  <c r="C140" i="3" s="1"/>
  <c r="F139" i="3"/>
  <c r="F144" i="4" s="1"/>
  <c r="E138" i="3"/>
  <c r="D143" i="4" s="1"/>
  <c r="H137" i="3"/>
  <c r="E142" i="4" s="1"/>
  <c r="A146" i="4" l="1"/>
  <c r="N142" i="3"/>
  <c r="J147" i="4" s="1"/>
  <c r="C144" i="4"/>
  <c r="W139" i="3"/>
  <c r="G139" i="3"/>
  <c r="G144" i="4" s="1"/>
  <c r="D140" i="3"/>
  <c r="B145" i="4"/>
  <c r="Q142" i="3"/>
  <c r="P147" i="4" s="1"/>
  <c r="P142" i="3"/>
  <c r="O147" i="4" s="1"/>
  <c r="R137" i="3"/>
  <c r="L142" i="3"/>
  <c r="N147" i="4" s="1"/>
  <c r="J142" i="3"/>
  <c r="L147" i="4" s="1"/>
  <c r="I142" i="3"/>
  <c r="K147" i="4" s="1"/>
  <c r="A142" i="3"/>
  <c r="M142" i="3"/>
  <c r="H147" i="4" s="1"/>
  <c r="B141" i="3"/>
  <c r="C141" i="3" s="1"/>
  <c r="F140" i="3"/>
  <c r="F145" i="4" s="1"/>
  <c r="S140" i="3"/>
  <c r="T140" i="3" s="1"/>
  <c r="U140" i="3"/>
  <c r="V140" i="3" s="1"/>
  <c r="E139" i="3"/>
  <c r="D144" i="4" s="1"/>
  <c r="H138" i="3"/>
  <c r="E143" i="4" s="1"/>
  <c r="A147" i="4" l="1"/>
  <c r="N143" i="3"/>
  <c r="J148" i="4" s="1"/>
  <c r="C145" i="4"/>
  <c r="W140" i="3"/>
  <c r="G140" i="3"/>
  <c r="G145" i="4" s="1"/>
  <c r="D141" i="3"/>
  <c r="B146" i="4"/>
  <c r="Q143" i="3"/>
  <c r="P148" i="4" s="1"/>
  <c r="P143" i="3"/>
  <c r="O148" i="4" s="1"/>
  <c r="R138" i="3"/>
  <c r="L143" i="3"/>
  <c r="N148" i="4" s="1"/>
  <c r="J143" i="3"/>
  <c r="L148" i="4" s="1"/>
  <c r="I143" i="3"/>
  <c r="K148" i="4" s="1"/>
  <c r="S141" i="3"/>
  <c r="T141" i="3" s="1"/>
  <c r="U141" i="3"/>
  <c r="V141" i="3" s="1"/>
  <c r="A143" i="3"/>
  <c r="M143" i="3"/>
  <c r="H148" i="4" s="1"/>
  <c r="B142" i="3"/>
  <c r="C142" i="3" s="1"/>
  <c r="F141" i="3"/>
  <c r="F146" i="4" s="1"/>
  <c r="H139" i="3"/>
  <c r="E144" i="4" s="1"/>
  <c r="E140" i="3"/>
  <c r="D145" i="4" s="1"/>
  <c r="A148" i="4" l="1"/>
  <c r="N144" i="3"/>
  <c r="J149" i="4" s="1"/>
  <c r="C146" i="4"/>
  <c r="W141" i="3"/>
  <c r="G141" i="3"/>
  <c r="G146" i="4" s="1"/>
  <c r="D142" i="3"/>
  <c r="B147" i="4"/>
  <c r="Q144" i="3"/>
  <c r="P149" i="4" s="1"/>
  <c r="P144" i="3"/>
  <c r="O149" i="4" s="1"/>
  <c r="R139" i="3"/>
  <c r="L144" i="3"/>
  <c r="N149" i="4" s="1"/>
  <c r="J144" i="3"/>
  <c r="L149" i="4" s="1"/>
  <c r="I144" i="3"/>
  <c r="K149" i="4" s="1"/>
  <c r="S142" i="3"/>
  <c r="T142" i="3" s="1"/>
  <c r="U142" i="3"/>
  <c r="V142" i="3" s="1"/>
  <c r="A144" i="3"/>
  <c r="M144" i="3"/>
  <c r="H149" i="4" s="1"/>
  <c r="B143" i="3"/>
  <c r="C143" i="3" s="1"/>
  <c r="B148" i="4" s="1"/>
  <c r="F142" i="3"/>
  <c r="F147" i="4" s="1"/>
  <c r="E141" i="3"/>
  <c r="D146" i="4" s="1"/>
  <c r="H140" i="3"/>
  <c r="E145" i="4" s="1"/>
  <c r="A149" i="4" l="1"/>
  <c r="N145" i="3"/>
  <c r="J150" i="4" s="1"/>
  <c r="C147" i="4"/>
  <c r="W142" i="3"/>
  <c r="G142" i="3"/>
  <c r="G147" i="4" s="1"/>
  <c r="K145" i="3"/>
  <c r="Q145" i="3"/>
  <c r="P150" i="4" s="1"/>
  <c r="P145" i="3"/>
  <c r="O150" i="4" s="1"/>
  <c r="R140" i="3"/>
  <c r="L145" i="3"/>
  <c r="N150" i="4" s="1"/>
  <c r="J145" i="3"/>
  <c r="L150" i="4" s="1"/>
  <c r="I145" i="3"/>
  <c r="K150" i="4" s="1"/>
  <c r="A145" i="3"/>
  <c r="M145" i="3"/>
  <c r="H150" i="4" s="1"/>
  <c r="B144" i="3"/>
  <c r="C144" i="3" s="1"/>
  <c r="F143" i="3"/>
  <c r="F148" i="4" s="1"/>
  <c r="D143" i="3"/>
  <c r="S143" i="3"/>
  <c r="T143" i="3" s="1"/>
  <c r="U143" i="3"/>
  <c r="V143" i="3" s="1"/>
  <c r="H141" i="3"/>
  <c r="E146" i="4" s="1"/>
  <c r="E142" i="3"/>
  <c r="D147" i="4" s="1"/>
  <c r="A150" i="4" l="1"/>
  <c r="N146" i="3"/>
  <c r="J151" i="4" s="1"/>
  <c r="C148" i="4"/>
  <c r="W143" i="3"/>
  <c r="Y12" i="3"/>
  <c r="Z12" i="3" s="1"/>
  <c r="M150" i="4"/>
  <c r="D144" i="3"/>
  <c r="B149" i="4"/>
  <c r="G143" i="3"/>
  <c r="G148" i="4" s="1"/>
  <c r="Q146" i="3"/>
  <c r="P151" i="4" s="1"/>
  <c r="P146" i="3"/>
  <c r="O151" i="4" s="1"/>
  <c r="R141" i="3"/>
  <c r="L146" i="3"/>
  <c r="N151" i="4" s="1"/>
  <c r="J146" i="3"/>
  <c r="L151" i="4" s="1"/>
  <c r="I146" i="3"/>
  <c r="K151" i="4" s="1"/>
  <c r="S144" i="3"/>
  <c r="T144" i="3" s="1"/>
  <c r="U144" i="3"/>
  <c r="V144" i="3" s="1"/>
  <c r="A146" i="3"/>
  <c r="M146" i="3"/>
  <c r="H151" i="4" s="1"/>
  <c r="B145" i="3"/>
  <c r="C145" i="3" s="1"/>
  <c r="F144" i="3"/>
  <c r="F149" i="4" s="1"/>
  <c r="E143" i="3"/>
  <c r="D148" i="4" s="1"/>
  <c r="H142" i="3"/>
  <c r="E147" i="4" s="1"/>
  <c r="A151" i="4" l="1"/>
  <c r="N147" i="3"/>
  <c r="J152" i="4" s="1"/>
  <c r="C149" i="4"/>
  <c r="W144" i="3"/>
  <c r="G144" i="3"/>
  <c r="G149" i="4" s="1"/>
  <c r="D145" i="3"/>
  <c r="B150" i="4"/>
  <c r="Q147" i="3"/>
  <c r="P152" i="4" s="1"/>
  <c r="P147" i="3"/>
  <c r="O152" i="4" s="1"/>
  <c r="R142" i="3"/>
  <c r="L147" i="3"/>
  <c r="N152" i="4" s="1"/>
  <c r="J147" i="3"/>
  <c r="L152" i="4" s="1"/>
  <c r="I147" i="3"/>
  <c r="K152" i="4" s="1"/>
  <c r="A147" i="3"/>
  <c r="M147" i="3"/>
  <c r="H152" i="4" s="1"/>
  <c r="B146" i="3"/>
  <c r="C146" i="3" s="1"/>
  <c r="F145" i="3"/>
  <c r="F150" i="4" s="1"/>
  <c r="U145" i="3"/>
  <c r="V145" i="3" s="1"/>
  <c r="S145" i="3"/>
  <c r="T145" i="3" s="1"/>
  <c r="E144" i="3"/>
  <c r="D149" i="4" s="1"/>
  <c r="H143" i="3"/>
  <c r="E148" i="4" s="1"/>
  <c r="A152" i="4" l="1"/>
  <c r="N148" i="3"/>
  <c r="J153" i="4" s="1"/>
  <c r="C150" i="4"/>
  <c r="W145" i="3"/>
  <c r="G145" i="3"/>
  <c r="G150" i="4" s="1"/>
  <c r="D146" i="3"/>
  <c r="B151" i="4"/>
  <c r="Q148" i="3"/>
  <c r="P153" i="4" s="1"/>
  <c r="P148" i="3"/>
  <c r="O153" i="4" s="1"/>
  <c r="R143" i="3"/>
  <c r="L148" i="3"/>
  <c r="N153" i="4" s="1"/>
  <c r="J148" i="3"/>
  <c r="L153" i="4" s="1"/>
  <c r="I148" i="3"/>
  <c r="K153" i="4" s="1"/>
  <c r="U146" i="3"/>
  <c r="V146" i="3" s="1"/>
  <c r="S146" i="3"/>
  <c r="T146" i="3" s="1"/>
  <c r="A148" i="3"/>
  <c r="M148" i="3"/>
  <c r="H153" i="4" s="1"/>
  <c r="B147" i="3"/>
  <c r="C147" i="3" s="1"/>
  <c r="F146" i="3"/>
  <c r="F151" i="4" s="1"/>
  <c r="H144" i="3"/>
  <c r="E149" i="4" s="1"/>
  <c r="E145" i="3"/>
  <c r="D150" i="4" s="1"/>
  <c r="A153" i="4" l="1"/>
  <c r="N149" i="3"/>
  <c r="J154" i="4" s="1"/>
  <c r="C151" i="4"/>
  <c r="W146" i="3"/>
  <c r="G146" i="3"/>
  <c r="G151" i="4" s="1"/>
  <c r="D147" i="3"/>
  <c r="B152" i="4"/>
  <c r="Q149" i="3"/>
  <c r="P154" i="4" s="1"/>
  <c r="P149" i="3"/>
  <c r="O154" i="4" s="1"/>
  <c r="R144" i="3"/>
  <c r="L149" i="3"/>
  <c r="N154" i="4" s="1"/>
  <c r="J149" i="3"/>
  <c r="L154" i="4" s="1"/>
  <c r="I149" i="3"/>
  <c r="K154" i="4" s="1"/>
  <c r="A149" i="3"/>
  <c r="M149" i="3"/>
  <c r="H154" i="4" s="1"/>
  <c r="B148" i="3"/>
  <c r="C148" i="3" s="1"/>
  <c r="F147" i="3"/>
  <c r="F152" i="4" s="1"/>
  <c r="U147" i="3"/>
  <c r="V147" i="3" s="1"/>
  <c r="S147" i="3"/>
  <c r="T147" i="3" s="1"/>
  <c r="E146" i="3"/>
  <c r="D151" i="4" s="1"/>
  <c r="H145" i="3"/>
  <c r="E150" i="4" s="1"/>
  <c r="A154" i="4" l="1"/>
  <c r="N150" i="3"/>
  <c r="J155" i="4" s="1"/>
  <c r="C152" i="4"/>
  <c r="W147" i="3"/>
  <c r="G147" i="3"/>
  <c r="G152" i="4" s="1"/>
  <c r="D148" i="3"/>
  <c r="B153" i="4"/>
  <c r="Q150" i="3"/>
  <c r="P155" i="4" s="1"/>
  <c r="P150" i="3"/>
  <c r="O155" i="4" s="1"/>
  <c r="R145" i="3"/>
  <c r="L150" i="3"/>
  <c r="N155" i="4" s="1"/>
  <c r="J150" i="3"/>
  <c r="L155" i="4" s="1"/>
  <c r="I150" i="3"/>
  <c r="K155" i="4" s="1"/>
  <c r="U148" i="3"/>
  <c r="V148" i="3" s="1"/>
  <c r="S148" i="3"/>
  <c r="T148" i="3" s="1"/>
  <c r="A150" i="3"/>
  <c r="M150" i="3"/>
  <c r="H155" i="4" s="1"/>
  <c r="B149" i="3"/>
  <c r="C149" i="3" s="1"/>
  <c r="F148" i="3"/>
  <c r="F153" i="4" s="1"/>
  <c r="H146" i="3"/>
  <c r="E151" i="4" s="1"/>
  <c r="E147" i="3"/>
  <c r="D152" i="4" s="1"/>
  <c r="A155" i="4" l="1"/>
  <c r="N151" i="3"/>
  <c r="J156" i="4" s="1"/>
  <c r="C153" i="4"/>
  <c r="W148" i="3"/>
  <c r="G148" i="3"/>
  <c r="G153" i="4" s="1"/>
  <c r="D149" i="3"/>
  <c r="B154" i="4"/>
  <c r="Q151" i="3"/>
  <c r="P156" i="4" s="1"/>
  <c r="P151" i="3"/>
  <c r="O156" i="4" s="1"/>
  <c r="R146" i="3"/>
  <c r="L151" i="3"/>
  <c r="N156" i="4" s="1"/>
  <c r="J151" i="3"/>
  <c r="L156" i="4" s="1"/>
  <c r="I151" i="3"/>
  <c r="K156" i="4" s="1"/>
  <c r="A151" i="3"/>
  <c r="M151" i="3"/>
  <c r="H156" i="4" s="1"/>
  <c r="B150" i="3"/>
  <c r="C150" i="3" s="1"/>
  <c r="F149" i="3"/>
  <c r="F154" i="4" s="1"/>
  <c r="S149" i="3"/>
  <c r="T149" i="3" s="1"/>
  <c r="U149" i="3"/>
  <c r="V149" i="3" s="1"/>
  <c r="E148" i="3"/>
  <c r="D153" i="4" s="1"/>
  <c r="H147" i="3"/>
  <c r="E152" i="4" s="1"/>
  <c r="A156" i="4" l="1"/>
  <c r="N152" i="3"/>
  <c r="J157" i="4" s="1"/>
  <c r="C154" i="4"/>
  <c r="W149" i="3"/>
  <c r="G149" i="3"/>
  <c r="G154" i="4" s="1"/>
  <c r="D150" i="3"/>
  <c r="B155" i="4"/>
  <c r="Q152" i="3"/>
  <c r="P157" i="4" s="1"/>
  <c r="P152" i="3"/>
  <c r="O157" i="4" s="1"/>
  <c r="R147" i="3"/>
  <c r="L152" i="3"/>
  <c r="N157" i="4" s="1"/>
  <c r="J152" i="3"/>
  <c r="L157" i="4" s="1"/>
  <c r="I152" i="3"/>
  <c r="K157" i="4" s="1"/>
  <c r="U150" i="3"/>
  <c r="V150" i="3" s="1"/>
  <c r="S150" i="3"/>
  <c r="T150" i="3" s="1"/>
  <c r="A152" i="3"/>
  <c r="M152" i="3"/>
  <c r="H157" i="4" s="1"/>
  <c r="B151" i="3"/>
  <c r="C151" i="3" s="1"/>
  <c r="F150" i="3"/>
  <c r="F155" i="4" s="1"/>
  <c r="H148" i="3"/>
  <c r="E153" i="4" s="1"/>
  <c r="E149" i="3"/>
  <c r="D154" i="4" s="1"/>
  <c r="A157" i="4" l="1"/>
  <c r="N153" i="3"/>
  <c r="J158" i="4" s="1"/>
  <c r="C155" i="4"/>
  <c r="W150" i="3"/>
  <c r="G150" i="3"/>
  <c r="G155" i="4" s="1"/>
  <c r="D151" i="3"/>
  <c r="B156" i="4"/>
  <c r="Q153" i="3"/>
  <c r="P158" i="4" s="1"/>
  <c r="P153" i="3"/>
  <c r="O158" i="4" s="1"/>
  <c r="R148" i="3"/>
  <c r="L153" i="3"/>
  <c r="N158" i="4" s="1"/>
  <c r="J153" i="3"/>
  <c r="L158" i="4" s="1"/>
  <c r="I153" i="3"/>
  <c r="K158" i="4" s="1"/>
  <c r="A153" i="3"/>
  <c r="M153" i="3"/>
  <c r="H158" i="4" s="1"/>
  <c r="B152" i="3"/>
  <c r="C152" i="3" s="1"/>
  <c r="F151" i="3"/>
  <c r="F156" i="4" s="1"/>
  <c r="U151" i="3"/>
  <c r="V151" i="3" s="1"/>
  <c r="S151" i="3"/>
  <c r="T151" i="3" s="1"/>
  <c r="H149" i="3"/>
  <c r="E154" i="4" s="1"/>
  <c r="E150" i="3"/>
  <c r="D155" i="4" s="1"/>
  <c r="A158" i="4" l="1"/>
  <c r="N154" i="3"/>
  <c r="J159" i="4" s="1"/>
  <c r="C156" i="4"/>
  <c r="W151" i="3"/>
  <c r="G151" i="3"/>
  <c r="G156" i="4" s="1"/>
  <c r="D152" i="3"/>
  <c r="B157" i="4"/>
  <c r="Q154" i="3"/>
  <c r="P159" i="4" s="1"/>
  <c r="P154" i="3"/>
  <c r="O159" i="4" s="1"/>
  <c r="R149" i="3"/>
  <c r="L154" i="3"/>
  <c r="N159" i="4" s="1"/>
  <c r="J154" i="3"/>
  <c r="L159" i="4" s="1"/>
  <c r="I154" i="3"/>
  <c r="K159" i="4" s="1"/>
  <c r="S152" i="3"/>
  <c r="T152" i="3" s="1"/>
  <c r="U152" i="3"/>
  <c r="V152" i="3" s="1"/>
  <c r="A154" i="3"/>
  <c r="M154" i="3"/>
  <c r="H159" i="4" s="1"/>
  <c r="B153" i="3"/>
  <c r="C153" i="3" s="1"/>
  <c r="F152" i="3"/>
  <c r="F157" i="4" s="1"/>
  <c r="E151" i="3"/>
  <c r="D156" i="4" s="1"/>
  <c r="H150" i="3"/>
  <c r="E155" i="4" s="1"/>
  <c r="A159" i="4" l="1"/>
  <c r="N155" i="3"/>
  <c r="J160" i="4" s="1"/>
  <c r="C157" i="4"/>
  <c r="W152" i="3"/>
  <c r="G152" i="3"/>
  <c r="G157" i="4" s="1"/>
  <c r="D153" i="3"/>
  <c r="B158" i="4"/>
  <c r="Q155" i="3"/>
  <c r="P160" i="4" s="1"/>
  <c r="P155" i="3"/>
  <c r="O160" i="4" s="1"/>
  <c r="R150" i="3"/>
  <c r="L155" i="3"/>
  <c r="N160" i="4" s="1"/>
  <c r="J155" i="3"/>
  <c r="L160" i="4" s="1"/>
  <c r="I155" i="3"/>
  <c r="K160" i="4" s="1"/>
  <c r="S153" i="3"/>
  <c r="T153" i="3" s="1"/>
  <c r="U153" i="3"/>
  <c r="V153" i="3" s="1"/>
  <c r="A155" i="3"/>
  <c r="M155" i="3"/>
  <c r="H160" i="4" s="1"/>
  <c r="B154" i="3"/>
  <c r="C154" i="3" s="1"/>
  <c r="F153" i="3"/>
  <c r="F158" i="4" s="1"/>
  <c r="H151" i="3"/>
  <c r="E156" i="4" s="1"/>
  <c r="E152" i="3"/>
  <c r="D157" i="4" s="1"/>
  <c r="A160" i="4" l="1"/>
  <c r="N156" i="3"/>
  <c r="J161" i="4" s="1"/>
  <c r="C158" i="4"/>
  <c r="W153" i="3"/>
  <c r="G153" i="3"/>
  <c r="G158" i="4" s="1"/>
  <c r="D154" i="3"/>
  <c r="B159" i="4"/>
  <c r="Q156" i="3"/>
  <c r="P161" i="4" s="1"/>
  <c r="P156" i="3"/>
  <c r="O161" i="4" s="1"/>
  <c r="R151" i="3"/>
  <c r="L156" i="3"/>
  <c r="N161" i="4" s="1"/>
  <c r="J156" i="3"/>
  <c r="L161" i="4" s="1"/>
  <c r="I156" i="3"/>
  <c r="K161" i="4" s="1"/>
  <c r="A156" i="3"/>
  <c r="M156" i="3"/>
  <c r="H161" i="4" s="1"/>
  <c r="B155" i="3"/>
  <c r="C155" i="3" s="1"/>
  <c r="F154" i="3"/>
  <c r="F159" i="4" s="1"/>
  <c r="S154" i="3"/>
  <c r="T154" i="3" s="1"/>
  <c r="U154" i="3"/>
  <c r="V154" i="3" s="1"/>
  <c r="E153" i="3"/>
  <c r="D158" i="4" s="1"/>
  <c r="H152" i="3"/>
  <c r="E157" i="4" s="1"/>
  <c r="A161" i="4" l="1"/>
  <c r="N157" i="3"/>
  <c r="J162" i="4" s="1"/>
  <c r="C159" i="4"/>
  <c r="W154" i="3"/>
  <c r="G154" i="3"/>
  <c r="G159" i="4" s="1"/>
  <c r="D155" i="3"/>
  <c r="B160" i="4"/>
  <c r="K157" i="3"/>
  <c r="Q157" i="3"/>
  <c r="P162" i="4" s="1"/>
  <c r="P157" i="3"/>
  <c r="O162" i="4" s="1"/>
  <c r="R152" i="3"/>
  <c r="L157" i="3"/>
  <c r="N162" i="4" s="1"/>
  <c r="J157" i="3"/>
  <c r="L162" i="4" s="1"/>
  <c r="I157" i="3"/>
  <c r="K162" i="4" s="1"/>
  <c r="S155" i="3"/>
  <c r="T155" i="3" s="1"/>
  <c r="U155" i="3"/>
  <c r="V155" i="3" s="1"/>
  <c r="A157" i="3"/>
  <c r="M157" i="3"/>
  <c r="H162" i="4" s="1"/>
  <c r="B156" i="3"/>
  <c r="C156" i="3" s="1"/>
  <c r="F155" i="3"/>
  <c r="F160" i="4" s="1"/>
  <c r="H153" i="3"/>
  <c r="E158" i="4" s="1"/>
  <c r="E154" i="3"/>
  <c r="D159" i="4" s="1"/>
  <c r="A162" i="4" l="1"/>
  <c r="N158" i="3"/>
  <c r="J163" i="4" s="1"/>
  <c r="C160" i="4"/>
  <c r="W155" i="3"/>
  <c r="G155" i="3"/>
  <c r="G160" i="4" s="1"/>
  <c r="Y13" i="3"/>
  <c r="Z13" i="3" s="1"/>
  <c r="M162" i="4"/>
  <c r="D156" i="3"/>
  <c r="B161" i="4"/>
  <c r="Q158" i="3"/>
  <c r="P163" i="4" s="1"/>
  <c r="P158" i="3"/>
  <c r="O163" i="4" s="1"/>
  <c r="R153" i="3"/>
  <c r="L158" i="3"/>
  <c r="N163" i="4" s="1"/>
  <c r="J158" i="3"/>
  <c r="L163" i="4" s="1"/>
  <c r="I158" i="3"/>
  <c r="K163" i="4" s="1"/>
  <c r="A158" i="3"/>
  <c r="M158" i="3"/>
  <c r="H163" i="4" s="1"/>
  <c r="B157" i="3"/>
  <c r="C157" i="3" s="1"/>
  <c r="F156" i="3"/>
  <c r="F161" i="4" s="1"/>
  <c r="S156" i="3"/>
  <c r="T156" i="3" s="1"/>
  <c r="U156" i="3"/>
  <c r="V156" i="3" s="1"/>
  <c r="E155" i="3"/>
  <c r="D160" i="4" s="1"/>
  <c r="H154" i="3"/>
  <c r="E159" i="4" s="1"/>
  <c r="A163" i="4" l="1"/>
  <c r="N159" i="3"/>
  <c r="J164" i="4" s="1"/>
  <c r="C161" i="4"/>
  <c r="W156" i="3"/>
  <c r="G156" i="3"/>
  <c r="G161" i="4" s="1"/>
  <c r="D157" i="3"/>
  <c r="B162" i="4"/>
  <c r="Q159" i="3"/>
  <c r="P164" i="4" s="1"/>
  <c r="P159" i="3"/>
  <c r="O164" i="4" s="1"/>
  <c r="R154" i="3"/>
  <c r="L159" i="3"/>
  <c r="N164" i="4" s="1"/>
  <c r="J159" i="3"/>
  <c r="L164" i="4" s="1"/>
  <c r="I159" i="3"/>
  <c r="K164" i="4" s="1"/>
  <c r="S157" i="3"/>
  <c r="T157" i="3" s="1"/>
  <c r="U157" i="3"/>
  <c r="V157" i="3" s="1"/>
  <c r="A159" i="3"/>
  <c r="M159" i="3"/>
  <c r="H164" i="4" s="1"/>
  <c r="B158" i="3"/>
  <c r="C158" i="3" s="1"/>
  <c r="F157" i="3"/>
  <c r="F162" i="4" s="1"/>
  <c r="H155" i="3"/>
  <c r="E160" i="4" s="1"/>
  <c r="E156" i="3"/>
  <c r="D161" i="4" s="1"/>
  <c r="A164" i="4" l="1"/>
  <c r="N160" i="3"/>
  <c r="J165" i="4" s="1"/>
  <c r="C162" i="4"/>
  <c r="W157" i="3"/>
  <c r="G157" i="3"/>
  <c r="G162" i="4" s="1"/>
  <c r="D158" i="3"/>
  <c r="B163" i="4"/>
  <c r="Q160" i="3"/>
  <c r="P165" i="4" s="1"/>
  <c r="P160" i="3"/>
  <c r="O165" i="4" s="1"/>
  <c r="R155" i="3"/>
  <c r="L160" i="3"/>
  <c r="N165" i="4" s="1"/>
  <c r="J160" i="3"/>
  <c r="L165" i="4" s="1"/>
  <c r="I160" i="3"/>
  <c r="K165" i="4" s="1"/>
  <c r="A160" i="3"/>
  <c r="M160" i="3"/>
  <c r="H165" i="4" s="1"/>
  <c r="B159" i="3"/>
  <c r="C159" i="3" s="1"/>
  <c r="F158" i="3"/>
  <c r="F163" i="4" s="1"/>
  <c r="S158" i="3"/>
  <c r="T158" i="3" s="1"/>
  <c r="U158" i="3"/>
  <c r="V158" i="3" s="1"/>
  <c r="H156" i="3"/>
  <c r="E161" i="4" s="1"/>
  <c r="E157" i="3"/>
  <c r="D162" i="4" s="1"/>
  <c r="A165" i="4" l="1"/>
  <c r="N161" i="3"/>
  <c r="J166" i="4" s="1"/>
  <c r="C163" i="4"/>
  <c r="W158" i="3"/>
  <c r="G158" i="3" s="1"/>
  <c r="G163" i="4" s="1"/>
  <c r="D159" i="3"/>
  <c r="B164" i="4"/>
  <c r="Q161" i="3"/>
  <c r="P166" i="4" s="1"/>
  <c r="P161" i="3"/>
  <c r="O166" i="4" s="1"/>
  <c r="R156" i="3"/>
  <c r="L161" i="3"/>
  <c r="N166" i="4" s="1"/>
  <c r="J161" i="3"/>
  <c r="L166" i="4" s="1"/>
  <c r="I161" i="3"/>
  <c r="K166" i="4" s="1"/>
  <c r="U159" i="3"/>
  <c r="V159" i="3" s="1"/>
  <c r="S159" i="3"/>
  <c r="T159" i="3" s="1"/>
  <c r="A161" i="3"/>
  <c r="M161" i="3"/>
  <c r="H166" i="4" s="1"/>
  <c r="B160" i="3"/>
  <c r="C160" i="3" s="1"/>
  <c r="F159" i="3"/>
  <c r="F164" i="4" s="1"/>
  <c r="E158" i="3"/>
  <c r="D163" i="4" s="1"/>
  <c r="H157" i="3"/>
  <c r="E162" i="4" s="1"/>
  <c r="A166" i="4" l="1"/>
  <c r="N162" i="3"/>
  <c r="J167" i="4" s="1"/>
  <c r="C164" i="4"/>
  <c r="W159" i="3"/>
  <c r="G159" i="3"/>
  <c r="G164" i="4" s="1"/>
  <c r="D160" i="3"/>
  <c r="B165" i="4"/>
  <c r="Q162" i="3"/>
  <c r="P167" i="4" s="1"/>
  <c r="P162" i="3"/>
  <c r="O167" i="4" s="1"/>
  <c r="R157" i="3"/>
  <c r="L162" i="3"/>
  <c r="N167" i="4" s="1"/>
  <c r="J162" i="3"/>
  <c r="L167" i="4" s="1"/>
  <c r="I162" i="3"/>
  <c r="K167" i="4" s="1"/>
  <c r="A162" i="3"/>
  <c r="M162" i="3"/>
  <c r="H167" i="4" s="1"/>
  <c r="B161" i="3"/>
  <c r="C161" i="3" s="1"/>
  <c r="B166" i="4" s="1"/>
  <c r="F160" i="3"/>
  <c r="F165" i="4" s="1"/>
  <c r="S160" i="3"/>
  <c r="T160" i="3" s="1"/>
  <c r="U160" i="3"/>
  <c r="V160" i="3" s="1"/>
  <c r="H158" i="3"/>
  <c r="E163" i="4" s="1"/>
  <c r="E159" i="3"/>
  <c r="D164" i="4" s="1"/>
  <c r="A167" i="4" l="1"/>
  <c r="N163" i="3"/>
  <c r="J168" i="4" s="1"/>
  <c r="C165" i="4"/>
  <c r="W160" i="3"/>
  <c r="G160" i="3"/>
  <c r="G165" i="4" s="1"/>
  <c r="Q163" i="3"/>
  <c r="P168" i="4" s="1"/>
  <c r="P163" i="3"/>
  <c r="O168" i="4" s="1"/>
  <c r="R158" i="3"/>
  <c r="L163" i="3"/>
  <c r="N168" i="4" s="1"/>
  <c r="J163" i="3"/>
  <c r="L168" i="4" s="1"/>
  <c r="I163" i="3"/>
  <c r="K168" i="4" s="1"/>
  <c r="D161" i="3"/>
  <c r="U161" i="3"/>
  <c r="V161" i="3" s="1"/>
  <c r="S161" i="3"/>
  <c r="T161" i="3" s="1"/>
  <c r="A163" i="3"/>
  <c r="M163" i="3"/>
  <c r="H168" i="4" s="1"/>
  <c r="B162" i="3"/>
  <c r="C162" i="3" s="1"/>
  <c r="F161" i="3"/>
  <c r="F166" i="4" s="1"/>
  <c r="E160" i="3"/>
  <c r="D165" i="4" s="1"/>
  <c r="H159" i="3"/>
  <c r="E164" i="4" s="1"/>
  <c r="A168" i="4" l="1"/>
  <c r="N164" i="3"/>
  <c r="J169" i="4" s="1"/>
  <c r="C166" i="4"/>
  <c r="W161" i="3"/>
  <c r="G161" i="3"/>
  <c r="G166" i="4" s="1"/>
  <c r="D162" i="3"/>
  <c r="B167" i="4"/>
  <c r="Q164" i="3"/>
  <c r="P169" i="4" s="1"/>
  <c r="P164" i="3"/>
  <c r="O169" i="4" s="1"/>
  <c r="R159" i="3"/>
  <c r="L164" i="3"/>
  <c r="N169" i="4" s="1"/>
  <c r="J164" i="3"/>
  <c r="L169" i="4" s="1"/>
  <c r="I164" i="3"/>
  <c r="K169" i="4" s="1"/>
  <c r="S162" i="3"/>
  <c r="T162" i="3" s="1"/>
  <c r="U162" i="3"/>
  <c r="V162" i="3" s="1"/>
  <c r="A164" i="3"/>
  <c r="M164" i="3"/>
  <c r="H169" i="4" s="1"/>
  <c r="B163" i="3"/>
  <c r="C163" i="3" s="1"/>
  <c r="F162" i="3"/>
  <c r="F167" i="4" s="1"/>
  <c r="H160" i="3"/>
  <c r="E165" i="4" s="1"/>
  <c r="E161" i="3"/>
  <c r="D166" i="4" s="1"/>
  <c r="A169" i="4" l="1"/>
  <c r="N165" i="3"/>
  <c r="J170" i="4" s="1"/>
  <c r="C167" i="4"/>
  <c r="W162" i="3"/>
  <c r="G162" i="3" s="1"/>
  <c r="G167" i="4" s="1"/>
  <c r="D163" i="3"/>
  <c r="B168" i="4"/>
  <c r="Q165" i="3"/>
  <c r="P170" i="4" s="1"/>
  <c r="P165" i="3"/>
  <c r="O170" i="4" s="1"/>
  <c r="R160" i="3"/>
  <c r="L165" i="3"/>
  <c r="N170" i="4" s="1"/>
  <c r="J165" i="3"/>
  <c r="L170" i="4" s="1"/>
  <c r="I165" i="3"/>
  <c r="K170" i="4" s="1"/>
  <c r="S163" i="3"/>
  <c r="T163" i="3" s="1"/>
  <c r="U163" i="3"/>
  <c r="V163" i="3" s="1"/>
  <c r="A165" i="3"/>
  <c r="M165" i="3"/>
  <c r="H170" i="4" s="1"/>
  <c r="B164" i="3"/>
  <c r="C164" i="3" s="1"/>
  <c r="F163" i="3"/>
  <c r="F168" i="4" s="1"/>
  <c r="E162" i="3"/>
  <c r="D167" i="4" s="1"/>
  <c r="H161" i="3"/>
  <c r="E166" i="4" s="1"/>
  <c r="A170" i="4" l="1"/>
  <c r="N166" i="3"/>
  <c r="J171" i="4" s="1"/>
  <c r="C168" i="4"/>
  <c r="W163" i="3"/>
  <c r="G163" i="3"/>
  <c r="G168" i="4" s="1"/>
  <c r="D164" i="3"/>
  <c r="B169" i="4"/>
  <c r="Q166" i="3"/>
  <c r="P171" i="4" s="1"/>
  <c r="P166" i="3"/>
  <c r="O171" i="4" s="1"/>
  <c r="R161" i="3"/>
  <c r="L166" i="3"/>
  <c r="N171" i="4" s="1"/>
  <c r="J166" i="3"/>
  <c r="L171" i="4" s="1"/>
  <c r="I166" i="3"/>
  <c r="K171" i="4" s="1"/>
  <c r="A166" i="3"/>
  <c r="M166" i="3"/>
  <c r="H171" i="4" s="1"/>
  <c r="B165" i="3"/>
  <c r="C165" i="3" s="1"/>
  <c r="F164" i="3"/>
  <c r="F169" i="4" s="1"/>
  <c r="S164" i="3"/>
  <c r="T164" i="3" s="1"/>
  <c r="U164" i="3"/>
  <c r="V164" i="3" s="1"/>
  <c r="H162" i="3"/>
  <c r="E167" i="4" s="1"/>
  <c r="E163" i="3"/>
  <c r="D168" i="4" s="1"/>
  <c r="A171" i="4" l="1"/>
  <c r="N167" i="3"/>
  <c r="J172" i="4" s="1"/>
  <c r="G164" i="3"/>
  <c r="G169" i="4" s="1"/>
  <c r="C169" i="4"/>
  <c r="W164" i="3"/>
  <c r="D165" i="3"/>
  <c r="B170" i="4"/>
  <c r="Q167" i="3"/>
  <c r="P172" i="4" s="1"/>
  <c r="P167" i="3"/>
  <c r="O172" i="4" s="1"/>
  <c r="R162" i="3"/>
  <c r="L167" i="3"/>
  <c r="N172" i="4" s="1"/>
  <c r="J167" i="3"/>
  <c r="L172" i="4" s="1"/>
  <c r="I167" i="3"/>
  <c r="K172" i="4" s="1"/>
  <c r="S165" i="3"/>
  <c r="T165" i="3" s="1"/>
  <c r="U165" i="3"/>
  <c r="V165" i="3" s="1"/>
  <c r="A167" i="3"/>
  <c r="M167" i="3"/>
  <c r="H172" i="4" s="1"/>
  <c r="B166" i="3"/>
  <c r="C166" i="3" s="1"/>
  <c r="F165" i="3"/>
  <c r="F170" i="4" s="1"/>
  <c r="E164" i="3"/>
  <c r="D169" i="4" s="1"/>
  <c r="H163" i="3"/>
  <c r="E168" i="4" s="1"/>
  <c r="A172" i="4" l="1"/>
  <c r="N168" i="3"/>
  <c r="J173" i="4" s="1"/>
  <c r="C170" i="4"/>
  <c r="W165" i="3"/>
  <c r="G165" i="3"/>
  <c r="G170" i="4" s="1"/>
  <c r="D166" i="3"/>
  <c r="B171" i="4"/>
  <c r="Q168" i="3"/>
  <c r="P173" i="4" s="1"/>
  <c r="P168" i="3"/>
  <c r="O173" i="4" s="1"/>
  <c r="R163" i="3"/>
  <c r="L168" i="3"/>
  <c r="N173" i="4" s="1"/>
  <c r="J168" i="3"/>
  <c r="L173" i="4" s="1"/>
  <c r="I168" i="3"/>
  <c r="K173" i="4" s="1"/>
  <c r="A168" i="3"/>
  <c r="M168" i="3"/>
  <c r="H173" i="4" s="1"/>
  <c r="B167" i="3"/>
  <c r="C167" i="3" s="1"/>
  <c r="F166" i="3"/>
  <c r="F171" i="4" s="1"/>
  <c r="S166" i="3"/>
  <c r="T166" i="3" s="1"/>
  <c r="U166" i="3"/>
  <c r="V166" i="3" s="1"/>
  <c r="E165" i="3"/>
  <c r="D170" i="4" s="1"/>
  <c r="H164" i="3"/>
  <c r="E169" i="4" s="1"/>
  <c r="A173" i="4" l="1"/>
  <c r="N169" i="3"/>
  <c r="J174" i="4" s="1"/>
  <c r="C171" i="4"/>
  <c r="W166" i="3"/>
  <c r="G166" i="3"/>
  <c r="G171" i="4" s="1"/>
  <c r="D167" i="3"/>
  <c r="B172" i="4"/>
  <c r="K169" i="3"/>
  <c r="Q169" i="3"/>
  <c r="P174" i="4" s="1"/>
  <c r="P169" i="3"/>
  <c r="O174" i="4" s="1"/>
  <c r="R164" i="3"/>
  <c r="L169" i="3"/>
  <c r="N174" i="4" s="1"/>
  <c r="J169" i="3"/>
  <c r="L174" i="4" s="1"/>
  <c r="I169" i="3"/>
  <c r="K174" i="4" s="1"/>
  <c r="S167" i="3"/>
  <c r="T167" i="3" s="1"/>
  <c r="U167" i="3"/>
  <c r="V167" i="3" s="1"/>
  <c r="A169" i="3"/>
  <c r="M169" i="3"/>
  <c r="H174" i="4" s="1"/>
  <c r="B168" i="3"/>
  <c r="C168" i="3" s="1"/>
  <c r="F167" i="3"/>
  <c r="F172" i="4" s="1"/>
  <c r="H165" i="3"/>
  <c r="E170" i="4" s="1"/>
  <c r="E166" i="3"/>
  <c r="D171" i="4" s="1"/>
  <c r="A174" i="4" l="1"/>
  <c r="N170" i="3"/>
  <c r="J175" i="4" s="1"/>
  <c r="C172" i="4"/>
  <c r="W167" i="3"/>
  <c r="G167" i="3"/>
  <c r="G172" i="4" s="1"/>
  <c r="Y14" i="3"/>
  <c r="Z14" i="3" s="1"/>
  <c r="M174" i="4"/>
  <c r="D168" i="3"/>
  <c r="B173" i="4"/>
  <c r="Q170" i="3"/>
  <c r="P175" i="4" s="1"/>
  <c r="P170" i="3"/>
  <c r="O175" i="4" s="1"/>
  <c r="R165" i="3"/>
  <c r="L170" i="3"/>
  <c r="N175" i="4" s="1"/>
  <c r="J170" i="3"/>
  <c r="L175" i="4" s="1"/>
  <c r="I170" i="3"/>
  <c r="K175" i="4" s="1"/>
  <c r="A170" i="3"/>
  <c r="M170" i="3"/>
  <c r="H175" i="4" s="1"/>
  <c r="B169" i="3"/>
  <c r="C169" i="3" s="1"/>
  <c r="F168" i="3"/>
  <c r="F173" i="4" s="1"/>
  <c r="U168" i="3"/>
  <c r="V168" i="3" s="1"/>
  <c r="S168" i="3"/>
  <c r="T168" i="3" s="1"/>
  <c r="E167" i="3"/>
  <c r="D172" i="4" s="1"/>
  <c r="H166" i="3"/>
  <c r="E171" i="4" s="1"/>
  <c r="A175" i="4" l="1"/>
  <c r="N171" i="3"/>
  <c r="J176" i="4" s="1"/>
  <c r="C173" i="4"/>
  <c r="W168" i="3"/>
  <c r="G168" i="3"/>
  <c r="G173" i="4" s="1"/>
  <c r="D169" i="3"/>
  <c r="B174" i="4"/>
  <c r="Q171" i="3"/>
  <c r="P176" i="4" s="1"/>
  <c r="P171" i="3"/>
  <c r="O176" i="4" s="1"/>
  <c r="R166" i="3"/>
  <c r="L171" i="3"/>
  <c r="N176" i="4" s="1"/>
  <c r="J171" i="3"/>
  <c r="L176" i="4" s="1"/>
  <c r="I171" i="3"/>
  <c r="K176" i="4" s="1"/>
  <c r="S169" i="3"/>
  <c r="T169" i="3" s="1"/>
  <c r="U169" i="3"/>
  <c r="V169" i="3" s="1"/>
  <c r="A171" i="3"/>
  <c r="M171" i="3"/>
  <c r="H176" i="4" s="1"/>
  <c r="B170" i="3"/>
  <c r="C170" i="3" s="1"/>
  <c r="F169" i="3"/>
  <c r="F174" i="4" s="1"/>
  <c r="H167" i="3"/>
  <c r="E172" i="4" s="1"/>
  <c r="E168" i="3"/>
  <c r="D173" i="4" s="1"/>
  <c r="A176" i="4" l="1"/>
  <c r="N172" i="3"/>
  <c r="J177" i="4" s="1"/>
  <c r="C174" i="4"/>
  <c r="W169" i="3"/>
  <c r="G169" i="3"/>
  <c r="G174" i="4" s="1"/>
  <c r="D170" i="3"/>
  <c r="B175" i="4"/>
  <c r="Q172" i="3"/>
  <c r="P177" i="4" s="1"/>
  <c r="P172" i="3"/>
  <c r="O177" i="4" s="1"/>
  <c r="R167" i="3"/>
  <c r="L172" i="3"/>
  <c r="N177" i="4" s="1"/>
  <c r="J172" i="3"/>
  <c r="L177" i="4" s="1"/>
  <c r="I172" i="3"/>
  <c r="K177" i="4" s="1"/>
  <c r="A172" i="3"/>
  <c r="M172" i="3"/>
  <c r="H177" i="4" s="1"/>
  <c r="B171" i="3"/>
  <c r="C171" i="3" s="1"/>
  <c r="F170" i="3"/>
  <c r="F175" i="4" s="1"/>
  <c r="U170" i="3"/>
  <c r="V170" i="3" s="1"/>
  <c r="S170" i="3"/>
  <c r="T170" i="3" s="1"/>
  <c r="E169" i="3"/>
  <c r="D174" i="4" s="1"/>
  <c r="H168" i="3"/>
  <c r="E173" i="4" s="1"/>
  <c r="A177" i="4" l="1"/>
  <c r="N173" i="3"/>
  <c r="J178" i="4" s="1"/>
  <c r="C175" i="4"/>
  <c r="W170" i="3"/>
  <c r="G170" i="3"/>
  <c r="G175" i="4" s="1"/>
  <c r="D171" i="3"/>
  <c r="B176" i="4"/>
  <c r="Q173" i="3"/>
  <c r="P178" i="4" s="1"/>
  <c r="P173" i="3"/>
  <c r="O178" i="4" s="1"/>
  <c r="R168" i="3"/>
  <c r="L173" i="3"/>
  <c r="N178" i="4" s="1"/>
  <c r="J173" i="3"/>
  <c r="L178" i="4" s="1"/>
  <c r="I173" i="3"/>
  <c r="K178" i="4" s="1"/>
  <c r="U171" i="3"/>
  <c r="V171" i="3" s="1"/>
  <c r="S171" i="3"/>
  <c r="T171" i="3" s="1"/>
  <c r="A173" i="3"/>
  <c r="M173" i="3"/>
  <c r="H178" i="4" s="1"/>
  <c r="B172" i="3"/>
  <c r="C172" i="3" s="1"/>
  <c r="F171" i="3"/>
  <c r="F176" i="4" s="1"/>
  <c r="E170" i="3"/>
  <c r="D175" i="4" s="1"/>
  <c r="H169" i="3"/>
  <c r="E174" i="4" s="1"/>
  <c r="A178" i="4" l="1"/>
  <c r="N174" i="3"/>
  <c r="J179" i="4" s="1"/>
  <c r="C176" i="4"/>
  <c r="W171" i="3"/>
  <c r="G171" i="3"/>
  <c r="G176" i="4" s="1"/>
  <c r="D172" i="3"/>
  <c r="B177" i="4"/>
  <c r="Q174" i="3"/>
  <c r="P179" i="4" s="1"/>
  <c r="P174" i="3"/>
  <c r="O179" i="4" s="1"/>
  <c r="R169" i="3"/>
  <c r="L174" i="3"/>
  <c r="N179" i="4" s="1"/>
  <c r="J174" i="3"/>
  <c r="L179" i="4" s="1"/>
  <c r="I174" i="3"/>
  <c r="K179" i="4" s="1"/>
  <c r="S172" i="3"/>
  <c r="T172" i="3" s="1"/>
  <c r="U172" i="3"/>
  <c r="V172" i="3" s="1"/>
  <c r="A174" i="3"/>
  <c r="M174" i="3"/>
  <c r="H179" i="4" s="1"/>
  <c r="B173" i="3"/>
  <c r="C173" i="3" s="1"/>
  <c r="F172" i="3"/>
  <c r="F177" i="4" s="1"/>
  <c r="H170" i="3"/>
  <c r="E175" i="4" s="1"/>
  <c r="E171" i="3"/>
  <c r="D176" i="4" s="1"/>
  <c r="A179" i="4" l="1"/>
  <c r="N175" i="3"/>
  <c r="J180" i="4" s="1"/>
  <c r="C177" i="4"/>
  <c r="W172" i="3"/>
  <c r="G172" i="3"/>
  <c r="G177" i="4" s="1"/>
  <c r="D173" i="3"/>
  <c r="B178" i="4"/>
  <c r="Q175" i="3"/>
  <c r="P180" i="4" s="1"/>
  <c r="P175" i="3"/>
  <c r="O180" i="4" s="1"/>
  <c r="R170" i="3"/>
  <c r="L175" i="3"/>
  <c r="N180" i="4" s="1"/>
  <c r="J175" i="3"/>
  <c r="L180" i="4" s="1"/>
  <c r="I175" i="3"/>
  <c r="K180" i="4" s="1"/>
  <c r="A175" i="3"/>
  <c r="M175" i="3"/>
  <c r="H180" i="4" s="1"/>
  <c r="B174" i="3"/>
  <c r="C174" i="3" s="1"/>
  <c r="F173" i="3"/>
  <c r="F178" i="4" s="1"/>
  <c r="S173" i="3"/>
  <c r="T173" i="3" s="1"/>
  <c r="U173" i="3"/>
  <c r="V173" i="3" s="1"/>
  <c r="E172" i="3"/>
  <c r="D177" i="4" s="1"/>
  <c r="H171" i="3"/>
  <c r="E176" i="4" s="1"/>
  <c r="A180" i="4" l="1"/>
  <c r="N176" i="3"/>
  <c r="J181" i="4" s="1"/>
  <c r="C178" i="4"/>
  <c r="W173" i="3"/>
  <c r="G173" i="3"/>
  <c r="G178" i="4" s="1"/>
  <c r="D174" i="3"/>
  <c r="B179" i="4"/>
  <c r="Q176" i="3"/>
  <c r="P181" i="4" s="1"/>
  <c r="P176" i="3"/>
  <c r="O181" i="4" s="1"/>
  <c r="R171" i="3"/>
  <c r="L176" i="3"/>
  <c r="N181" i="4" s="1"/>
  <c r="J176" i="3"/>
  <c r="L181" i="4" s="1"/>
  <c r="I176" i="3"/>
  <c r="K181" i="4" s="1"/>
  <c r="S174" i="3"/>
  <c r="T174" i="3" s="1"/>
  <c r="U174" i="3"/>
  <c r="V174" i="3" s="1"/>
  <c r="A176" i="3"/>
  <c r="M176" i="3"/>
  <c r="H181" i="4" s="1"/>
  <c r="B175" i="3"/>
  <c r="C175" i="3" s="1"/>
  <c r="F174" i="3"/>
  <c r="F179" i="4" s="1"/>
  <c r="H172" i="3"/>
  <c r="E177" i="4" s="1"/>
  <c r="E173" i="3"/>
  <c r="D178" i="4" s="1"/>
  <c r="A181" i="4" l="1"/>
  <c r="N177" i="3"/>
  <c r="J182" i="4" s="1"/>
  <c r="C179" i="4"/>
  <c r="W174" i="3"/>
  <c r="G174" i="3" s="1"/>
  <c r="G179" i="4" s="1"/>
  <c r="D175" i="3"/>
  <c r="B180" i="4"/>
  <c r="Q177" i="3"/>
  <c r="P182" i="4" s="1"/>
  <c r="P177" i="3"/>
  <c r="O182" i="4" s="1"/>
  <c r="R172" i="3"/>
  <c r="L177" i="3"/>
  <c r="N182" i="4" s="1"/>
  <c r="J177" i="3"/>
  <c r="L182" i="4" s="1"/>
  <c r="I177" i="3"/>
  <c r="K182" i="4" s="1"/>
  <c r="A177" i="3"/>
  <c r="M177" i="3"/>
  <c r="H182" i="4" s="1"/>
  <c r="B176" i="3"/>
  <c r="C176" i="3" s="1"/>
  <c r="F175" i="3"/>
  <c r="F180" i="4" s="1"/>
  <c r="S175" i="3"/>
  <c r="T175" i="3" s="1"/>
  <c r="U175" i="3"/>
  <c r="V175" i="3" s="1"/>
  <c r="E174" i="3"/>
  <c r="D179" i="4" s="1"/>
  <c r="H173" i="3"/>
  <c r="E178" i="4" s="1"/>
  <c r="A182" i="4" l="1"/>
  <c r="N178" i="3"/>
  <c r="J183" i="4" s="1"/>
  <c r="C180" i="4"/>
  <c r="W175" i="3"/>
  <c r="G175" i="3" s="1"/>
  <c r="G180" i="4" s="1"/>
  <c r="D176" i="3"/>
  <c r="B181" i="4"/>
  <c r="Q178" i="3"/>
  <c r="P183" i="4" s="1"/>
  <c r="P178" i="3"/>
  <c r="O183" i="4" s="1"/>
  <c r="R173" i="3"/>
  <c r="L178" i="3"/>
  <c r="N183" i="4" s="1"/>
  <c r="J178" i="3"/>
  <c r="L183" i="4" s="1"/>
  <c r="I178" i="3"/>
  <c r="K183" i="4" s="1"/>
  <c r="S176" i="3"/>
  <c r="T176" i="3" s="1"/>
  <c r="U176" i="3"/>
  <c r="V176" i="3" s="1"/>
  <c r="A178" i="3"/>
  <c r="M178" i="3"/>
  <c r="H183" i="4" s="1"/>
  <c r="B177" i="3"/>
  <c r="C177" i="3" s="1"/>
  <c r="F176" i="3"/>
  <c r="F181" i="4" s="1"/>
  <c r="E175" i="3"/>
  <c r="D180" i="4" s="1"/>
  <c r="H174" i="3"/>
  <c r="E179" i="4" s="1"/>
  <c r="A183" i="4" l="1"/>
  <c r="N179" i="3"/>
  <c r="J184" i="4" s="1"/>
  <c r="C181" i="4"/>
  <c r="W176" i="3"/>
  <c r="G176" i="3"/>
  <c r="G181" i="4" s="1"/>
  <c r="D177" i="3"/>
  <c r="B182" i="4"/>
  <c r="Q179" i="3"/>
  <c r="P184" i="4" s="1"/>
  <c r="P179" i="3"/>
  <c r="O184" i="4" s="1"/>
  <c r="R174" i="3"/>
  <c r="L179" i="3"/>
  <c r="N184" i="4" s="1"/>
  <c r="J179" i="3"/>
  <c r="L184" i="4" s="1"/>
  <c r="I179" i="3"/>
  <c r="K184" i="4" s="1"/>
  <c r="A179" i="3"/>
  <c r="M179" i="3"/>
  <c r="H184" i="4" s="1"/>
  <c r="B178" i="3"/>
  <c r="C178" i="3" s="1"/>
  <c r="F177" i="3"/>
  <c r="F182" i="4" s="1"/>
  <c r="U177" i="3"/>
  <c r="V177" i="3" s="1"/>
  <c r="S177" i="3"/>
  <c r="T177" i="3" s="1"/>
  <c r="H175" i="3"/>
  <c r="E180" i="4" s="1"/>
  <c r="E176" i="3"/>
  <c r="D181" i="4" s="1"/>
  <c r="A184" i="4" l="1"/>
  <c r="N180" i="3"/>
  <c r="J185" i="4" s="1"/>
  <c r="C182" i="4"/>
  <c r="W177" i="3"/>
  <c r="G177" i="3"/>
  <c r="G182" i="4" s="1"/>
  <c r="D178" i="3"/>
  <c r="B183" i="4"/>
  <c r="Q180" i="3"/>
  <c r="P185" i="4" s="1"/>
  <c r="P180" i="3"/>
  <c r="O185" i="4" s="1"/>
  <c r="R175" i="3"/>
  <c r="L180" i="3"/>
  <c r="N185" i="4" s="1"/>
  <c r="J180" i="3"/>
  <c r="L185" i="4" s="1"/>
  <c r="I180" i="3"/>
  <c r="K185" i="4" s="1"/>
  <c r="S178" i="3"/>
  <c r="T178" i="3" s="1"/>
  <c r="U178" i="3"/>
  <c r="V178" i="3" s="1"/>
  <c r="A180" i="3"/>
  <c r="M180" i="3"/>
  <c r="H185" i="4" s="1"/>
  <c r="B179" i="3"/>
  <c r="C179" i="3" s="1"/>
  <c r="F178" i="3"/>
  <c r="F183" i="4" s="1"/>
  <c r="H176" i="3"/>
  <c r="E181" i="4" s="1"/>
  <c r="E177" i="3"/>
  <c r="D182" i="4" s="1"/>
  <c r="A185" i="4" l="1"/>
  <c r="N181" i="3"/>
  <c r="J186" i="4" s="1"/>
  <c r="C183" i="4"/>
  <c r="W178" i="3"/>
  <c r="G178" i="3"/>
  <c r="G183" i="4" s="1"/>
  <c r="D179" i="3"/>
  <c r="B184" i="4"/>
  <c r="K181" i="3"/>
  <c r="Q181" i="3"/>
  <c r="P186" i="4" s="1"/>
  <c r="P181" i="3"/>
  <c r="O186" i="4" s="1"/>
  <c r="R176" i="3"/>
  <c r="L181" i="3"/>
  <c r="N186" i="4" s="1"/>
  <c r="J181" i="3"/>
  <c r="L186" i="4" s="1"/>
  <c r="I181" i="3"/>
  <c r="K186" i="4" s="1"/>
  <c r="A181" i="3"/>
  <c r="M181" i="3"/>
  <c r="H186" i="4" s="1"/>
  <c r="B180" i="3"/>
  <c r="C180" i="3" s="1"/>
  <c r="F179" i="3"/>
  <c r="F184" i="4" s="1"/>
  <c r="S179" i="3"/>
  <c r="T179" i="3" s="1"/>
  <c r="U179" i="3"/>
  <c r="V179" i="3" s="1"/>
  <c r="E178" i="3"/>
  <c r="D183" i="4" s="1"/>
  <c r="H177" i="3"/>
  <c r="E182" i="4" s="1"/>
  <c r="A186" i="4" l="1"/>
  <c r="N182" i="3"/>
  <c r="J187" i="4" s="1"/>
  <c r="C184" i="4"/>
  <c r="W179" i="3"/>
  <c r="G179" i="3"/>
  <c r="G184" i="4" s="1"/>
  <c r="Y15" i="3"/>
  <c r="Z15" i="3" s="1"/>
  <c r="M186" i="4"/>
  <c r="D180" i="3"/>
  <c r="B185" i="4"/>
  <c r="Q182" i="3"/>
  <c r="P187" i="4" s="1"/>
  <c r="P182" i="3"/>
  <c r="O187" i="4" s="1"/>
  <c r="R177" i="3"/>
  <c r="L182" i="3"/>
  <c r="N187" i="4" s="1"/>
  <c r="J182" i="3"/>
  <c r="L187" i="4" s="1"/>
  <c r="I182" i="3"/>
  <c r="K187" i="4" s="1"/>
  <c r="U180" i="3"/>
  <c r="V180" i="3" s="1"/>
  <c r="S180" i="3"/>
  <c r="T180" i="3" s="1"/>
  <c r="A182" i="3"/>
  <c r="M182" i="3"/>
  <c r="H187" i="4" s="1"/>
  <c r="B181" i="3"/>
  <c r="C181" i="3" s="1"/>
  <c r="F180" i="3"/>
  <c r="F185" i="4" s="1"/>
  <c r="H178" i="3"/>
  <c r="E183" i="4" s="1"/>
  <c r="E179" i="3"/>
  <c r="D184" i="4" s="1"/>
  <c r="A187" i="4" l="1"/>
  <c r="N183" i="3"/>
  <c r="J188" i="4" s="1"/>
  <c r="C185" i="4"/>
  <c r="W180" i="3"/>
  <c r="G180" i="3"/>
  <c r="G185" i="4" s="1"/>
  <c r="D181" i="3"/>
  <c r="B186" i="4"/>
  <c r="Q183" i="3"/>
  <c r="P188" i="4" s="1"/>
  <c r="P183" i="3"/>
  <c r="O188" i="4" s="1"/>
  <c r="R178" i="3"/>
  <c r="L183" i="3"/>
  <c r="N188" i="4" s="1"/>
  <c r="J183" i="3"/>
  <c r="L188" i="4" s="1"/>
  <c r="I183" i="3"/>
  <c r="K188" i="4" s="1"/>
  <c r="A183" i="3"/>
  <c r="M183" i="3"/>
  <c r="H188" i="4" s="1"/>
  <c r="B182" i="3"/>
  <c r="C182" i="3" s="1"/>
  <c r="F181" i="3"/>
  <c r="F186" i="4" s="1"/>
  <c r="U181" i="3"/>
  <c r="V181" i="3" s="1"/>
  <c r="S181" i="3"/>
  <c r="T181" i="3" s="1"/>
  <c r="E180" i="3"/>
  <c r="D185" i="4" s="1"/>
  <c r="H179" i="3"/>
  <c r="E184" i="4" s="1"/>
  <c r="A188" i="4" l="1"/>
  <c r="N184" i="3"/>
  <c r="J189" i="4" s="1"/>
  <c r="C186" i="4"/>
  <c r="W181" i="3"/>
  <c r="G181" i="3"/>
  <c r="G186" i="4" s="1"/>
  <c r="D182" i="3"/>
  <c r="B187" i="4"/>
  <c r="Q184" i="3"/>
  <c r="P189" i="4" s="1"/>
  <c r="P184" i="3"/>
  <c r="O189" i="4" s="1"/>
  <c r="R179" i="3"/>
  <c r="L184" i="3"/>
  <c r="N189" i="4" s="1"/>
  <c r="J184" i="3"/>
  <c r="L189" i="4" s="1"/>
  <c r="I184" i="3"/>
  <c r="K189" i="4" s="1"/>
  <c r="U182" i="3"/>
  <c r="V182" i="3" s="1"/>
  <c r="S182" i="3"/>
  <c r="T182" i="3" s="1"/>
  <c r="A184" i="3"/>
  <c r="M184" i="3"/>
  <c r="H189" i="4" s="1"/>
  <c r="B183" i="3"/>
  <c r="C183" i="3" s="1"/>
  <c r="F182" i="3"/>
  <c r="F187" i="4" s="1"/>
  <c r="H180" i="3"/>
  <c r="E185" i="4" s="1"/>
  <c r="E181" i="3"/>
  <c r="D186" i="4" s="1"/>
  <c r="A189" i="4" l="1"/>
  <c r="N185" i="3"/>
  <c r="J190" i="4" s="1"/>
  <c r="C187" i="4"/>
  <c r="W182" i="3"/>
  <c r="G182" i="3"/>
  <c r="G187" i="4" s="1"/>
  <c r="D183" i="3"/>
  <c r="B188" i="4"/>
  <c r="Q185" i="3"/>
  <c r="P190" i="4" s="1"/>
  <c r="P185" i="3"/>
  <c r="O190" i="4" s="1"/>
  <c r="R180" i="3"/>
  <c r="L185" i="3"/>
  <c r="N190" i="4" s="1"/>
  <c r="J185" i="3"/>
  <c r="L190" i="4" s="1"/>
  <c r="I185" i="3"/>
  <c r="K190" i="4" s="1"/>
  <c r="A185" i="3"/>
  <c r="M185" i="3"/>
  <c r="H190" i="4" s="1"/>
  <c r="B184" i="3"/>
  <c r="C184" i="3" s="1"/>
  <c r="F183" i="3"/>
  <c r="F188" i="4" s="1"/>
  <c r="U183" i="3"/>
  <c r="V183" i="3" s="1"/>
  <c r="S183" i="3"/>
  <c r="T183" i="3" s="1"/>
  <c r="E182" i="3"/>
  <c r="D187" i="4" s="1"/>
  <c r="H181" i="3"/>
  <c r="E186" i="4" s="1"/>
  <c r="A190" i="4" l="1"/>
  <c r="N186" i="3"/>
  <c r="J191" i="4" s="1"/>
  <c r="C188" i="4"/>
  <c r="W183" i="3"/>
  <c r="G183" i="3"/>
  <c r="G188" i="4" s="1"/>
  <c r="D184" i="3"/>
  <c r="B189" i="4"/>
  <c r="Q186" i="3"/>
  <c r="P191" i="4" s="1"/>
  <c r="P186" i="3"/>
  <c r="O191" i="4" s="1"/>
  <c r="R181" i="3"/>
  <c r="L186" i="3"/>
  <c r="N191" i="4" s="1"/>
  <c r="J186" i="3"/>
  <c r="L191" i="4" s="1"/>
  <c r="I186" i="3"/>
  <c r="K191" i="4" s="1"/>
  <c r="U184" i="3"/>
  <c r="V184" i="3" s="1"/>
  <c r="S184" i="3"/>
  <c r="T184" i="3" s="1"/>
  <c r="A186" i="3"/>
  <c r="M186" i="3"/>
  <c r="H191" i="4" s="1"/>
  <c r="B185" i="3"/>
  <c r="C185" i="3" s="1"/>
  <c r="F184" i="3"/>
  <c r="F189" i="4" s="1"/>
  <c r="H182" i="3"/>
  <c r="E187" i="4" s="1"/>
  <c r="E183" i="3"/>
  <c r="D188" i="4" s="1"/>
  <c r="A191" i="4" l="1"/>
  <c r="N187" i="3"/>
  <c r="J192" i="4" s="1"/>
  <c r="C189" i="4"/>
  <c r="W184" i="3"/>
  <c r="G184" i="3"/>
  <c r="G189" i="4" s="1"/>
  <c r="D185" i="3"/>
  <c r="B190" i="4"/>
  <c r="Q187" i="3"/>
  <c r="P192" i="4" s="1"/>
  <c r="P187" i="3"/>
  <c r="O192" i="4" s="1"/>
  <c r="R182" i="3"/>
  <c r="L187" i="3"/>
  <c r="N192" i="4" s="1"/>
  <c r="J187" i="3"/>
  <c r="L192" i="4" s="1"/>
  <c r="I187" i="3"/>
  <c r="K192" i="4" s="1"/>
  <c r="A187" i="3"/>
  <c r="M187" i="3"/>
  <c r="H192" i="4" s="1"/>
  <c r="B186" i="3"/>
  <c r="C186" i="3" s="1"/>
  <c r="F185" i="3"/>
  <c r="F190" i="4" s="1"/>
  <c r="S185" i="3"/>
  <c r="T185" i="3" s="1"/>
  <c r="U185" i="3"/>
  <c r="V185" i="3" s="1"/>
  <c r="E184" i="3"/>
  <c r="D189" i="4" s="1"/>
  <c r="H183" i="3"/>
  <c r="E188" i="4" s="1"/>
  <c r="A192" i="4" l="1"/>
  <c r="N188" i="3"/>
  <c r="J193" i="4" s="1"/>
  <c r="C190" i="4"/>
  <c r="W185" i="3"/>
  <c r="G185" i="3"/>
  <c r="G190" i="4" s="1"/>
  <c r="D186" i="3"/>
  <c r="B191" i="4"/>
  <c r="Q188" i="3"/>
  <c r="P193" i="4" s="1"/>
  <c r="P188" i="3"/>
  <c r="O193" i="4" s="1"/>
  <c r="R183" i="3"/>
  <c r="L188" i="3"/>
  <c r="N193" i="4" s="1"/>
  <c r="J188" i="3"/>
  <c r="L193" i="4" s="1"/>
  <c r="I188" i="3"/>
  <c r="K193" i="4" s="1"/>
  <c r="S186" i="3"/>
  <c r="T186" i="3" s="1"/>
  <c r="U186" i="3"/>
  <c r="V186" i="3" s="1"/>
  <c r="A188" i="3"/>
  <c r="M188" i="3"/>
  <c r="H193" i="4" s="1"/>
  <c r="B187" i="3"/>
  <c r="C187" i="3" s="1"/>
  <c r="F186" i="3"/>
  <c r="F191" i="4" s="1"/>
  <c r="H184" i="3"/>
  <c r="E189" i="4" s="1"/>
  <c r="E185" i="3"/>
  <c r="D190" i="4" s="1"/>
  <c r="A193" i="4" l="1"/>
  <c r="N189" i="3"/>
  <c r="J194" i="4" s="1"/>
  <c r="C191" i="4"/>
  <c r="W186" i="3"/>
  <c r="G186" i="3"/>
  <c r="G191" i="4" s="1"/>
  <c r="D187" i="3"/>
  <c r="B192" i="4"/>
  <c r="Q189" i="3"/>
  <c r="P194" i="4" s="1"/>
  <c r="P189" i="3"/>
  <c r="O194" i="4" s="1"/>
  <c r="R184" i="3"/>
  <c r="L189" i="3"/>
  <c r="N194" i="4" s="1"/>
  <c r="J189" i="3"/>
  <c r="L194" i="4" s="1"/>
  <c r="I189" i="3"/>
  <c r="K194" i="4" s="1"/>
  <c r="A189" i="3"/>
  <c r="M189" i="3"/>
  <c r="H194" i="4" s="1"/>
  <c r="B188" i="3"/>
  <c r="C188" i="3" s="1"/>
  <c r="F187" i="3"/>
  <c r="F192" i="4" s="1"/>
  <c r="U187" i="3"/>
  <c r="V187" i="3" s="1"/>
  <c r="S187" i="3"/>
  <c r="T187" i="3" s="1"/>
  <c r="E186" i="3"/>
  <c r="D191" i="4" s="1"/>
  <c r="H185" i="3"/>
  <c r="E190" i="4" s="1"/>
  <c r="A194" i="4" l="1"/>
  <c r="N190" i="3"/>
  <c r="J195" i="4" s="1"/>
  <c r="C192" i="4"/>
  <c r="W187" i="3"/>
  <c r="G187" i="3"/>
  <c r="G192" i="4" s="1"/>
  <c r="D188" i="3"/>
  <c r="B193" i="4"/>
  <c r="Q190" i="3"/>
  <c r="P195" i="4" s="1"/>
  <c r="P190" i="3"/>
  <c r="O195" i="4" s="1"/>
  <c r="R185" i="3"/>
  <c r="L190" i="3"/>
  <c r="N195" i="4" s="1"/>
  <c r="J190" i="3"/>
  <c r="L195" i="4" s="1"/>
  <c r="I190" i="3"/>
  <c r="K195" i="4" s="1"/>
  <c r="S188" i="3"/>
  <c r="T188" i="3" s="1"/>
  <c r="U188" i="3"/>
  <c r="V188" i="3" s="1"/>
  <c r="A190" i="3"/>
  <c r="M190" i="3"/>
  <c r="H195" i="4" s="1"/>
  <c r="B189" i="3"/>
  <c r="C189" i="3" s="1"/>
  <c r="F188" i="3"/>
  <c r="F193" i="4" s="1"/>
  <c r="H186" i="3"/>
  <c r="E191" i="4" s="1"/>
  <c r="E187" i="3"/>
  <c r="D192" i="4" s="1"/>
  <c r="A195" i="4" l="1"/>
  <c r="N191" i="3"/>
  <c r="J196" i="4" s="1"/>
  <c r="C193" i="4"/>
  <c r="W188" i="3"/>
  <c r="G188" i="3"/>
  <c r="G193" i="4" s="1"/>
  <c r="D189" i="3"/>
  <c r="B194" i="4"/>
  <c r="Q191" i="3"/>
  <c r="P196" i="4" s="1"/>
  <c r="P191" i="3"/>
  <c r="O196" i="4" s="1"/>
  <c r="R186" i="3"/>
  <c r="L191" i="3"/>
  <c r="N196" i="4" s="1"/>
  <c r="J191" i="3"/>
  <c r="L196" i="4" s="1"/>
  <c r="I191" i="3"/>
  <c r="K196" i="4" s="1"/>
  <c r="A191" i="3"/>
  <c r="M191" i="3"/>
  <c r="H196" i="4" s="1"/>
  <c r="B190" i="3"/>
  <c r="C190" i="3" s="1"/>
  <c r="F189" i="3"/>
  <c r="F194" i="4" s="1"/>
  <c r="S189" i="3"/>
  <c r="T189" i="3" s="1"/>
  <c r="U189" i="3"/>
  <c r="V189" i="3" s="1"/>
  <c r="E188" i="3"/>
  <c r="D193" i="4" s="1"/>
  <c r="H187" i="3"/>
  <c r="E192" i="4" s="1"/>
  <c r="A196" i="4" l="1"/>
  <c r="N192" i="3"/>
  <c r="J197" i="4" s="1"/>
  <c r="C194" i="4"/>
  <c r="W189" i="3"/>
  <c r="G189" i="3"/>
  <c r="G194" i="4" s="1"/>
  <c r="D190" i="3"/>
  <c r="B195" i="4"/>
  <c r="Q192" i="3"/>
  <c r="P197" i="4" s="1"/>
  <c r="P192" i="3"/>
  <c r="O197" i="4" s="1"/>
  <c r="R187" i="3"/>
  <c r="L192" i="3"/>
  <c r="N197" i="4" s="1"/>
  <c r="J192" i="3"/>
  <c r="L197" i="4" s="1"/>
  <c r="I192" i="3"/>
  <c r="K197" i="4" s="1"/>
  <c r="U190" i="3"/>
  <c r="V190" i="3" s="1"/>
  <c r="S190" i="3"/>
  <c r="T190" i="3" s="1"/>
  <c r="A192" i="3"/>
  <c r="M192" i="3"/>
  <c r="H197" i="4" s="1"/>
  <c r="B191" i="3"/>
  <c r="C191" i="3" s="1"/>
  <c r="F190" i="3"/>
  <c r="F195" i="4" s="1"/>
  <c r="H188" i="3"/>
  <c r="E193" i="4" s="1"/>
  <c r="E189" i="3"/>
  <c r="D194" i="4" s="1"/>
  <c r="A197" i="4" l="1"/>
  <c r="N193" i="3"/>
  <c r="J198" i="4" s="1"/>
  <c r="C195" i="4"/>
  <c r="W190" i="3"/>
  <c r="G190" i="3"/>
  <c r="G195" i="4" s="1"/>
  <c r="D191" i="3"/>
  <c r="B196" i="4"/>
  <c r="K193" i="3"/>
  <c r="Q193" i="3"/>
  <c r="P198" i="4" s="1"/>
  <c r="P193" i="3"/>
  <c r="O198" i="4" s="1"/>
  <c r="R188" i="3"/>
  <c r="L193" i="3"/>
  <c r="N198" i="4" s="1"/>
  <c r="J193" i="3"/>
  <c r="L198" i="4" s="1"/>
  <c r="I193" i="3"/>
  <c r="K198" i="4" s="1"/>
  <c r="A193" i="3"/>
  <c r="M193" i="3"/>
  <c r="H198" i="4" s="1"/>
  <c r="B192" i="3"/>
  <c r="C192" i="3" s="1"/>
  <c r="F191" i="3"/>
  <c r="F196" i="4" s="1"/>
  <c r="S191" i="3"/>
  <c r="T191" i="3" s="1"/>
  <c r="U191" i="3"/>
  <c r="V191" i="3" s="1"/>
  <c r="E190" i="3"/>
  <c r="D195" i="4" s="1"/>
  <c r="H189" i="3"/>
  <c r="E194" i="4" s="1"/>
  <c r="A198" i="4" l="1"/>
  <c r="N194" i="3"/>
  <c r="J199" i="4" s="1"/>
  <c r="C196" i="4"/>
  <c r="W191" i="3"/>
  <c r="G191" i="3"/>
  <c r="G196" i="4" s="1"/>
  <c r="Y16" i="3"/>
  <c r="Z16" i="3" s="1"/>
  <c r="M198" i="4"/>
  <c r="D192" i="3"/>
  <c r="B197" i="4"/>
  <c r="Q194" i="3"/>
  <c r="P199" i="4" s="1"/>
  <c r="P194" i="3"/>
  <c r="O199" i="4" s="1"/>
  <c r="R189" i="3"/>
  <c r="L194" i="3"/>
  <c r="N199" i="4" s="1"/>
  <c r="J194" i="3"/>
  <c r="L199" i="4" s="1"/>
  <c r="I194" i="3"/>
  <c r="K199" i="4" s="1"/>
  <c r="U192" i="3"/>
  <c r="V192" i="3" s="1"/>
  <c r="S192" i="3"/>
  <c r="T192" i="3" s="1"/>
  <c r="A194" i="3"/>
  <c r="M194" i="3"/>
  <c r="H199" i="4" s="1"/>
  <c r="B193" i="3"/>
  <c r="C193" i="3" s="1"/>
  <c r="F192" i="3"/>
  <c r="F197" i="4" s="1"/>
  <c r="H190" i="3"/>
  <c r="E195" i="4" s="1"/>
  <c r="E191" i="3"/>
  <c r="D196" i="4" s="1"/>
  <c r="A199" i="4" l="1"/>
  <c r="N195" i="3"/>
  <c r="J200" i="4" s="1"/>
  <c r="C197" i="4"/>
  <c r="W192" i="3"/>
  <c r="G192" i="3"/>
  <c r="G197" i="4" s="1"/>
  <c r="D193" i="3"/>
  <c r="B198" i="4"/>
  <c r="Q195" i="3"/>
  <c r="P200" i="4" s="1"/>
  <c r="P195" i="3"/>
  <c r="O200" i="4" s="1"/>
  <c r="R190" i="3"/>
  <c r="L195" i="3"/>
  <c r="N200" i="4" s="1"/>
  <c r="J195" i="3"/>
  <c r="L200" i="4" s="1"/>
  <c r="I195" i="3"/>
  <c r="K200" i="4" s="1"/>
  <c r="A195" i="3"/>
  <c r="M195" i="3"/>
  <c r="H200" i="4" s="1"/>
  <c r="B194" i="3"/>
  <c r="C194" i="3" s="1"/>
  <c r="F193" i="3"/>
  <c r="F198" i="4" s="1"/>
  <c r="S193" i="3"/>
  <c r="T193" i="3" s="1"/>
  <c r="U193" i="3"/>
  <c r="V193" i="3" s="1"/>
  <c r="E192" i="3"/>
  <c r="D197" i="4" s="1"/>
  <c r="H191" i="3"/>
  <c r="E196" i="4" s="1"/>
  <c r="A200" i="4" l="1"/>
  <c r="N196" i="3"/>
  <c r="J201" i="4" s="1"/>
  <c r="C198" i="4"/>
  <c r="W193" i="3"/>
  <c r="G193" i="3"/>
  <c r="G198" i="4" s="1"/>
  <c r="D194" i="3"/>
  <c r="B199" i="4"/>
  <c r="Q196" i="3"/>
  <c r="P201" i="4" s="1"/>
  <c r="P196" i="3"/>
  <c r="O201" i="4" s="1"/>
  <c r="R191" i="3"/>
  <c r="L196" i="3"/>
  <c r="N201" i="4" s="1"/>
  <c r="J196" i="3"/>
  <c r="L201" i="4" s="1"/>
  <c r="I196" i="3"/>
  <c r="K201" i="4" s="1"/>
  <c r="S194" i="3"/>
  <c r="T194" i="3" s="1"/>
  <c r="U194" i="3"/>
  <c r="V194" i="3" s="1"/>
  <c r="A196" i="3"/>
  <c r="M196" i="3"/>
  <c r="H201" i="4" s="1"/>
  <c r="B195" i="3"/>
  <c r="C195" i="3" s="1"/>
  <c r="F194" i="3"/>
  <c r="F199" i="4" s="1"/>
  <c r="H192" i="3"/>
  <c r="E197" i="4" s="1"/>
  <c r="E193" i="3"/>
  <c r="D198" i="4" s="1"/>
  <c r="A201" i="4" l="1"/>
  <c r="N197" i="3"/>
  <c r="J202" i="4" s="1"/>
  <c r="C199" i="4"/>
  <c r="W194" i="3"/>
  <c r="G194" i="3"/>
  <c r="G199" i="4" s="1"/>
  <c r="D195" i="3"/>
  <c r="B200" i="4"/>
  <c r="Q197" i="3"/>
  <c r="P202" i="4" s="1"/>
  <c r="P197" i="3"/>
  <c r="O202" i="4" s="1"/>
  <c r="R192" i="3"/>
  <c r="L197" i="3"/>
  <c r="N202" i="4" s="1"/>
  <c r="J197" i="3"/>
  <c r="L202" i="4" s="1"/>
  <c r="I197" i="3"/>
  <c r="K202" i="4" s="1"/>
  <c r="A197" i="3"/>
  <c r="M197" i="3"/>
  <c r="H202" i="4" s="1"/>
  <c r="B196" i="3"/>
  <c r="C196" i="3" s="1"/>
  <c r="F195" i="3"/>
  <c r="F200" i="4" s="1"/>
  <c r="S195" i="3"/>
  <c r="T195" i="3" s="1"/>
  <c r="U195" i="3"/>
  <c r="V195" i="3" s="1"/>
  <c r="E194" i="3"/>
  <c r="D199" i="4" s="1"/>
  <c r="H193" i="3"/>
  <c r="E198" i="4" s="1"/>
  <c r="A202" i="4" l="1"/>
  <c r="N198" i="3"/>
  <c r="J203" i="4" s="1"/>
  <c r="C200" i="4"/>
  <c r="W195" i="3"/>
  <c r="G195" i="3"/>
  <c r="G200" i="4" s="1"/>
  <c r="D196" i="3"/>
  <c r="B201" i="4"/>
  <c r="Q198" i="3"/>
  <c r="P203" i="4" s="1"/>
  <c r="P198" i="3"/>
  <c r="O203" i="4" s="1"/>
  <c r="R193" i="3"/>
  <c r="L198" i="3"/>
  <c r="N203" i="4" s="1"/>
  <c r="J198" i="3"/>
  <c r="L203" i="4" s="1"/>
  <c r="I198" i="3"/>
  <c r="K203" i="4" s="1"/>
  <c r="U196" i="3"/>
  <c r="V196" i="3" s="1"/>
  <c r="S196" i="3"/>
  <c r="T196" i="3" s="1"/>
  <c r="A198" i="3"/>
  <c r="M198" i="3"/>
  <c r="H203" i="4" s="1"/>
  <c r="B197" i="3"/>
  <c r="C197" i="3" s="1"/>
  <c r="F196" i="3"/>
  <c r="F201" i="4" s="1"/>
  <c r="H194" i="3"/>
  <c r="E199" i="4" s="1"/>
  <c r="E195" i="3"/>
  <c r="D200" i="4" s="1"/>
  <c r="A203" i="4" l="1"/>
  <c r="N199" i="3"/>
  <c r="J204" i="4" s="1"/>
  <c r="C201" i="4"/>
  <c r="W196" i="3"/>
  <c r="G196" i="3"/>
  <c r="G201" i="4" s="1"/>
  <c r="D197" i="3"/>
  <c r="B202" i="4"/>
  <c r="Q199" i="3"/>
  <c r="P204" i="4" s="1"/>
  <c r="P199" i="3"/>
  <c r="O204" i="4" s="1"/>
  <c r="R194" i="3"/>
  <c r="L199" i="3"/>
  <c r="N204" i="4" s="1"/>
  <c r="J199" i="3"/>
  <c r="L204" i="4" s="1"/>
  <c r="I199" i="3"/>
  <c r="K204" i="4" s="1"/>
  <c r="A199" i="3"/>
  <c r="M199" i="3"/>
  <c r="H204" i="4" s="1"/>
  <c r="B198" i="3"/>
  <c r="C198" i="3" s="1"/>
  <c r="F197" i="3"/>
  <c r="F202" i="4" s="1"/>
  <c r="U197" i="3"/>
  <c r="V197" i="3" s="1"/>
  <c r="S197" i="3"/>
  <c r="T197" i="3" s="1"/>
  <c r="H195" i="3"/>
  <c r="E200" i="4" s="1"/>
  <c r="E196" i="3"/>
  <c r="D201" i="4" s="1"/>
  <c r="A204" i="4" l="1"/>
  <c r="N200" i="3"/>
  <c r="J205" i="4" s="1"/>
  <c r="C202" i="4"/>
  <c r="W197" i="3"/>
  <c r="G197" i="3"/>
  <c r="G202" i="4" s="1"/>
  <c r="D198" i="3"/>
  <c r="B203" i="4"/>
  <c r="Q200" i="3"/>
  <c r="P205" i="4" s="1"/>
  <c r="P200" i="3"/>
  <c r="O205" i="4" s="1"/>
  <c r="R195" i="3"/>
  <c r="L200" i="3"/>
  <c r="N205" i="4" s="1"/>
  <c r="J200" i="3"/>
  <c r="L205" i="4" s="1"/>
  <c r="I200" i="3"/>
  <c r="K205" i="4" s="1"/>
  <c r="S198" i="3"/>
  <c r="T198" i="3" s="1"/>
  <c r="U198" i="3"/>
  <c r="V198" i="3" s="1"/>
  <c r="A200" i="3"/>
  <c r="M200" i="3"/>
  <c r="H205" i="4" s="1"/>
  <c r="B199" i="3"/>
  <c r="C199" i="3" s="1"/>
  <c r="F198" i="3"/>
  <c r="F203" i="4" s="1"/>
  <c r="E197" i="3"/>
  <c r="D202" i="4" s="1"/>
  <c r="H196" i="3"/>
  <c r="E201" i="4" s="1"/>
  <c r="A205" i="4" l="1"/>
  <c r="N201" i="3"/>
  <c r="J206" i="4" s="1"/>
  <c r="C203" i="4"/>
  <c r="W198" i="3"/>
  <c r="G198" i="3"/>
  <c r="G203" i="4" s="1"/>
  <c r="D199" i="3"/>
  <c r="B204" i="4"/>
  <c r="Q201" i="3"/>
  <c r="P206" i="4" s="1"/>
  <c r="P201" i="3"/>
  <c r="O206" i="4" s="1"/>
  <c r="R196" i="3"/>
  <c r="L201" i="3"/>
  <c r="N206" i="4" s="1"/>
  <c r="J201" i="3"/>
  <c r="L206" i="4" s="1"/>
  <c r="I201" i="3"/>
  <c r="K206" i="4" s="1"/>
  <c r="A201" i="3"/>
  <c r="M201" i="3"/>
  <c r="H206" i="4" s="1"/>
  <c r="B200" i="3"/>
  <c r="C200" i="3" s="1"/>
  <c r="F199" i="3"/>
  <c r="F204" i="4" s="1"/>
  <c r="S199" i="3"/>
  <c r="T199" i="3" s="1"/>
  <c r="U199" i="3"/>
  <c r="V199" i="3" s="1"/>
  <c r="H197" i="3"/>
  <c r="E202" i="4" s="1"/>
  <c r="E198" i="3"/>
  <c r="D203" i="4" s="1"/>
  <c r="A206" i="4" l="1"/>
  <c r="N202" i="3"/>
  <c r="J207" i="4" s="1"/>
  <c r="G199" i="3"/>
  <c r="G204" i="4" s="1"/>
  <c r="C204" i="4"/>
  <c r="W199" i="3"/>
  <c r="D200" i="3"/>
  <c r="B205" i="4"/>
  <c r="Q202" i="3"/>
  <c r="P207" i="4" s="1"/>
  <c r="P202" i="3"/>
  <c r="O207" i="4" s="1"/>
  <c r="R197" i="3"/>
  <c r="L202" i="3"/>
  <c r="N207" i="4" s="1"/>
  <c r="J202" i="3"/>
  <c r="L207" i="4" s="1"/>
  <c r="I202" i="3"/>
  <c r="K207" i="4" s="1"/>
  <c r="U200" i="3"/>
  <c r="V200" i="3" s="1"/>
  <c r="S200" i="3"/>
  <c r="T200" i="3" s="1"/>
  <c r="A202" i="3"/>
  <c r="M202" i="3"/>
  <c r="H207" i="4" s="1"/>
  <c r="B201" i="3"/>
  <c r="C201" i="3" s="1"/>
  <c r="B206" i="4" s="1"/>
  <c r="F200" i="3"/>
  <c r="F205" i="4" s="1"/>
  <c r="E199" i="3"/>
  <c r="D204" i="4" s="1"/>
  <c r="H198" i="3"/>
  <c r="E203" i="4" s="1"/>
  <c r="A207" i="4" l="1"/>
  <c r="N203" i="3"/>
  <c r="J208" i="4" s="1"/>
  <c r="C205" i="4"/>
  <c r="W200" i="3"/>
  <c r="G200" i="3"/>
  <c r="G205" i="4" s="1"/>
  <c r="Q203" i="3"/>
  <c r="P208" i="4" s="1"/>
  <c r="P203" i="3"/>
  <c r="O208" i="4" s="1"/>
  <c r="R198" i="3"/>
  <c r="L203" i="3"/>
  <c r="N208" i="4" s="1"/>
  <c r="J203" i="3"/>
  <c r="L208" i="4" s="1"/>
  <c r="I203" i="3"/>
  <c r="K208" i="4" s="1"/>
  <c r="A203" i="3"/>
  <c r="M203" i="3"/>
  <c r="H208" i="4" s="1"/>
  <c r="B202" i="3"/>
  <c r="C202" i="3" s="1"/>
  <c r="F201" i="3"/>
  <c r="F206" i="4" s="1"/>
  <c r="S201" i="3"/>
  <c r="T201" i="3" s="1"/>
  <c r="U201" i="3"/>
  <c r="V201" i="3" s="1"/>
  <c r="D201" i="3"/>
  <c r="H199" i="3"/>
  <c r="E204" i="4" s="1"/>
  <c r="E200" i="3"/>
  <c r="D205" i="4" s="1"/>
  <c r="A208" i="4" l="1"/>
  <c r="N204" i="3"/>
  <c r="J209" i="4" s="1"/>
  <c r="C206" i="4"/>
  <c r="W201" i="3"/>
  <c r="D202" i="3"/>
  <c r="B207" i="4"/>
  <c r="G201" i="3"/>
  <c r="G206" i="4" s="1"/>
  <c r="Q204" i="3"/>
  <c r="P209" i="4" s="1"/>
  <c r="P204" i="3"/>
  <c r="O209" i="4" s="1"/>
  <c r="R199" i="3"/>
  <c r="L204" i="3"/>
  <c r="N209" i="4" s="1"/>
  <c r="J204" i="3"/>
  <c r="L209" i="4" s="1"/>
  <c r="I204" i="3"/>
  <c r="K209" i="4" s="1"/>
  <c r="S202" i="3"/>
  <c r="T202" i="3" s="1"/>
  <c r="U202" i="3"/>
  <c r="V202" i="3" s="1"/>
  <c r="A204" i="3"/>
  <c r="M204" i="3"/>
  <c r="H209" i="4" s="1"/>
  <c r="B203" i="3"/>
  <c r="C203" i="3" s="1"/>
  <c r="F202" i="3"/>
  <c r="F207" i="4" s="1"/>
  <c r="E201" i="3"/>
  <c r="D206" i="4" s="1"/>
  <c r="H200" i="3"/>
  <c r="E205" i="4" s="1"/>
  <c r="A209" i="4" l="1"/>
  <c r="N205" i="3"/>
  <c r="J210" i="4" s="1"/>
  <c r="C207" i="4"/>
  <c r="W202" i="3"/>
  <c r="G202" i="3"/>
  <c r="G207" i="4" s="1"/>
  <c r="D203" i="3"/>
  <c r="B208" i="4"/>
  <c r="K205" i="3"/>
  <c r="Q205" i="3"/>
  <c r="P210" i="4" s="1"/>
  <c r="P205" i="3"/>
  <c r="O210" i="4" s="1"/>
  <c r="R200" i="3"/>
  <c r="L205" i="3"/>
  <c r="N210" i="4" s="1"/>
  <c r="J205" i="3"/>
  <c r="L210" i="4" s="1"/>
  <c r="I205" i="3"/>
  <c r="K210" i="4" s="1"/>
  <c r="A205" i="3"/>
  <c r="M205" i="3"/>
  <c r="H210" i="4" s="1"/>
  <c r="B204" i="3"/>
  <c r="C204" i="3" s="1"/>
  <c r="F203" i="3"/>
  <c r="F208" i="4" s="1"/>
  <c r="U203" i="3"/>
  <c r="V203" i="3" s="1"/>
  <c r="S203" i="3"/>
  <c r="T203" i="3" s="1"/>
  <c r="H201" i="3"/>
  <c r="E206" i="4" s="1"/>
  <c r="E202" i="3"/>
  <c r="D207" i="4" s="1"/>
  <c r="A210" i="4" l="1"/>
  <c r="N206" i="3"/>
  <c r="J211" i="4" s="1"/>
  <c r="G203" i="3"/>
  <c r="G208" i="4" s="1"/>
  <c r="C208" i="4"/>
  <c r="W203" i="3"/>
  <c r="Y17" i="3"/>
  <c r="Z17" i="3" s="1"/>
  <c r="M210" i="4"/>
  <c r="D204" i="3"/>
  <c r="B209" i="4"/>
  <c r="Q206" i="3"/>
  <c r="P211" i="4" s="1"/>
  <c r="P206" i="3"/>
  <c r="O211" i="4" s="1"/>
  <c r="R201" i="3"/>
  <c r="L206" i="3"/>
  <c r="N211" i="4" s="1"/>
  <c r="J206" i="3"/>
  <c r="L211" i="4" s="1"/>
  <c r="I206" i="3"/>
  <c r="K211" i="4" s="1"/>
  <c r="S204" i="3"/>
  <c r="T204" i="3" s="1"/>
  <c r="U204" i="3"/>
  <c r="V204" i="3" s="1"/>
  <c r="A206" i="3"/>
  <c r="M206" i="3"/>
  <c r="H211" i="4" s="1"/>
  <c r="B205" i="3"/>
  <c r="C205" i="3" s="1"/>
  <c r="F204" i="3"/>
  <c r="F209" i="4" s="1"/>
  <c r="H202" i="3"/>
  <c r="E207" i="4" s="1"/>
  <c r="E203" i="3"/>
  <c r="D208" i="4" s="1"/>
  <c r="A211" i="4" l="1"/>
  <c r="N207" i="3"/>
  <c r="J212" i="4" s="1"/>
  <c r="C209" i="4"/>
  <c r="W204" i="3"/>
  <c r="G204" i="3"/>
  <c r="G209" i="4" s="1"/>
  <c r="D205" i="3"/>
  <c r="B210" i="4"/>
  <c r="Q207" i="3"/>
  <c r="P212" i="4" s="1"/>
  <c r="P207" i="3"/>
  <c r="O212" i="4" s="1"/>
  <c r="R202" i="3"/>
  <c r="L207" i="3"/>
  <c r="N212" i="4" s="1"/>
  <c r="J207" i="3"/>
  <c r="L212" i="4" s="1"/>
  <c r="I207" i="3"/>
  <c r="K212" i="4" s="1"/>
  <c r="A207" i="3"/>
  <c r="M207" i="3"/>
  <c r="H212" i="4" s="1"/>
  <c r="B206" i="3"/>
  <c r="C206" i="3" s="1"/>
  <c r="F205" i="3"/>
  <c r="F210" i="4" s="1"/>
  <c r="S205" i="3"/>
  <c r="T205" i="3" s="1"/>
  <c r="U205" i="3"/>
  <c r="V205" i="3" s="1"/>
  <c r="E204" i="3"/>
  <c r="D209" i="4" s="1"/>
  <c r="H203" i="3"/>
  <c r="E208" i="4" s="1"/>
  <c r="A212" i="4" l="1"/>
  <c r="N208" i="3"/>
  <c r="J213" i="4" s="1"/>
  <c r="C210" i="4"/>
  <c r="W205" i="3"/>
  <c r="G205" i="3"/>
  <c r="G210" i="4" s="1"/>
  <c r="D206" i="3"/>
  <c r="B211" i="4"/>
  <c r="Q208" i="3"/>
  <c r="P213" i="4" s="1"/>
  <c r="P208" i="3"/>
  <c r="O213" i="4" s="1"/>
  <c r="R203" i="3"/>
  <c r="L208" i="3"/>
  <c r="N213" i="4" s="1"/>
  <c r="J208" i="3"/>
  <c r="L213" i="4" s="1"/>
  <c r="I208" i="3"/>
  <c r="K213" i="4" s="1"/>
  <c r="S206" i="3"/>
  <c r="T206" i="3" s="1"/>
  <c r="U206" i="3"/>
  <c r="V206" i="3" s="1"/>
  <c r="A208" i="3"/>
  <c r="M208" i="3"/>
  <c r="H213" i="4" s="1"/>
  <c r="B207" i="3"/>
  <c r="C207" i="3" s="1"/>
  <c r="B212" i="4" s="1"/>
  <c r="F206" i="3"/>
  <c r="F211" i="4" s="1"/>
  <c r="H204" i="3"/>
  <c r="E209" i="4" s="1"/>
  <c r="E205" i="3"/>
  <c r="D210" i="4" s="1"/>
  <c r="A213" i="4" l="1"/>
  <c r="N209" i="3"/>
  <c r="J214" i="4" s="1"/>
  <c r="C211" i="4"/>
  <c r="W206" i="3"/>
  <c r="G206" i="3"/>
  <c r="G211" i="4" s="1"/>
  <c r="Q209" i="3"/>
  <c r="P214" i="4" s="1"/>
  <c r="P209" i="3"/>
  <c r="O214" i="4" s="1"/>
  <c r="R204" i="3"/>
  <c r="L209" i="3"/>
  <c r="N214" i="4" s="1"/>
  <c r="J209" i="3"/>
  <c r="L214" i="4" s="1"/>
  <c r="I209" i="3"/>
  <c r="K214" i="4" s="1"/>
  <c r="A209" i="3"/>
  <c r="M209" i="3"/>
  <c r="H214" i="4" s="1"/>
  <c r="B208" i="3"/>
  <c r="C208" i="3" s="1"/>
  <c r="F207" i="3"/>
  <c r="F212" i="4" s="1"/>
  <c r="D207" i="3"/>
  <c r="U207" i="3"/>
  <c r="V207" i="3" s="1"/>
  <c r="S207" i="3"/>
  <c r="T207" i="3" s="1"/>
  <c r="E206" i="3"/>
  <c r="D211" i="4" s="1"/>
  <c r="H205" i="3"/>
  <c r="E210" i="4" s="1"/>
  <c r="A214" i="4" l="1"/>
  <c r="N210" i="3"/>
  <c r="J215" i="4" s="1"/>
  <c r="C212" i="4"/>
  <c r="W207" i="3"/>
  <c r="D208" i="3"/>
  <c r="B213" i="4"/>
  <c r="G207" i="3"/>
  <c r="G212" i="4" s="1"/>
  <c r="Q210" i="3"/>
  <c r="P215" i="4" s="1"/>
  <c r="P210" i="3"/>
  <c r="O215" i="4" s="1"/>
  <c r="R205" i="3"/>
  <c r="L210" i="3"/>
  <c r="N215" i="4" s="1"/>
  <c r="J210" i="3"/>
  <c r="L215" i="4" s="1"/>
  <c r="I210" i="3"/>
  <c r="K215" i="4" s="1"/>
  <c r="U208" i="3"/>
  <c r="V208" i="3" s="1"/>
  <c r="S208" i="3"/>
  <c r="T208" i="3" s="1"/>
  <c r="A210" i="3"/>
  <c r="M210" i="3"/>
  <c r="H215" i="4" s="1"/>
  <c r="B209" i="3"/>
  <c r="C209" i="3" s="1"/>
  <c r="F208" i="3"/>
  <c r="F213" i="4" s="1"/>
  <c r="H206" i="3"/>
  <c r="E211" i="4" s="1"/>
  <c r="E207" i="3"/>
  <c r="D212" i="4" s="1"/>
  <c r="A215" i="4" l="1"/>
  <c r="N211" i="3"/>
  <c r="J216" i="4" s="1"/>
  <c r="C213" i="4"/>
  <c r="W208" i="3"/>
  <c r="G208" i="3"/>
  <c r="G213" i="4" s="1"/>
  <c r="D209" i="3"/>
  <c r="B214" i="4"/>
  <c r="Q211" i="3"/>
  <c r="P216" i="4" s="1"/>
  <c r="P211" i="3"/>
  <c r="O216" i="4" s="1"/>
  <c r="R206" i="3"/>
  <c r="L211" i="3"/>
  <c r="N216" i="4" s="1"/>
  <c r="J211" i="3"/>
  <c r="L216" i="4" s="1"/>
  <c r="I211" i="3"/>
  <c r="K216" i="4" s="1"/>
  <c r="A211" i="3"/>
  <c r="M211" i="3"/>
  <c r="H216" i="4" s="1"/>
  <c r="B210" i="3"/>
  <c r="C210" i="3" s="1"/>
  <c r="F209" i="3"/>
  <c r="F214" i="4" s="1"/>
  <c r="S209" i="3"/>
  <c r="T209" i="3" s="1"/>
  <c r="U209" i="3"/>
  <c r="V209" i="3" s="1"/>
  <c r="E208" i="3"/>
  <c r="D213" i="4" s="1"/>
  <c r="H207" i="3"/>
  <c r="E212" i="4" s="1"/>
  <c r="A216" i="4" l="1"/>
  <c r="N212" i="3"/>
  <c r="J217" i="4" s="1"/>
  <c r="C214" i="4"/>
  <c r="W209" i="3"/>
  <c r="G209" i="3"/>
  <c r="G214" i="4" s="1"/>
  <c r="D210" i="3"/>
  <c r="B215" i="4"/>
  <c r="Q212" i="3"/>
  <c r="P217" i="4" s="1"/>
  <c r="P212" i="3"/>
  <c r="O217" i="4" s="1"/>
  <c r="R207" i="3"/>
  <c r="L212" i="3"/>
  <c r="N217" i="4" s="1"/>
  <c r="J212" i="3"/>
  <c r="L217" i="4" s="1"/>
  <c r="I212" i="3"/>
  <c r="K217" i="4" s="1"/>
  <c r="S210" i="3"/>
  <c r="T210" i="3" s="1"/>
  <c r="U210" i="3"/>
  <c r="V210" i="3" s="1"/>
  <c r="A212" i="3"/>
  <c r="M212" i="3"/>
  <c r="H217" i="4" s="1"/>
  <c r="B211" i="3"/>
  <c r="C211" i="3" s="1"/>
  <c r="F210" i="3"/>
  <c r="F215" i="4" s="1"/>
  <c r="H208" i="3"/>
  <c r="E213" i="4" s="1"/>
  <c r="E209" i="3"/>
  <c r="D214" i="4" s="1"/>
  <c r="A217" i="4" l="1"/>
  <c r="N213" i="3"/>
  <c r="J218" i="4" s="1"/>
  <c r="C215" i="4"/>
  <c r="W210" i="3"/>
  <c r="G210" i="3" s="1"/>
  <c r="G215" i="4" s="1"/>
  <c r="D211" i="3"/>
  <c r="B216" i="4"/>
  <c r="Q213" i="3"/>
  <c r="P218" i="4" s="1"/>
  <c r="P213" i="3"/>
  <c r="O218" i="4" s="1"/>
  <c r="R208" i="3"/>
  <c r="L213" i="3"/>
  <c r="N218" i="4" s="1"/>
  <c r="J213" i="3"/>
  <c r="L218" i="4" s="1"/>
  <c r="I213" i="3"/>
  <c r="K218" i="4" s="1"/>
  <c r="A213" i="3"/>
  <c r="M213" i="3"/>
  <c r="H218" i="4" s="1"/>
  <c r="B212" i="3"/>
  <c r="C212" i="3" s="1"/>
  <c r="F211" i="3"/>
  <c r="F216" i="4" s="1"/>
  <c r="S211" i="3"/>
  <c r="T211" i="3" s="1"/>
  <c r="U211" i="3"/>
  <c r="V211" i="3" s="1"/>
  <c r="H209" i="3"/>
  <c r="E214" i="4" s="1"/>
  <c r="E210" i="3"/>
  <c r="D215" i="4" s="1"/>
  <c r="A218" i="4" l="1"/>
  <c r="N214" i="3"/>
  <c r="J219" i="4" s="1"/>
  <c r="C216" i="4"/>
  <c r="W211" i="3"/>
  <c r="G211" i="3"/>
  <c r="G216" i="4" s="1"/>
  <c r="D212" i="3"/>
  <c r="B217" i="4"/>
  <c r="Q214" i="3"/>
  <c r="P219" i="4" s="1"/>
  <c r="P214" i="3"/>
  <c r="O219" i="4" s="1"/>
  <c r="R209" i="3"/>
  <c r="L214" i="3"/>
  <c r="N219" i="4" s="1"/>
  <c r="J214" i="3"/>
  <c r="L219" i="4" s="1"/>
  <c r="I214" i="3"/>
  <c r="K219" i="4" s="1"/>
  <c r="S212" i="3"/>
  <c r="T212" i="3" s="1"/>
  <c r="U212" i="3"/>
  <c r="V212" i="3" s="1"/>
  <c r="A214" i="3"/>
  <c r="M214" i="3"/>
  <c r="H219" i="4" s="1"/>
  <c r="B213" i="3"/>
  <c r="C213" i="3" s="1"/>
  <c r="F212" i="3"/>
  <c r="F217" i="4" s="1"/>
  <c r="E211" i="3"/>
  <c r="D216" i="4" s="1"/>
  <c r="H210" i="3"/>
  <c r="E215" i="4" s="1"/>
  <c r="A219" i="4" l="1"/>
  <c r="N215" i="3"/>
  <c r="J220" i="4" s="1"/>
  <c r="C217" i="4"/>
  <c r="W212" i="3"/>
  <c r="G212" i="3"/>
  <c r="G217" i="4" s="1"/>
  <c r="D213" i="3"/>
  <c r="B218" i="4"/>
  <c r="Q215" i="3"/>
  <c r="P220" i="4" s="1"/>
  <c r="P215" i="3"/>
  <c r="O220" i="4" s="1"/>
  <c r="R210" i="3"/>
  <c r="L215" i="3"/>
  <c r="N220" i="4" s="1"/>
  <c r="J215" i="3"/>
  <c r="L220" i="4" s="1"/>
  <c r="I215" i="3"/>
  <c r="K220" i="4" s="1"/>
  <c r="A215" i="3"/>
  <c r="M215" i="3"/>
  <c r="H220" i="4" s="1"/>
  <c r="B214" i="3"/>
  <c r="C214" i="3" s="1"/>
  <c r="F213" i="3"/>
  <c r="F218" i="4" s="1"/>
  <c r="S213" i="3"/>
  <c r="T213" i="3" s="1"/>
  <c r="U213" i="3"/>
  <c r="V213" i="3" s="1"/>
  <c r="H211" i="3"/>
  <c r="E216" i="4" s="1"/>
  <c r="E212" i="3"/>
  <c r="D217" i="4" s="1"/>
  <c r="A220" i="4" l="1"/>
  <c r="N216" i="3"/>
  <c r="J221" i="4" s="1"/>
  <c r="G213" i="3"/>
  <c r="G218" i="4" s="1"/>
  <c r="C218" i="4"/>
  <c r="W213" i="3"/>
  <c r="D214" i="3"/>
  <c r="B219" i="4"/>
  <c r="Q216" i="3"/>
  <c r="P221" i="4" s="1"/>
  <c r="P216" i="3"/>
  <c r="O221" i="4" s="1"/>
  <c r="R211" i="3"/>
  <c r="L216" i="3"/>
  <c r="N221" i="4" s="1"/>
  <c r="J216" i="3"/>
  <c r="L221" i="4" s="1"/>
  <c r="I216" i="3"/>
  <c r="K221" i="4" s="1"/>
  <c r="U214" i="3"/>
  <c r="V214" i="3" s="1"/>
  <c r="S214" i="3"/>
  <c r="T214" i="3" s="1"/>
  <c r="A216" i="3"/>
  <c r="M216" i="3"/>
  <c r="H221" i="4" s="1"/>
  <c r="B215" i="3"/>
  <c r="C215" i="3" s="1"/>
  <c r="F214" i="3"/>
  <c r="F219" i="4" s="1"/>
  <c r="E213" i="3"/>
  <c r="D218" i="4" s="1"/>
  <c r="H212" i="3"/>
  <c r="E217" i="4" s="1"/>
  <c r="A221" i="4" l="1"/>
  <c r="N217" i="3"/>
  <c r="J222" i="4" s="1"/>
  <c r="C219" i="4"/>
  <c r="W214" i="3"/>
  <c r="G214" i="3"/>
  <c r="G219" i="4" s="1"/>
  <c r="D215" i="3"/>
  <c r="B220" i="4"/>
  <c r="K217" i="3"/>
  <c r="Q217" i="3"/>
  <c r="P222" i="4" s="1"/>
  <c r="P217" i="3"/>
  <c r="O222" i="4" s="1"/>
  <c r="R212" i="3"/>
  <c r="L217" i="3"/>
  <c r="N222" i="4" s="1"/>
  <c r="J217" i="3"/>
  <c r="L222" i="4" s="1"/>
  <c r="I217" i="3"/>
  <c r="K222" i="4" s="1"/>
  <c r="A217" i="3"/>
  <c r="M217" i="3"/>
  <c r="H222" i="4" s="1"/>
  <c r="B216" i="3"/>
  <c r="C216" i="3" s="1"/>
  <c r="F215" i="3"/>
  <c r="F220" i="4" s="1"/>
  <c r="U215" i="3"/>
  <c r="V215" i="3" s="1"/>
  <c r="S215" i="3"/>
  <c r="T215" i="3" s="1"/>
  <c r="H213" i="3"/>
  <c r="E218" i="4" s="1"/>
  <c r="E214" i="3"/>
  <c r="D219" i="4" s="1"/>
  <c r="A222" i="4" l="1"/>
  <c r="N218" i="3"/>
  <c r="J223" i="4" s="1"/>
  <c r="C220" i="4"/>
  <c r="W215" i="3"/>
  <c r="Y18" i="3"/>
  <c r="Z18" i="3" s="1"/>
  <c r="M222" i="4"/>
  <c r="D216" i="3"/>
  <c r="B221" i="4"/>
  <c r="G215" i="3"/>
  <c r="G220" i="4" s="1"/>
  <c r="Q218" i="3"/>
  <c r="P223" i="4" s="1"/>
  <c r="P218" i="3"/>
  <c r="O223" i="4" s="1"/>
  <c r="R213" i="3"/>
  <c r="L218" i="3"/>
  <c r="N223" i="4" s="1"/>
  <c r="J218" i="3"/>
  <c r="L223" i="4" s="1"/>
  <c r="I218" i="3"/>
  <c r="K223" i="4" s="1"/>
  <c r="U216" i="3"/>
  <c r="V216" i="3" s="1"/>
  <c r="S216" i="3"/>
  <c r="T216" i="3" s="1"/>
  <c r="A218" i="3"/>
  <c r="M218" i="3"/>
  <c r="H223" i="4" s="1"/>
  <c r="B217" i="3"/>
  <c r="C217" i="3" s="1"/>
  <c r="F216" i="3"/>
  <c r="F221" i="4" s="1"/>
  <c r="H214" i="3"/>
  <c r="E219" i="4" s="1"/>
  <c r="E215" i="3"/>
  <c r="D220" i="4" s="1"/>
  <c r="A223" i="4" l="1"/>
  <c r="N219" i="3"/>
  <c r="J224" i="4" s="1"/>
  <c r="C221" i="4"/>
  <c r="W216" i="3"/>
  <c r="G216" i="3"/>
  <c r="G221" i="4" s="1"/>
  <c r="D217" i="3"/>
  <c r="B222" i="4"/>
  <c r="Q219" i="3"/>
  <c r="P224" i="4" s="1"/>
  <c r="P219" i="3"/>
  <c r="O224" i="4" s="1"/>
  <c r="R214" i="3"/>
  <c r="L219" i="3"/>
  <c r="N224" i="4" s="1"/>
  <c r="J219" i="3"/>
  <c r="L224" i="4" s="1"/>
  <c r="I219" i="3"/>
  <c r="K224" i="4" s="1"/>
  <c r="A219" i="3"/>
  <c r="M219" i="3"/>
  <c r="H224" i="4" s="1"/>
  <c r="B218" i="3"/>
  <c r="C218" i="3" s="1"/>
  <c r="F217" i="3"/>
  <c r="F222" i="4" s="1"/>
  <c r="U217" i="3"/>
  <c r="V217" i="3" s="1"/>
  <c r="S217" i="3"/>
  <c r="T217" i="3" s="1"/>
  <c r="E216" i="3"/>
  <c r="D221" i="4" s="1"/>
  <c r="H215" i="3"/>
  <c r="E220" i="4" s="1"/>
  <c r="A224" i="4" l="1"/>
  <c r="N220" i="3"/>
  <c r="J225" i="4" s="1"/>
  <c r="C222" i="4"/>
  <c r="W217" i="3"/>
  <c r="G217" i="3"/>
  <c r="G222" i="4" s="1"/>
  <c r="D218" i="3"/>
  <c r="B223" i="4"/>
  <c r="Q220" i="3"/>
  <c r="P225" i="4" s="1"/>
  <c r="P220" i="3"/>
  <c r="O225" i="4" s="1"/>
  <c r="R215" i="3"/>
  <c r="L220" i="3"/>
  <c r="N225" i="4" s="1"/>
  <c r="J220" i="3"/>
  <c r="L225" i="4" s="1"/>
  <c r="I220" i="3"/>
  <c r="K225" i="4" s="1"/>
  <c r="S218" i="3"/>
  <c r="T218" i="3" s="1"/>
  <c r="U218" i="3"/>
  <c r="V218" i="3" s="1"/>
  <c r="A220" i="3"/>
  <c r="M220" i="3"/>
  <c r="H225" i="4" s="1"/>
  <c r="B219" i="3"/>
  <c r="C219" i="3" s="1"/>
  <c r="F218" i="3"/>
  <c r="F223" i="4" s="1"/>
  <c r="H216" i="3"/>
  <c r="E221" i="4" s="1"/>
  <c r="E217" i="3"/>
  <c r="D222" i="4" s="1"/>
  <c r="A225" i="4" l="1"/>
  <c r="N221" i="3"/>
  <c r="J226" i="4" s="1"/>
  <c r="C223" i="4"/>
  <c r="W218" i="3"/>
  <c r="G218" i="3"/>
  <c r="G223" i="4" s="1"/>
  <c r="D219" i="3"/>
  <c r="B224" i="4"/>
  <c r="Q221" i="3"/>
  <c r="P226" i="4" s="1"/>
  <c r="P221" i="3"/>
  <c r="O226" i="4" s="1"/>
  <c r="R216" i="3"/>
  <c r="L221" i="3"/>
  <c r="N226" i="4" s="1"/>
  <c r="J221" i="3"/>
  <c r="L226" i="4" s="1"/>
  <c r="I221" i="3"/>
  <c r="K226" i="4" s="1"/>
  <c r="A221" i="3"/>
  <c r="M221" i="3"/>
  <c r="H226" i="4" s="1"/>
  <c r="B220" i="3"/>
  <c r="C220" i="3" s="1"/>
  <c r="F219" i="3"/>
  <c r="F224" i="4" s="1"/>
  <c r="U219" i="3"/>
  <c r="V219" i="3" s="1"/>
  <c r="S219" i="3"/>
  <c r="T219" i="3" s="1"/>
  <c r="E218" i="3"/>
  <c r="D223" i="4" s="1"/>
  <c r="H217" i="3"/>
  <c r="E222" i="4" s="1"/>
  <c r="A226" i="4" l="1"/>
  <c r="N222" i="3"/>
  <c r="J227" i="4" s="1"/>
  <c r="C224" i="4"/>
  <c r="W219" i="3"/>
  <c r="G219" i="3"/>
  <c r="G224" i="4" s="1"/>
  <c r="D220" i="3"/>
  <c r="B225" i="4"/>
  <c r="Q222" i="3"/>
  <c r="P227" i="4" s="1"/>
  <c r="P222" i="3"/>
  <c r="O227" i="4" s="1"/>
  <c r="R217" i="3"/>
  <c r="L222" i="3"/>
  <c r="N227" i="4" s="1"/>
  <c r="J222" i="3"/>
  <c r="L227" i="4" s="1"/>
  <c r="I222" i="3"/>
  <c r="K227" i="4" s="1"/>
  <c r="U220" i="3"/>
  <c r="V220" i="3" s="1"/>
  <c r="S220" i="3"/>
  <c r="T220" i="3" s="1"/>
  <c r="A222" i="3"/>
  <c r="M222" i="3"/>
  <c r="H227" i="4" s="1"/>
  <c r="B221" i="3"/>
  <c r="C221" i="3" s="1"/>
  <c r="F220" i="3"/>
  <c r="F225" i="4" s="1"/>
  <c r="H218" i="3"/>
  <c r="E223" i="4" s="1"/>
  <c r="E219" i="3"/>
  <c r="D224" i="4" s="1"/>
  <c r="A227" i="4" l="1"/>
  <c r="N223" i="3"/>
  <c r="J228" i="4" s="1"/>
  <c r="C225" i="4"/>
  <c r="W220" i="3"/>
  <c r="G220" i="3"/>
  <c r="G225" i="4" s="1"/>
  <c r="D221" i="3"/>
  <c r="B226" i="4"/>
  <c r="Q223" i="3"/>
  <c r="P228" i="4" s="1"/>
  <c r="P223" i="3"/>
  <c r="O228" i="4" s="1"/>
  <c r="R218" i="3"/>
  <c r="L223" i="3"/>
  <c r="N228" i="4" s="1"/>
  <c r="J223" i="3"/>
  <c r="L228" i="4" s="1"/>
  <c r="I223" i="3"/>
  <c r="K228" i="4" s="1"/>
  <c r="A223" i="3"/>
  <c r="M223" i="3"/>
  <c r="H228" i="4" s="1"/>
  <c r="B222" i="3"/>
  <c r="C222" i="3" s="1"/>
  <c r="F221" i="3"/>
  <c r="F226" i="4" s="1"/>
  <c r="S221" i="3"/>
  <c r="T221" i="3" s="1"/>
  <c r="U221" i="3"/>
  <c r="V221" i="3" s="1"/>
  <c r="H219" i="3"/>
  <c r="E224" i="4" s="1"/>
  <c r="E220" i="3"/>
  <c r="D225" i="4" s="1"/>
  <c r="A228" i="4" l="1"/>
  <c r="N224" i="3"/>
  <c r="J229" i="4" s="1"/>
  <c r="G221" i="3"/>
  <c r="G226" i="4" s="1"/>
  <c r="C226" i="4"/>
  <c r="W221" i="3"/>
  <c r="D222" i="3"/>
  <c r="B227" i="4"/>
  <c r="Q224" i="3"/>
  <c r="P229" i="4" s="1"/>
  <c r="P224" i="3"/>
  <c r="O229" i="4" s="1"/>
  <c r="R219" i="3"/>
  <c r="L224" i="3"/>
  <c r="N229" i="4" s="1"/>
  <c r="J224" i="3"/>
  <c r="L229" i="4" s="1"/>
  <c r="I224" i="3"/>
  <c r="K229" i="4" s="1"/>
  <c r="S222" i="3"/>
  <c r="T222" i="3" s="1"/>
  <c r="U222" i="3"/>
  <c r="V222" i="3" s="1"/>
  <c r="A224" i="3"/>
  <c r="M224" i="3"/>
  <c r="H229" i="4" s="1"/>
  <c r="B223" i="3"/>
  <c r="C223" i="3" s="1"/>
  <c r="F222" i="3"/>
  <c r="F227" i="4" s="1"/>
  <c r="E221" i="3"/>
  <c r="D226" i="4" s="1"/>
  <c r="H220" i="3"/>
  <c r="E225" i="4" s="1"/>
  <c r="A229" i="4" l="1"/>
  <c r="N225" i="3"/>
  <c r="J230" i="4" s="1"/>
  <c r="C227" i="4"/>
  <c r="W222" i="3"/>
  <c r="G222" i="3" s="1"/>
  <c r="G227" i="4" s="1"/>
  <c r="D223" i="3"/>
  <c r="B228" i="4"/>
  <c r="Q225" i="3"/>
  <c r="P230" i="4" s="1"/>
  <c r="P225" i="3"/>
  <c r="O230" i="4" s="1"/>
  <c r="R220" i="3"/>
  <c r="L225" i="3"/>
  <c r="N230" i="4" s="1"/>
  <c r="J225" i="3"/>
  <c r="L230" i="4" s="1"/>
  <c r="I225" i="3"/>
  <c r="K230" i="4" s="1"/>
  <c r="A225" i="3"/>
  <c r="M225" i="3"/>
  <c r="H230" i="4" s="1"/>
  <c r="B224" i="3"/>
  <c r="C224" i="3" s="1"/>
  <c r="F223" i="3"/>
  <c r="F228" i="4" s="1"/>
  <c r="U223" i="3"/>
  <c r="V223" i="3" s="1"/>
  <c r="S223" i="3"/>
  <c r="T223" i="3" s="1"/>
  <c r="H221" i="3"/>
  <c r="E226" i="4" s="1"/>
  <c r="E222" i="3"/>
  <c r="D227" i="4" s="1"/>
  <c r="A230" i="4" l="1"/>
  <c r="N226" i="3"/>
  <c r="J231" i="4" s="1"/>
  <c r="C228" i="4"/>
  <c r="W223" i="3"/>
  <c r="G223" i="3" s="1"/>
  <c r="G228" i="4" s="1"/>
  <c r="D224" i="3"/>
  <c r="B229" i="4"/>
  <c r="Q226" i="3"/>
  <c r="P231" i="4" s="1"/>
  <c r="P226" i="3"/>
  <c r="O231" i="4" s="1"/>
  <c r="R221" i="3"/>
  <c r="L226" i="3"/>
  <c r="N231" i="4" s="1"/>
  <c r="J226" i="3"/>
  <c r="L231" i="4" s="1"/>
  <c r="I226" i="3"/>
  <c r="K231" i="4" s="1"/>
  <c r="S224" i="3"/>
  <c r="T224" i="3" s="1"/>
  <c r="U224" i="3"/>
  <c r="V224" i="3" s="1"/>
  <c r="A226" i="3"/>
  <c r="M226" i="3"/>
  <c r="H231" i="4" s="1"/>
  <c r="B225" i="3"/>
  <c r="C225" i="3" s="1"/>
  <c r="F224" i="3"/>
  <c r="F229" i="4" s="1"/>
  <c r="E223" i="3"/>
  <c r="D228" i="4" s="1"/>
  <c r="H222" i="3"/>
  <c r="E227" i="4" s="1"/>
  <c r="A231" i="4" l="1"/>
  <c r="N227" i="3"/>
  <c r="J232" i="4" s="1"/>
  <c r="C229" i="4"/>
  <c r="W224" i="3"/>
  <c r="G224" i="3"/>
  <c r="G229" i="4" s="1"/>
  <c r="D225" i="3"/>
  <c r="B230" i="4"/>
  <c r="Q227" i="3"/>
  <c r="P232" i="4" s="1"/>
  <c r="P227" i="3"/>
  <c r="O232" i="4" s="1"/>
  <c r="R222" i="3"/>
  <c r="L227" i="3"/>
  <c r="N232" i="4" s="1"/>
  <c r="J227" i="3"/>
  <c r="L232" i="4" s="1"/>
  <c r="I227" i="3"/>
  <c r="K232" i="4" s="1"/>
  <c r="A227" i="3"/>
  <c r="M227" i="3"/>
  <c r="H232" i="4" s="1"/>
  <c r="B226" i="3"/>
  <c r="C226" i="3" s="1"/>
  <c r="F225" i="3"/>
  <c r="F230" i="4" s="1"/>
  <c r="S225" i="3"/>
  <c r="T225" i="3" s="1"/>
  <c r="U225" i="3"/>
  <c r="V225" i="3" s="1"/>
  <c r="H223" i="3"/>
  <c r="E228" i="4" s="1"/>
  <c r="E224" i="3"/>
  <c r="D229" i="4" s="1"/>
  <c r="A232" i="4" l="1"/>
  <c r="N228" i="3"/>
  <c r="J233" i="4" s="1"/>
  <c r="G225" i="3"/>
  <c r="G230" i="4" s="1"/>
  <c r="C230" i="4"/>
  <c r="W225" i="3"/>
  <c r="D226" i="3"/>
  <c r="B231" i="4"/>
  <c r="Q228" i="3"/>
  <c r="P233" i="4" s="1"/>
  <c r="P228" i="3"/>
  <c r="O233" i="4" s="1"/>
  <c r="R223" i="3"/>
  <c r="L228" i="3"/>
  <c r="N233" i="4" s="1"/>
  <c r="J228" i="3"/>
  <c r="L233" i="4" s="1"/>
  <c r="I228" i="3"/>
  <c r="K233" i="4" s="1"/>
  <c r="U226" i="3"/>
  <c r="V226" i="3" s="1"/>
  <c r="S226" i="3"/>
  <c r="T226" i="3" s="1"/>
  <c r="A228" i="3"/>
  <c r="M228" i="3"/>
  <c r="H233" i="4" s="1"/>
  <c r="B227" i="3"/>
  <c r="C227" i="3" s="1"/>
  <c r="F226" i="3"/>
  <c r="F231" i="4" s="1"/>
  <c r="E225" i="3"/>
  <c r="D230" i="4" s="1"/>
  <c r="H224" i="3"/>
  <c r="E229" i="4" s="1"/>
  <c r="A233" i="4" l="1"/>
  <c r="N229" i="3"/>
  <c r="J234" i="4" s="1"/>
  <c r="C231" i="4"/>
  <c r="W226" i="3"/>
  <c r="G226" i="3"/>
  <c r="G231" i="4" s="1"/>
  <c r="D227" i="3"/>
  <c r="B232" i="4"/>
  <c r="K229" i="3"/>
  <c r="Q229" i="3"/>
  <c r="P234" i="4" s="1"/>
  <c r="P229" i="3"/>
  <c r="O234" i="4" s="1"/>
  <c r="R224" i="3"/>
  <c r="L229" i="3"/>
  <c r="N234" i="4" s="1"/>
  <c r="J229" i="3"/>
  <c r="L234" i="4" s="1"/>
  <c r="I229" i="3"/>
  <c r="K234" i="4" s="1"/>
  <c r="A229" i="3"/>
  <c r="M229" i="3"/>
  <c r="H234" i="4" s="1"/>
  <c r="B228" i="3"/>
  <c r="C228" i="3" s="1"/>
  <c r="F227" i="3"/>
  <c r="F232" i="4" s="1"/>
  <c r="U227" i="3"/>
  <c r="V227" i="3" s="1"/>
  <c r="S227" i="3"/>
  <c r="T227" i="3" s="1"/>
  <c r="H225" i="3"/>
  <c r="E230" i="4" s="1"/>
  <c r="E226" i="3"/>
  <c r="D231" i="4" s="1"/>
  <c r="A234" i="4" l="1"/>
  <c r="N230" i="3"/>
  <c r="J235" i="4" s="1"/>
  <c r="C232" i="4"/>
  <c r="W227" i="3"/>
  <c r="Y19" i="3"/>
  <c r="Z19" i="3" s="1"/>
  <c r="M234" i="4"/>
  <c r="D228" i="3"/>
  <c r="B233" i="4"/>
  <c r="G227" i="3"/>
  <c r="G232" i="4" s="1"/>
  <c r="Q230" i="3"/>
  <c r="P235" i="4" s="1"/>
  <c r="P230" i="3"/>
  <c r="O235" i="4" s="1"/>
  <c r="R225" i="3"/>
  <c r="L230" i="3"/>
  <c r="N235" i="4" s="1"/>
  <c r="J230" i="3"/>
  <c r="L235" i="4" s="1"/>
  <c r="I230" i="3"/>
  <c r="K235" i="4" s="1"/>
  <c r="S228" i="3"/>
  <c r="T228" i="3" s="1"/>
  <c r="U228" i="3"/>
  <c r="V228" i="3" s="1"/>
  <c r="A230" i="3"/>
  <c r="M230" i="3"/>
  <c r="H235" i="4" s="1"/>
  <c r="B229" i="3"/>
  <c r="C229" i="3" s="1"/>
  <c r="F228" i="3"/>
  <c r="F233" i="4" s="1"/>
  <c r="E227" i="3"/>
  <c r="D232" i="4" s="1"/>
  <c r="H226" i="3"/>
  <c r="E231" i="4" s="1"/>
  <c r="A235" i="4" l="1"/>
  <c r="N231" i="3"/>
  <c r="J236" i="4" s="1"/>
  <c r="C233" i="4"/>
  <c r="W228" i="3"/>
  <c r="G228" i="3"/>
  <c r="G233" i="4" s="1"/>
  <c r="D229" i="3"/>
  <c r="B234" i="4"/>
  <c r="Q231" i="3"/>
  <c r="P236" i="4" s="1"/>
  <c r="P231" i="3"/>
  <c r="O236" i="4" s="1"/>
  <c r="R226" i="3"/>
  <c r="L231" i="3"/>
  <c r="N236" i="4" s="1"/>
  <c r="J231" i="3"/>
  <c r="L236" i="4" s="1"/>
  <c r="I231" i="3"/>
  <c r="K236" i="4" s="1"/>
  <c r="A231" i="3"/>
  <c r="M231" i="3"/>
  <c r="H236" i="4" s="1"/>
  <c r="B230" i="3"/>
  <c r="C230" i="3" s="1"/>
  <c r="F229" i="3"/>
  <c r="F234" i="4" s="1"/>
  <c r="U229" i="3"/>
  <c r="V229" i="3" s="1"/>
  <c r="S229" i="3"/>
  <c r="T229" i="3" s="1"/>
  <c r="H227" i="3"/>
  <c r="E232" i="4" s="1"/>
  <c r="E228" i="3"/>
  <c r="D233" i="4" s="1"/>
  <c r="A236" i="4" l="1"/>
  <c r="N232" i="3"/>
  <c r="J237" i="4" s="1"/>
  <c r="C234" i="4"/>
  <c r="W229" i="3"/>
  <c r="G229" i="3"/>
  <c r="G234" i="4" s="1"/>
  <c r="D230" i="3"/>
  <c r="B235" i="4"/>
  <c r="Q232" i="3"/>
  <c r="P237" i="4" s="1"/>
  <c r="P232" i="3"/>
  <c r="O237" i="4" s="1"/>
  <c r="R227" i="3"/>
  <c r="L232" i="3"/>
  <c r="N237" i="4" s="1"/>
  <c r="J232" i="3"/>
  <c r="L237" i="4" s="1"/>
  <c r="I232" i="3"/>
  <c r="K237" i="4" s="1"/>
  <c r="S230" i="3"/>
  <c r="T230" i="3" s="1"/>
  <c r="U230" i="3"/>
  <c r="V230" i="3" s="1"/>
  <c r="A232" i="3"/>
  <c r="M232" i="3"/>
  <c r="H237" i="4" s="1"/>
  <c r="B231" i="3"/>
  <c r="C231" i="3" s="1"/>
  <c r="F230" i="3"/>
  <c r="F235" i="4" s="1"/>
  <c r="H228" i="3"/>
  <c r="E233" i="4" s="1"/>
  <c r="E229" i="3"/>
  <c r="D234" i="4" s="1"/>
  <c r="A237" i="4" l="1"/>
  <c r="N233" i="3"/>
  <c r="J238" i="4" s="1"/>
  <c r="C235" i="4"/>
  <c r="W230" i="3"/>
  <c r="G230" i="3"/>
  <c r="G235" i="4" s="1"/>
  <c r="D231" i="3"/>
  <c r="B236" i="4"/>
  <c r="Q233" i="3"/>
  <c r="P238" i="4" s="1"/>
  <c r="P233" i="3"/>
  <c r="O238" i="4" s="1"/>
  <c r="R228" i="3"/>
  <c r="L233" i="3"/>
  <c r="N238" i="4" s="1"/>
  <c r="J233" i="3"/>
  <c r="L238" i="4" s="1"/>
  <c r="I233" i="3"/>
  <c r="K238" i="4" s="1"/>
  <c r="A233" i="3"/>
  <c r="M233" i="3"/>
  <c r="H238" i="4" s="1"/>
  <c r="B232" i="3"/>
  <c r="C232" i="3" s="1"/>
  <c r="F231" i="3"/>
  <c r="F236" i="4" s="1"/>
  <c r="U231" i="3"/>
  <c r="V231" i="3" s="1"/>
  <c r="S231" i="3"/>
  <c r="T231" i="3" s="1"/>
  <c r="E230" i="3"/>
  <c r="D235" i="4" s="1"/>
  <c r="H229" i="3"/>
  <c r="E234" i="4" s="1"/>
  <c r="A238" i="4" l="1"/>
  <c r="N234" i="3"/>
  <c r="J239" i="4" s="1"/>
  <c r="C236" i="4"/>
  <c r="W231" i="3"/>
  <c r="G231" i="3"/>
  <c r="G236" i="4" s="1"/>
  <c r="D232" i="3"/>
  <c r="B237" i="4"/>
  <c r="Q234" i="3"/>
  <c r="P239" i="4" s="1"/>
  <c r="P234" i="3"/>
  <c r="O239" i="4" s="1"/>
  <c r="R229" i="3"/>
  <c r="L234" i="3"/>
  <c r="N239" i="4" s="1"/>
  <c r="J234" i="3"/>
  <c r="L239" i="4" s="1"/>
  <c r="I234" i="3"/>
  <c r="K239" i="4" s="1"/>
  <c r="U232" i="3"/>
  <c r="V232" i="3" s="1"/>
  <c r="S232" i="3"/>
  <c r="T232" i="3" s="1"/>
  <c r="A234" i="3"/>
  <c r="M234" i="3"/>
  <c r="H239" i="4" s="1"/>
  <c r="B233" i="3"/>
  <c r="C233" i="3" s="1"/>
  <c r="F232" i="3"/>
  <c r="F237" i="4" s="1"/>
  <c r="H230" i="3"/>
  <c r="E235" i="4" s="1"/>
  <c r="E231" i="3"/>
  <c r="D236" i="4" s="1"/>
  <c r="A239" i="4" l="1"/>
  <c r="N235" i="3"/>
  <c r="J240" i="4" s="1"/>
  <c r="C237" i="4"/>
  <c r="W232" i="3"/>
  <c r="G232" i="3"/>
  <c r="G237" i="4" s="1"/>
  <c r="D233" i="3"/>
  <c r="B238" i="4"/>
  <c r="Q235" i="3"/>
  <c r="P240" i="4" s="1"/>
  <c r="P235" i="3"/>
  <c r="O240" i="4" s="1"/>
  <c r="R230" i="3"/>
  <c r="L235" i="3"/>
  <c r="N240" i="4" s="1"/>
  <c r="J235" i="3"/>
  <c r="L240" i="4" s="1"/>
  <c r="I235" i="3"/>
  <c r="K240" i="4" s="1"/>
  <c r="A235" i="3"/>
  <c r="M235" i="3"/>
  <c r="H240" i="4" s="1"/>
  <c r="B234" i="3"/>
  <c r="C234" i="3" s="1"/>
  <c r="F233" i="3"/>
  <c r="F238" i="4" s="1"/>
  <c r="U233" i="3"/>
  <c r="V233" i="3" s="1"/>
  <c r="S233" i="3"/>
  <c r="T233" i="3" s="1"/>
  <c r="E232" i="3"/>
  <c r="D237" i="4" s="1"/>
  <c r="H231" i="3"/>
  <c r="E236" i="4" s="1"/>
  <c r="A240" i="4" l="1"/>
  <c r="N236" i="3"/>
  <c r="J241" i="4" s="1"/>
  <c r="C238" i="4"/>
  <c r="W233" i="3"/>
  <c r="G233" i="3"/>
  <c r="G238" i="4" s="1"/>
  <c r="D234" i="3"/>
  <c r="B239" i="4"/>
  <c r="Q236" i="3"/>
  <c r="P241" i="4" s="1"/>
  <c r="P236" i="3"/>
  <c r="O241" i="4" s="1"/>
  <c r="R231" i="3"/>
  <c r="L236" i="3"/>
  <c r="N241" i="4" s="1"/>
  <c r="J236" i="3"/>
  <c r="L241" i="4" s="1"/>
  <c r="I236" i="3"/>
  <c r="K241" i="4" s="1"/>
  <c r="U234" i="3"/>
  <c r="V234" i="3" s="1"/>
  <c r="S234" i="3"/>
  <c r="T234" i="3" s="1"/>
  <c r="A236" i="3"/>
  <c r="M236" i="3"/>
  <c r="H241" i="4" s="1"/>
  <c r="B235" i="3"/>
  <c r="C235" i="3" s="1"/>
  <c r="F234" i="3"/>
  <c r="F239" i="4" s="1"/>
  <c r="E233" i="3"/>
  <c r="D238" i="4" s="1"/>
  <c r="H232" i="3"/>
  <c r="E237" i="4" s="1"/>
  <c r="A241" i="4" l="1"/>
  <c r="N237" i="3"/>
  <c r="J242" i="4" s="1"/>
  <c r="C239" i="4"/>
  <c r="W234" i="3"/>
  <c r="G234" i="3"/>
  <c r="G239" i="4" s="1"/>
  <c r="D235" i="3"/>
  <c r="B240" i="4"/>
  <c r="Q237" i="3"/>
  <c r="P242" i="4" s="1"/>
  <c r="P237" i="3"/>
  <c r="O242" i="4" s="1"/>
  <c r="R232" i="3"/>
  <c r="L237" i="3"/>
  <c r="N242" i="4" s="1"/>
  <c r="J237" i="3"/>
  <c r="L242" i="4" s="1"/>
  <c r="I237" i="3"/>
  <c r="K242" i="4" s="1"/>
  <c r="A237" i="3"/>
  <c r="M237" i="3"/>
  <c r="H242" i="4" s="1"/>
  <c r="B236" i="3"/>
  <c r="C236" i="3" s="1"/>
  <c r="F235" i="3"/>
  <c r="F240" i="4" s="1"/>
  <c r="U235" i="3"/>
  <c r="V235" i="3" s="1"/>
  <c r="S235" i="3"/>
  <c r="T235" i="3" s="1"/>
  <c r="H233" i="3"/>
  <c r="E238" i="4" s="1"/>
  <c r="E234" i="3"/>
  <c r="D239" i="4" s="1"/>
  <c r="A242" i="4" l="1"/>
  <c r="N238" i="3"/>
  <c r="J243" i="4" s="1"/>
  <c r="C240" i="4"/>
  <c r="W235" i="3"/>
  <c r="G235" i="3"/>
  <c r="G240" i="4" s="1"/>
  <c r="D236" i="3"/>
  <c r="B241" i="4"/>
  <c r="Q238" i="3"/>
  <c r="P243" i="4" s="1"/>
  <c r="P238" i="3"/>
  <c r="O243" i="4" s="1"/>
  <c r="R233" i="3"/>
  <c r="L238" i="3"/>
  <c r="N243" i="4" s="1"/>
  <c r="J238" i="3"/>
  <c r="L243" i="4" s="1"/>
  <c r="I238" i="3"/>
  <c r="K243" i="4" s="1"/>
  <c r="U236" i="3"/>
  <c r="V236" i="3" s="1"/>
  <c r="S236" i="3"/>
  <c r="T236" i="3" s="1"/>
  <c r="A238" i="3"/>
  <c r="M238" i="3"/>
  <c r="H243" i="4" s="1"/>
  <c r="B237" i="3"/>
  <c r="C237" i="3" s="1"/>
  <c r="F236" i="3"/>
  <c r="F241" i="4" s="1"/>
  <c r="E235" i="3"/>
  <c r="D240" i="4" s="1"/>
  <c r="H234" i="3"/>
  <c r="E239" i="4" s="1"/>
  <c r="A243" i="4" l="1"/>
  <c r="N239" i="3"/>
  <c r="J244" i="4" s="1"/>
  <c r="C241" i="4"/>
  <c r="W236" i="3"/>
  <c r="G236" i="3"/>
  <c r="G241" i="4" s="1"/>
  <c r="D237" i="3"/>
  <c r="B242" i="4"/>
  <c r="Q239" i="3"/>
  <c r="P244" i="4" s="1"/>
  <c r="P239" i="3"/>
  <c r="O244" i="4" s="1"/>
  <c r="R234" i="3"/>
  <c r="L239" i="3"/>
  <c r="N244" i="4" s="1"/>
  <c r="J239" i="3"/>
  <c r="L244" i="4" s="1"/>
  <c r="I239" i="3"/>
  <c r="K244" i="4" s="1"/>
  <c r="A239" i="3"/>
  <c r="M239" i="3"/>
  <c r="H244" i="4" s="1"/>
  <c r="B238" i="3"/>
  <c r="C238" i="3" s="1"/>
  <c r="F237" i="3"/>
  <c r="F242" i="4" s="1"/>
  <c r="S237" i="3"/>
  <c r="T237" i="3" s="1"/>
  <c r="U237" i="3"/>
  <c r="V237" i="3" s="1"/>
  <c r="H235" i="3"/>
  <c r="E240" i="4" s="1"/>
  <c r="E236" i="3"/>
  <c r="D241" i="4" s="1"/>
  <c r="A244" i="4" l="1"/>
  <c r="N240" i="3"/>
  <c r="J245" i="4" s="1"/>
  <c r="G237" i="3"/>
  <c r="G242" i="4" s="1"/>
  <c r="C242" i="4"/>
  <c r="W237" i="3"/>
  <c r="D238" i="3"/>
  <c r="B243" i="4"/>
  <c r="Q240" i="3"/>
  <c r="P245" i="4" s="1"/>
  <c r="P240" i="3"/>
  <c r="O245" i="4" s="1"/>
  <c r="R235" i="3"/>
  <c r="L240" i="3"/>
  <c r="N245" i="4" s="1"/>
  <c r="J240" i="3"/>
  <c r="L245" i="4" s="1"/>
  <c r="I240" i="3"/>
  <c r="K245" i="4" s="1"/>
  <c r="S238" i="3"/>
  <c r="T238" i="3" s="1"/>
  <c r="U238" i="3"/>
  <c r="V238" i="3" s="1"/>
  <c r="A240" i="3"/>
  <c r="M240" i="3"/>
  <c r="H245" i="4" s="1"/>
  <c r="B239" i="3"/>
  <c r="C239" i="3" s="1"/>
  <c r="F238" i="3"/>
  <c r="F243" i="4" s="1"/>
  <c r="E237" i="3"/>
  <c r="D242" i="4" s="1"/>
  <c r="H236" i="3"/>
  <c r="E241" i="4" s="1"/>
  <c r="A245" i="4" l="1"/>
  <c r="N241" i="3"/>
  <c r="J246" i="4" s="1"/>
  <c r="C243" i="4"/>
  <c r="W238" i="3"/>
  <c r="G238" i="3"/>
  <c r="G243" i="4" s="1"/>
  <c r="D239" i="3"/>
  <c r="B244" i="4"/>
  <c r="K241" i="3"/>
  <c r="Q241" i="3"/>
  <c r="P246" i="4" s="1"/>
  <c r="P241" i="3"/>
  <c r="O246" i="4" s="1"/>
  <c r="R236" i="3"/>
  <c r="L241" i="3"/>
  <c r="N246" i="4" s="1"/>
  <c r="J241" i="3"/>
  <c r="L246" i="4" s="1"/>
  <c r="I241" i="3"/>
  <c r="K246" i="4" s="1"/>
  <c r="A241" i="3"/>
  <c r="M241" i="3"/>
  <c r="H246" i="4" s="1"/>
  <c r="B240" i="3"/>
  <c r="C240" i="3" s="1"/>
  <c r="F239" i="3"/>
  <c r="F244" i="4" s="1"/>
  <c r="S239" i="3"/>
  <c r="T239" i="3" s="1"/>
  <c r="U239" i="3"/>
  <c r="V239" i="3" s="1"/>
  <c r="H237" i="3"/>
  <c r="E242" i="4" s="1"/>
  <c r="E238" i="3"/>
  <c r="D243" i="4" s="1"/>
  <c r="A246" i="4" l="1"/>
  <c r="N242" i="3"/>
  <c r="J247" i="4" s="1"/>
  <c r="C244" i="4"/>
  <c r="W239" i="3"/>
  <c r="Y20" i="3"/>
  <c r="Z20" i="3" s="1"/>
  <c r="M246" i="4"/>
  <c r="G239" i="3"/>
  <c r="G244" i="4" s="1"/>
  <c r="D240" i="3"/>
  <c r="B245" i="4"/>
  <c r="Q242" i="3"/>
  <c r="P247" i="4" s="1"/>
  <c r="P242" i="3"/>
  <c r="O247" i="4" s="1"/>
  <c r="R237" i="3"/>
  <c r="L242" i="3"/>
  <c r="N247" i="4" s="1"/>
  <c r="J242" i="3"/>
  <c r="L247" i="4" s="1"/>
  <c r="I242" i="3"/>
  <c r="K247" i="4" s="1"/>
  <c r="S240" i="3"/>
  <c r="T240" i="3" s="1"/>
  <c r="U240" i="3"/>
  <c r="V240" i="3" s="1"/>
  <c r="A242" i="3"/>
  <c r="M242" i="3"/>
  <c r="H247" i="4" s="1"/>
  <c r="B241" i="3"/>
  <c r="C241" i="3" s="1"/>
  <c r="F240" i="3"/>
  <c r="F245" i="4" s="1"/>
  <c r="E239" i="3"/>
  <c r="D244" i="4" s="1"/>
  <c r="H238" i="3"/>
  <c r="E243" i="4" s="1"/>
  <c r="A247" i="4" l="1"/>
  <c r="N243" i="3"/>
  <c r="J248" i="4" s="1"/>
  <c r="C245" i="4"/>
  <c r="W240" i="3"/>
  <c r="G240" i="3"/>
  <c r="G245" i="4" s="1"/>
  <c r="D241" i="3"/>
  <c r="B246" i="4"/>
  <c r="Q243" i="3"/>
  <c r="P248" i="4" s="1"/>
  <c r="P243" i="3"/>
  <c r="O248" i="4" s="1"/>
  <c r="R238" i="3"/>
  <c r="L243" i="3"/>
  <c r="N248" i="4" s="1"/>
  <c r="J243" i="3"/>
  <c r="L248" i="4" s="1"/>
  <c r="I243" i="3"/>
  <c r="K248" i="4" s="1"/>
  <c r="A243" i="3"/>
  <c r="M243" i="3"/>
  <c r="H248" i="4" s="1"/>
  <c r="B242" i="3"/>
  <c r="C242" i="3" s="1"/>
  <c r="F241" i="3"/>
  <c r="F246" i="4" s="1"/>
  <c r="S241" i="3"/>
  <c r="T241" i="3" s="1"/>
  <c r="U241" i="3"/>
  <c r="V241" i="3" s="1"/>
  <c r="H239" i="3"/>
  <c r="E244" i="4" s="1"/>
  <c r="E240" i="3"/>
  <c r="D245" i="4" s="1"/>
  <c r="A248" i="4" l="1"/>
  <c r="N244" i="3"/>
  <c r="J249" i="4" s="1"/>
  <c r="G241" i="3"/>
  <c r="G246" i="4" s="1"/>
  <c r="C246" i="4"/>
  <c r="W241" i="3"/>
  <c r="D242" i="3"/>
  <c r="B247" i="4"/>
  <c r="Q244" i="3"/>
  <c r="P249" i="4" s="1"/>
  <c r="P244" i="3"/>
  <c r="O249" i="4" s="1"/>
  <c r="R239" i="3"/>
  <c r="L244" i="3"/>
  <c r="N249" i="4" s="1"/>
  <c r="J244" i="3"/>
  <c r="L249" i="4" s="1"/>
  <c r="I244" i="3"/>
  <c r="K249" i="4" s="1"/>
  <c r="U242" i="3"/>
  <c r="V242" i="3" s="1"/>
  <c r="S242" i="3"/>
  <c r="T242" i="3" s="1"/>
  <c r="A244" i="3"/>
  <c r="M244" i="3"/>
  <c r="H249" i="4" s="1"/>
  <c r="B243" i="3"/>
  <c r="C243" i="3" s="1"/>
  <c r="F242" i="3"/>
  <c r="F247" i="4" s="1"/>
  <c r="E241" i="3"/>
  <c r="D246" i="4" s="1"/>
  <c r="H240" i="3"/>
  <c r="E245" i="4" s="1"/>
  <c r="A249" i="4" l="1"/>
  <c r="N245" i="3"/>
  <c r="J250" i="4" s="1"/>
  <c r="C247" i="4"/>
  <c r="W242" i="3"/>
  <c r="G242" i="3"/>
  <c r="G247" i="4" s="1"/>
  <c r="D243" i="3"/>
  <c r="B248" i="4"/>
  <c r="Q245" i="3"/>
  <c r="P250" i="4" s="1"/>
  <c r="P245" i="3"/>
  <c r="O250" i="4" s="1"/>
  <c r="R240" i="3"/>
  <c r="L245" i="3"/>
  <c r="N250" i="4" s="1"/>
  <c r="J245" i="3"/>
  <c r="L250" i="4" s="1"/>
  <c r="I245" i="3"/>
  <c r="K250" i="4" s="1"/>
  <c r="A245" i="3"/>
  <c r="M245" i="3"/>
  <c r="H250" i="4" s="1"/>
  <c r="B244" i="3"/>
  <c r="C244" i="3" s="1"/>
  <c r="F243" i="3"/>
  <c r="F248" i="4" s="1"/>
  <c r="S243" i="3"/>
  <c r="T243" i="3" s="1"/>
  <c r="U243" i="3"/>
  <c r="V243" i="3" s="1"/>
  <c r="H241" i="3"/>
  <c r="E246" i="4" s="1"/>
  <c r="E242" i="3"/>
  <c r="D247" i="4" s="1"/>
  <c r="A250" i="4" l="1"/>
  <c r="N246" i="3"/>
  <c r="J251" i="4" s="1"/>
  <c r="G243" i="3"/>
  <c r="G248" i="4" s="1"/>
  <c r="C248" i="4"/>
  <c r="W243" i="3"/>
  <c r="D244" i="3"/>
  <c r="B249" i="4"/>
  <c r="Q246" i="3"/>
  <c r="P251" i="4" s="1"/>
  <c r="P246" i="3"/>
  <c r="O251" i="4" s="1"/>
  <c r="R241" i="3"/>
  <c r="L246" i="3"/>
  <c r="N251" i="4" s="1"/>
  <c r="J246" i="3"/>
  <c r="L251" i="4" s="1"/>
  <c r="I246" i="3"/>
  <c r="K251" i="4" s="1"/>
  <c r="S244" i="3"/>
  <c r="T244" i="3" s="1"/>
  <c r="U244" i="3"/>
  <c r="V244" i="3" s="1"/>
  <c r="A246" i="3"/>
  <c r="M246" i="3"/>
  <c r="H251" i="4" s="1"/>
  <c r="B245" i="3"/>
  <c r="C245" i="3" s="1"/>
  <c r="F244" i="3"/>
  <c r="F249" i="4" s="1"/>
  <c r="E243" i="3"/>
  <c r="D248" i="4" s="1"/>
  <c r="H242" i="3"/>
  <c r="E247" i="4" s="1"/>
  <c r="A251" i="4" l="1"/>
  <c r="N247" i="3"/>
  <c r="J252" i="4" s="1"/>
  <c r="C249" i="4"/>
  <c r="W244" i="3"/>
  <c r="G244" i="3"/>
  <c r="G249" i="4" s="1"/>
  <c r="D245" i="3"/>
  <c r="B250" i="4"/>
  <c r="Q247" i="3"/>
  <c r="P252" i="4" s="1"/>
  <c r="P247" i="3"/>
  <c r="O252" i="4" s="1"/>
  <c r="R242" i="3"/>
  <c r="L247" i="3"/>
  <c r="N252" i="4" s="1"/>
  <c r="J247" i="3"/>
  <c r="L252" i="4" s="1"/>
  <c r="I247" i="3"/>
  <c r="K252" i="4" s="1"/>
  <c r="A247" i="3"/>
  <c r="M247" i="3"/>
  <c r="H252" i="4" s="1"/>
  <c r="B246" i="3"/>
  <c r="C246" i="3" s="1"/>
  <c r="F245" i="3"/>
  <c r="F250" i="4" s="1"/>
  <c r="U245" i="3"/>
  <c r="V245" i="3" s="1"/>
  <c r="S245" i="3"/>
  <c r="T245" i="3" s="1"/>
  <c r="H243" i="3"/>
  <c r="E248" i="4" s="1"/>
  <c r="E244" i="3"/>
  <c r="D249" i="4" s="1"/>
  <c r="A252" i="4" l="1"/>
  <c r="N248" i="3"/>
  <c r="J253" i="4" s="1"/>
  <c r="C250" i="4"/>
  <c r="W245" i="3"/>
  <c r="G245" i="3"/>
  <c r="G250" i="4" s="1"/>
  <c r="D246" i="3"/>
  <c r="B251" i="4"/>
  <c r="Q248" i="3"/>
  <c r="P253" i="4" s="1"/>
  <c r="P248" i="3"/>
  <c r="O253" i="4" s="1"/>
  <c r="R243" i="3"/>
  <c r="L248" i="3"/>
  <c r="N253" i="4" s="1"/>
  <c r="J248" i="3"/>
  <c r="L253" i="4" s="1"/>
  <c r="I248" i="3"/>
  <c r="K253" i="4" s="1"/>
  <c r="U246" i="3"/>
  <c r="V246" i="3" s="1"/>
  <c r="S246" i="3"/>
  <c r="T246" i="3" s="1"/>
  <c r="A248" i="3"/>
  <c r="M248" i="3"/>
  <c r="H253" i="4" s="1"/>
  <c r="B247" i="3"/>
  <c r="C247" i="3" s="1"/>
  <c r="F246" i="3"/>
  <c r="F251" i="4" s="1"/>
  <c r="E245" i="3"/>
  <c r="D250" i="4" s="1"/>
  <c r="H244" i="3"/>
  <c r="E249" i="4" s="1"/>
  <c r="A253" i="4" l="1"/>
  <c r="N249" i="3"/>
  <c r="J254" i="4" s="1"/>
  <c r="C251" i="4"/>
  <c r="W246" i="3"/>
  <c r="G246" i="3" s="1"/>
  <c r="G251" i="4" s="1"/>
  <c r="D247" i="3"/>
  <c r="B252" i="4"/>
  <c r="Q249" i="3"/>
  <c r="P254" i="4" s="1"/>
  <c r="P249" i="3"/>
  <c r="O254" i="4" s="1"/>
  <c r="R244" i="3"/>
  <c r="L249" i="3"/>
  <c r="N254" i="4" s="1"/>
  <c r="J249" i="3"/>
  <c r="L254" i="4" s="1"/>
  <c r="I249" i="3"/>
  <c r="K254" i="4" s="1"/>
  <c r="A249" i="3"/>
  <c r="M249" i="3"/>
  <c r="H254" i="4" s="1"/>
  <c r="B248" i="3"/>
  <c r="C248" i="3" s="1"/>
  <c r="F247" i="3"/>
  <c r="F252" i="4" s="1"/>
  <c r="S247" i="3"/>
  <c r="T247" i="3" s="1"/>
  <c r="U247" i="3"/>
  <c r="V247" i="3" s="1"/>
  <c r="H245" i="3"/>
  <c r="E250" i="4" s="1"/>
  <c r="E246" i="3"/>
  <c r="D251" i="4" s="1"/>
  <c r="A254" i="4" l="1"/>
  <c r="N250" i="3"/>
  <c r="J255" i="4" s="1"/>
  <c r="G247" i="3"/>
  <c r="G252" i="4" s="1"/>
  <c r="C252" i="4"/>
  <c r="W247" i="3"/>
  <c r="D248" i="3"/>
  <c r="B253" i="4"/>
  <c r="Q250" i="3"/>
  <c r="P255" i="4" s="1"/>
  <c r="P250" i="3"/>
  <c r="O255" i="4" s="1"/>
  <c r="R245" i="3"/>
  <c r="L250" i="3"/>
  <c r="N255" i="4" s="1"/>
  <c r="J250" i="3"/>
  <c r="L255" i="4" s="1"/>
  <c r="I250" i="3"/>
  <c r="K255" i="4" s="1"/>
  <c r="U248" i="3"/>
  <c r="V248" i="3" s="1"/>
  <c r="S248" i="3"/>
  <c r="T248" i="3" s="1"/>
  <c r="A250" i="3"/>
  <c r="M250" i="3"/>
  <c r="H255" i="4" s="1"/>
  <c r="B249" i="3"/>
  <c r="C249" i="3" s="1"/>
  <c r="F248" i="3"/>
  <c r="F253" i="4" s="1"/>
  <c r="E247" i="3"/>
  <c r="D252" i="4" s="1"/>
  <c r="H246" i="3"/>
  <c r="E251" i="4" s="1"/>
  <c r="A255" i="4" l="1"/>
  <c r="N251" i="3"/>
  <c r="J256" i="4" s="1"/>
  <c r="C253" i="4"/>
  <c r="W248" i="3"/>
  <c r="G248" i="3"/>
  <c r="G253" i="4" s="1"/>
  <c r="D249" i="3"/>
  <c r="B254" i="4"/>
  <c r="Q251" i="3"/>
  <c r="P256" i="4" s="1"/>
  <c r="P251" i="3"/>
  <c r="O256" i="4" s="1"/>
  <c r="R246" i="3"/>
  <c r="L251" i="3"/>
  <c r="N256" i="4" s="1"/>
  <c r="J251" i="3"/>
  <c r="L256" i="4" s="1"/>
  <c r="I251" i="3"/>
  <c r="K256" i="4" s="1"/>
  <c r="A251" i="3"/>
  <c r="M251" i="3"/>
  <c r="H256" i="4" s="1"/>
  <c r="B250" i="3"/>
  <c r="C250" i="3" s="1"/>
  <c r="F249" i="3"/>
  <c r="F254" i="4" s="1"/>
  <c r="S249" i="3"/>
  <c r="T249" i="3" s="1"/>
  <c r="U249" i="3"/>
  <c r="V249" i="3" s="1"/>
  <c r="H247" i="3"/>
  <c r="E252" i="4" s="1"/>
  <c r="E248" i="3"/>
  <c r="D253" i="4" s="1"/>
  <c r="A256" i="4" l="1"/>
  <c r="N252" i="3"/>
  <c r="J257" i="4" s="1"/>
  <c r="G249" i="3"/>
  <c r="G254" i="4" s="1"/>
  <c r="C254" i="4"/>
  <c r="W249" i="3"/>
  <c r="D250" i="3"/>
  <c r="B255" i="4"/>
  <c r="Q252" i="3"/>
  <c r="P257" i="4" s="1"/>
  <c r="P252" i="3"/>
  <c r="O257" i="4" s="1"/>
  <c r="R247" i="3"/>
  <c r="L252" i="3"/>
  <c r="N257" i="4" s="1"/>
  <c r="J252" i="3"/>
  <c r="L257" i="4" s="1"/>
  <c r="I252" i="3"/>
  <c r="K257" i="4" s="1"/>
  <c r="S250" i="3"/>
  <c r="T250" i="3" s="1"/>
  <c r="U250" i="3"/>
  <c r="V250" i="3" s="1"/>
  <c r="A252" i="3"/>
  <c r="M252" i="3"/>
  <c r="H257" i="4" s="1"/>
  <c r="B251" i="3"/>
  <c r="C251" i="3" s="1"/>
  <c r="F250" i="3"/>
  <c r="F255" i="4" s="1"/>
  <c r="E249" i="3"/>
  <c r="D254" i="4" s="1"/>
  <c r="H248" i="3"/>
  <c r="E253" i="4" s="1"/>
  <c r="A257" i="4" l="1"/>
  <c r="N253" i="3"/>
  <c r="J258" i="4" s="1"/>
  <c r="C255" i="4"/>
  <c r="W250" i="3"/>
  <c r="G250" i="3"/>
  <c r="G255" i="4" s="1"/>
  <c r="D251" i="3"/>
  <c r="B256" i="4"/>
  <c r="K253" i="3"/>
  <c r="Q253" i="3"/>
  <c r="P258" i="4" s="1"/>
  <c r="P253" i="3"/>
  <c r="O258" i="4" s="1"/>
  <c r="R248" i="3"/>
  <c r="L253" i="3"/>
  <c r="N258" i="4" s="1"/>
  <c r="J253" i="3"/>
  <c r="L258" i="4" s="1"/>
  <c r="I253" i="3"/>
  <c r="K258" i="4" s="1"/>
  <c r="A253" i="3"/>
  <c r="M253" i="3"/>
  <c r="H258" i="4" s="1"/>
  <c r="B252" i="3"/>
  <c r="C252" i="3" s="1"/>
  <c r="F251" i="3"/>
  <c r="F256" i="4" s="1"/>
  <c r="S251" i="3"/>
  <c r="T251" i="3" s="1"/>
  <c r="U251" i="3"/>
  <c r="V251" i="3" s="1"/>
  <c r="H249" i="3"/>
  <c r="E254" i="4" s="1"/>
  <c r="E250" i="3"/>
  <c r="D255" i="4" s="1"/>
  <c r="A258" i="4" l="1"/>
  <c r="N254" i="3"/>
  <c r="J259" i="4" s="1"/>
  <c r="C256" i="4"/>
  <c r="W251" i="3"/>
  <c r="G251" i="3"/>
  <c r="G256" i="4" s="1"/>
  <c r="Y21" i="3"/>
  <c r="Z21" i="3" s="1"/>
  <c r="Z22" i="3" s="1"/>
  <c r="N11" i="3" s="1"/>
  <c r="M258" i="4"/>
  <c r="D252" i="3"/>
  <c r="B257" i="4"/>
  <c r="K254" i="3"/>
  <c r="M259" i="4" s="1"/>
  <c r="Q254" i="3"/>
  <c r="P259" i="4" s="1"/>
  <c r="P254" i="3"/>
  <c r="O259" i="4" s="1"/>
  <c r="R249" i="3"/>
  <c r="L254" i="3"/>
  <c r="N259" i="4" s="1"/>
  <c r="J254" i="3"/>
  <c r="L259" i="4" s="1"/>
  <c r="I254" i="3"/>
  <c r="K259" i="4" s="1"/>
  <c r="S252" i="3"/>
  <c r="T252" i="3" s="1"/>
  <c r="U252" i="3"/>
  <c r="V252" i="3" s="1"/>
  <c r="A254" i="3"/>
  <c r="M254" i="3"/>
  <c r="H259" i="4" s="1"/>
  <c r="B253" i="3"/>
  <c r="C253" i="3" s="1"/>
  <c r="F252" i="3"/>
  <c r="F257" i="4" s="1"/>
  <c r="E251" i="3"/>
  <c r="D256" i="4" s="1"/>
  <c r="H250" i="3"/>
  <c r="E255" i="4" s="1"/>
  <c r="A259" i="4" l="1"/>
  <c r="N255" i="3"/>
  <c r="J260" i="4" s="1"/>
  <c r="Y22" i="3"/>
  <c r="N9" i="3" s="1"/>
  <c r="C257" i="4"/>
  <c r="W252" i="3"/>
  <c r="G252" i="3"/>
  <c r="G257" i="4" s="1"/>
  <c r="D253" i="3"/>
  <c r="B258" i="4"/>
  <c r="K255" i="3"/>
  <c r="M260" i="4" s="1"/>
  <c r="Q255" i="3"/>
  <c r="P260" i="4" s="1"/>
  <c r="P255" i="3"/>
  <c r="O260" i="4" s="1"/>
  <c r="R250" i="3"/>
  <c r="L255" i="3"/>
  <c r="N260" i="4" s="1"/>
  <c r="J255" i="3"/>
  <c r="L260" i="4" s="1"/>
  <c r="I255" i="3"/>
  <c r="K260" i="4" s="1"/>
  <c r="A255" i="3"/>
  <c r="M255" i="3"/>
  <c r="H260" i="4" s="1"/>
  <c r="B254" i="3"/>
  <c r="C254" i="3" s="1"/>
  <c r="F253" i="3"/>
  <c r="F258" i="4" s="1"/>
  <c r="S253" i="3"/>
  <c r="T253" i="3" s="1"/>
  <c r="U253" i="3"/>
  <c r="V253" i="3" s="1"/>
  <c r="H251" i="3"/>
  <c r="E256" i="4" s="1"/>
  <c r="E252" i="3"/>
  <c r="D257" i="4" s="1"/>
  <c r="A260" i="4" l="1"/>
  <c r="N256" i="3"/>
  <c r="J261" i="4" s="1"/>
  <c r="G253" i="3"/>
  <c r="G258" i="4" s="1"/>
  <c r="C258" i="4"/>
  <c r="W253" i="3"/>
  <c r="P7" i="4"/>
  <c r="D254" i="3"/>
  <c r="B259" i="4"/>
  <c r="K256" i="3"/>
  <c r="M261" i="4" s="1"/>
  <c r="Q256" i="3"/>
  <c r="P261" i="4" s="1"/>
  <c r="P256" i="3"/>
  <c r="O261" i="4" s="1"/>
  <c r="R251" i="3"/>
  <c r="L256" i="3"/>
  <c r="N261" i="4" s="1"/>
  <c r="J256" i="3"/>
  <c r="L261" i="4" s="1"/>
  <c r="I256" i="3"/>
  <c r="K261" i="4" s="1"/>
  <c r="S254" i="3"/>
  <c r="T254" i="3" s="1"/>
  <c r="U254" i="3"/>
  <c r="V254" i="3" s="1"/>
  <c r="A256" i="3"/>
  <c r="M256" i="3"/>
  <c r="H261" i="4" s="1"/>
  <c r="B255" i="3"/>
  <c r="C255" i="3" s="1"/>
  <c r="F254" i="3"/>
  <c r="F259" i="4" s="1"/>
  <c r="E253" i="3"/>
  <c r="D258" i="4" s="1"/>
  <c r="H252" i="3"/>
  <c r="E257" i="4" s="1"/>
  <c r="A261" i="4" l="1"/>
  <c r="N257" i="3"/>
  <c r="J262" i="4" s="1"/>
  <c r="C259" i="4"/>
  <c r="W254" i="3"/>
  <c r="G254" i="3"/>
  <c r="G259" i="4" s="1"/>
  <c r="D255" i="3"/>
  <c r="B260" i="4"/>
  <c r="K257" i="3"/>
  <c r="M262" i="4" s="1"/>
  <c r="Q257" i="3"/>
  <c r="P262" i="4" s="1"/>
  <c r="P257" i="3"/>
  <c r="O262" i="4" s="1"/>
  <c r="R252" i="3"/>
  <c r="L257" i="3"/>
  <c r="N262" i="4" s="1"/>
  <c r="J257" i="3"/>
  <c r="L262" i="4" s="1"/>
  <c r="I257" i="3"/>
  <c r="K262" i="4" s="1"/>
  <c r="A257" i="3"/>
  <c r="M257" i="3"/>
  <c r="H262" i="4" s="1"/>
  <c r="B256" i="3"/>
  <c r="C256" i="3" s="1"/>
  <c r="F255" i="3"/>
  <c r="F260" i="4" s="1"/>
  <c r="U255" i="3"/>
  <c r="V255" i="3" s="1"/>
  <c r="S255" i="3"/>
  <c r="T255" i="3" s="1"/>
  <c r="H253" i="3"/>
  <c r="E258" i="4" s="1"/>
  <c r="E254" i="3"/>
  <c r="D259" i="4" s="1"/>
  <c r="A262" i="4" l="1"/>
  <c r="N258" i="3"/>
  <c r="J263" i="4" s="1"/>
  <c r="C260" i="4"/>
  <c r="W255" i="3"/>
  <c r="G255" i="3" s="1"/>
  <c r="G260" i="4" s="1"/>
  <c r="D256" i="3"/>
  <c r="B261" i="4"/>
  <c r="K258" i="3"/>
  <c r="M263" i="4" s="1"/>
  <c r="Q258" i="3"/>
  <c r="P263" i="4" s="1"/>
  <c r="P258" i="3"/>
  <c r="O263" i="4" s="1"/>
  <c r="R253" i="3"/>
  <c r="P11" i="3"/>
  <c r="L258" i="3"/>
  <c r="N263" i="4" s="1"/>
  <c r="J258" i="3"/>
  <c r="L263" i="4" s="1"/>
  <c r="I258" i="3"/>
  <c r="K263" i="4" s="1"/>
  <c r="S256" i="3"/>
  <c r="T256" i="3" s="1"/>
  <c r="U256" i="3"/>
  <c r="V256" i="3" s="1"/>
  <c r="A258" i="3"/>
  <c r="M258" i="3"/>
  <c r="H263" i="4" s="1"/>
  <c r="B257" i="3"/>
  <c r="C257" i="3" s="1"/>
  <c r="F256" i="3"/>
  <c r="F261" i="4" s="1"/>
  <c r="E255" i="3"/>
  <c r="D260" i="4" s="1"/>
  <c r="H254" i="3"/>
  <c r="E259" i="4" s="1"/>
  <c r="A263" i="4" l="1"/>
  <c r="N259" i="3"/>
  <c r="J264" i="4" s="1"/>
  <c r="C261" i="4"/>
  <c r="W256" i="3"/>
  <c r="G256" i="3"/>
  <c r="G261" i="4" s="1"/>
  <c r="D257" i="3"/>
  <c r="B262" i="4"/>
  <c r="K259" i="3"/>
  <c r="M264" i="4" s="1"/>
  <c r="Q259" i="3"/>
  <c r="P264" i="4" s="1"/>
  <c r="P259" i="3"/>
  <c r="O264" i="4" s="1"/>
  <c r="R254" i="3"/>
  <c r="P9" i="3"/>
  <c r="L259" i="3"/>
  <c r="N264" i="4" s="1"/>
  <c r="J259" i="3"/>
  <c r="L264" i="4" s="1"/>
  <c r="I259" i="3"/>
  <c r="K264" i="4" s="1"/>
  <c r="K9" i="7"/>
  <c r="A259" i="3"/>
  <c r="M259" i="3"/>
  <c r="H264" i="4" s="1"/>
  <c r="B258" i="3"/>
  <c r="C258" i="3" s="1"/>
  <c r="F257" i="3"/>
  <c r="F262" i="4" s="1"/>
  <c r="S257" i="3"/>
  <c r="T257" i="3" s="1"/>
  <c r="U257" i="3"/>
  <c r="V257" i="3" s="1"/>
  <c r="H255" i="3"/>
  <c r="E260" i="4" s="1"/>
  <c r="E256" i="3"/>
  <c r="D261" i="4" s="1"/>
  <c r="A264" i="4" l="1"/>
  <c r="N260" i="3"/>
  <c r="J265" i="4" s="1"/>
  <c r="C262" i="4"/>
  <c r="W257" i="3"/>
  <c r="D50" i="1"/>
  <c r="G257" i="3"/>
  <c r="G262" i="4" s="1"/>
  <c r="D258" i="3"/>
  <c r="B263" i="4"/>
  <c r="K260" i="3"/>
  <c r="M265" i="4" s="1"/>
  <c r="Q260" i="3"/>
  <c r="P265" i="4" s="1"/>
  <c r="P260" i="3"/>
  <c r="O265" i="4" s="1"/>
  <c r="R255" i="3"/>
  <c r="L260" i="3"/>
  <c r="N265" i="4" s="1"/>
  <c r="J260" i="3"/>
  <c r="L265" i="4" s="1"/>
  <c r="I260" i="3"/>
  <c r="K265" i="4" s="1"/>
  <c r="J18" i="7"/>
  <c r="L43" i="7" s="1"/>
  <c r="B31" i="8"/>
  <c r="S258" i="3"/>
  <c r="T258" i="3" s="1"/>
  <c r="U258" i="3"/>
  <c r="V258" i="3" s="1"/>
  <c r="A260" i="3"/>
  <c r="M260" i="3"/>
  <c r="H265" i="4" s="1"/>
  <c r="B259" i="3"/>
  <c r="C259" i="3" s="1"/>
  <c r="F258" i="3"/>
  <c r="F263" i="4" s="1"/>
  <c r="H256" i="3"/>
  <c r="E261" i="4" s="1"/>
  <c r="E257" i="3"/>
  <c r="D262" i="4" s="1"/>
  <c r="A265" i="4" l="1"/>
  <c r="N261" i="3"/>
  <c r="J266" i="4" s="1"/>
  <c r="C263" i="4"/>
  <c r="W258" i="3"/>
  <c r="E50" i="1"/>
  <c r="B50" i="1" s="1"/>
  <c r="G258" i="3"/>
  <c r="G263" i="4" s="1"/>
  <c r="D259" i="3"/>
  <c r="B264" i="4"/>
  <c r="R24" i="3"/>
  <c r="K261" i="3"/>
  <c r="M266" i="4" s="1"/>
  <c r="Q261" i="3"/>
  <c r="P266" i="4" s="1"/>
  <c r="P261" i="3"/>
  <c r="O266" i="4" s="1"/>
  <c r="R256" i="3"/>
  <c r="H18" i="7"/>
  <c r="K103" i="7" s="1"/>
  <c r="L31" i="7"/>
  <c r="L261" i="3"/>
  <c r="N266" i="4" s="1"/>
  <c r="J261" i="3"/>
  <c r="L266" i="4" s="1"/>
  <c r="I261" i="3"/>
  <c r="K266" i="4" s="1"/>
  <c r="A261" i="3"/>
  <c r="M261" i="3"/>
  <c r="H266" i="4" s="1"/>
  <c r="B260" i="3"/>
  <c r="C260" i="3" s="1"/>
  <c r="F259" i="3"/>
  <c r="F264" i="4" s="1"/>
  <c r="U259" i="3"/>
  <c r="V259" i="3" s="1"/>
  <c r="S259" i="3"/>
  <c r="T259" i="3" s="1"/>
  <c r="E258" i="3"/>
  <c r="D263" i="4" s="1"/>
  <c r="H257" i="3"/>
  <c r="E262" i="4" s="1"/>
  <c r="P49" i="3" l="1"/>
  <c r="P37" i="3"/>
  <c r="A266" i="4"/>
  <c r="N262" i="3"/>
  <c r="J267" i="4" s="1"/>
  <c r="C264" i="4"/>
  <c r="W259" i="3"/>
  <c r="G259" i="3"/>
  <c r="G264" i="4" s="1"/>
  <c r="R49" i="3"/>
  <c r="P109" i="3" s="1"/>
  <c r="O114" i="4" s="1"/>
  <c r="O54" i="4"/>
  <c r="D260" i="3"/>
  <c r="B265" i="4"/>
  <c r="K262" i="3"/>
  <c r="M267" i="4" s="1"/>
  <c r="Q262" i="3"/>
  <c r="P267" i="4" s="1"/>
  <c r="P262" i="3"/>
  <c r="O267" i="4" s="1"/>
  <c r="R257" i="3"/>
  <c r="K31" i="7"/>
  <c r="K43" i="7"/>
  <c r="L262" i="3"/>
  <c r="N267" i="4" s="1"/>
  <c r="J262" i="3"/>
  <c r="L267" i="4" s="1"/>
  <c r="I262" i="3"/>
  <c r="K267" i="4" s="1"/>
  <c r="S260" i="3"/>
  <c r="T260" i="3" s="1"/>
  <c r="U260" i="3"/>
  <c r="V260" i="3" s="1"/>
  <c r="A262" i="3"/>
  <c r="M262" i="3"/>
  <c r="H267" i="4" s="1"/>
  <c r="B261" i="3"/>
  <c r="C261" i="3" s="1"/>
  <c r="F260" i="3"/>
  <c r="F265" i="4" s="1"/>
  <c r="H258" i="3"/>
  <c r="E263" i="4" s="1"/>
  <c r="E259" i="3"/>
  <c r="D264" i="4" s="1"/>
  <c r="O42" i="4" l="1"/>
  <c r="R37" i="3"/>
  <c r="R109" i="3"/>
  <c r="A267" i="4"/>
  <c r="N263" i="3"/>
  <c r="J268" i="4" s="1"/>
  <c r="C265" i="4"/>
  <c r="W260" i="3"/>
  <c r="G260" i="3"/>
  <c r="G265" i="4" s="1"/>
  <c r="D261" i="3"/>
  <c r="B266" i="4"/>
  <c r="K263" i="3"/>
  <c r="M268" i="4" s="1"/>
  <c r="Q263" i="3"/>
  <c r="P268" i="4" s="1"/>
  <c r="P263" i="3"/>
  <c r="O268" i="4" s="1"/>
  <c r="R258" i="3"/>
  <c r="B35" i="8"/>
  <c r="L263" i="3"/>
  <c r="N268" i="4" s="1"/>
  <c r="J263" i="3"/>
  <c r="L268" i="4" s="1"/>
  <c r="I263" i="3"/>
  <c r="K268" i="4" s="1"/>
  <c r="A263" i="3"/>
  <c r="M263" i="3"/>
  <c r="H268" i="4" s="1"/>
  <c r="B262" i="3"/>
  <c r="C262" i="3" s="1"/>
  <c r="F261" i="3"/>
  <c r="F266" i="4" s="1"/>
  <c r="U261" i="3"/>
  <c r="V261" i="3" s="1"/>
  <c r="S261" i="3"/>
  <c r="T261" i="3" s="1"/>
  <c r="E260" i="3"/>
  <c r="D265" i="4" s="1"/>
  <c r="H259" i="3"/>
  <c r="E264" i="4" s="1"/>
  <c r="A268" i="4" l="1"/>
  <c r="N264" i="3"/>
  <c r="J269" i="4" s="1"/>
  <c r="C266" i="4"/>
  <c r="W261" i="3"/>
  <c r="D262" i="3"/>
  <c r="B267" i="4"/>
  <c r="G261" i="3"/>
  <c r="G266" i="4" s="1"/>
  <c r="K264" i="3"/>
  <c r="M269" i="4" s="1"/>
  <c r="Q264" i="3"/>
  <c r="P269" i="4" s="1"/>
  <c r="P264" i="3"/>
  <c r="O269" i="4" s="1"/>
  <c r="R259" i="3"/>
  <c r="L264" i="3"/>
  <c r="N269" i="4" s="1"/>
  <c r="J264" i="3"/>
  <c r="L269" i="4" s="1"/>
  <c r="I264" i="3"/>
  <c r="K269" i="4" s="1"/>
  <c r="S262" i="3"/>
  <c r="T262" i="3" s="1"/>
  <c r="U262" i="3"/>
  <c r="V262" i="3" s="1"/>
  <c r="A264" i="3"/>
  <c r="M264" i="3"/>
  <c r="H269" i="4" s="1"/>
  <c r="B263" i="3"/>
  <c r="C263" i="3" s="1"/>
  <c r="F262" i="3"/>
  <c r="F267" i="4" s="1"/>
  <c r="H260" i="3"/>
  <c r="E265" i="4" s="1"/>
  <c r="E261" i="3"/>
  <c r="D266" i="4" s="1"/>
  <c r="A269" i="4" l="1"/>
  <c r="N265" i="3"/>
  <c r="J270" i="4" s="1"/>
  <c r="C267" i="4"/>
  <c r="W262" i="3"/>
  <c r="G262" i="3"/>
  <c r="G267" i="4" s="1"/>
  <c r="D263" i="3"/>
  <c r="B268" i="4"/>
  <c r="R260" i="3"/>
  <c r="K265" i="3"/>
  <c r="M270" i="4" s="1"/>
  <c r="I265" i="3"/>
  <c r="K270" i="4" s="1"/>
  <c r="J265" i="3"/>
  <c r="L270" i="4" s="1"/>
  <c r="L265" i="3"/>
  <c r="N270" i="4" s="1"/>
  <c r="A265" i="3"/>
  <c r="A270" i="4" s="1"/>
  <c r="M265" i="3"/>
  <c r="H270" i="4" s="1"/>
  <c r="B264" i="3"/>
  <c r="C264" i="3" s="1"/>
  <c r="B269" i="4" s="1"/>
  <c r="F263" i="3"/>
  <c r="F268" i="4" s="1"/>
  <c r="U263" i="3"/>
  <c r="V263" i="3" s="1"/>
  <c r="S263" i="3"/>
  <c r="T263" i="3" s="1"/>
  <c r="E262" i="3"/>
  <c r="D267" i="4" s="1"/>
  <c r="H261" i="3"/>
  <c r="E266" i="4" s="1"/>
  <c r="C268" i="4" l="1"/>
  <c r="W263" i="3"/>
  <c r="G263" i="3"/>
  <c r="G268" i="4" s="1"/>
  <c r="R261" i="3"/>
  <c r="D264" i="3"/>
  <c r="S264" i="3"/>
  <c r="T264" i="3" s="1"/>
  <c r="U264" i="3"/>
  <c r="V264" i="3" s="1"/>
  <c r="A266" i="3"/>
  <c r="E265" i="3"/>
  <c r="D270" i="4" s="1"/>
  <c r="F264" i="3"/>
  <c r="F269" i="4" s="1"/>
  <c r="H262" i="3"/>
  <c r="E267" i="4" s="1"/>
  <c r="E263" i="3"/>
  <c r="D268" i="4" s="1"/>
  <c r="C269" i="4" l="1"/>
  <c r="W264" i="3"/>
  <c r="G264" i="3"/>
  <c r="R262" i="3"/>
  <c r="A267" i="3"/>
  <c r="A268" i="3" s="1"/>
  <c r="A269" i="3" s="1"/>
  <c r="F265" i="3"/>
  <c r="F270" i="4" s="1"/>
  <c r="E264" i="3"/>
  <c r="D269" i="4" s="1"/>
  <c r="H263" i="3"/>
  <c r="E268" i="4" s="1"/>
  <c r="G265" i="3" l="1"/>
  <c r="G270" i="4" s="1"/>
  <c r="G269" i="4"/>
  <c r="R263" i="3"/>
  <c r="A270" i="3"/>
  <c r="A271" i="3" s="1"/>
  <c r="A272" i="3" s="1"/>
  <c r="A273" i="3" s="1"/>
  <c r="A274" i="3" s="1"/>
  <c r="A275" i="3" s="1"/>
  <c r="A276" i="3" s="1"/>
  <c r="H264" i="3"/>
  <c r="Q265" i="3" l="1"/>
  <c r="P270" i="4" s="1"/>
  <c r="R264" i="3"/>
  <c r="P265" i="3" s="1"/>
  <c r="O270" i="4" s="1"/>
  <c r="E269" i="4"/>
  <c r="H265" i="3"/>
  <c r="E270" i="4" s="1"/>
  <c r="B42" i="1" l="1"/>
  <c r="B41" i="1" s="1"/>
  <c r="B43" i="1"/>
</calcChain>
</file>

<file path=xl/comments1.xml><?xml version="1.0" encoding="utf-8"?>
<comments xmlns="http://schemas.openxmlformats.org/spreadsheetml/2006/main">
  <authors>
    <author>Safonov Sergii Viktorovych</author>
    <author>Lashniev Georgii Sergiiovych</author>
  </authors>
  <commentList>
    <comment ref="N3" authorId="0" shapeId="0">
      <text>
        <r>
          <rPr>
            <b/>
            <sz val="8"/>
            <color indexed="81"/>
            <rFont val="Tahoma"/>
            <family val="2"/>
            <charset val="204"/>
          </rPr>
          <t>згідно кредитної програми</t>
        </r>
      </text>
    </comment>
    <comment ref="N7" authorId="0" shapeId="0">
      <text>
        <r>
          <rPr>
            <b/>
            <sz val="8"/>
            <color indexed="81"/>
            <rFont val="Tahoma"/>
            <family val="2"/>
            <charset val="204"/>
          </rPr>
          <t>витрати на нотаріуса</t>
        </r>
      </text>
    </comment>
    <comment ref="N8" authorId="1" shapeId="0">
      <text>
        <r>
          <rPr>
            <b/>
            <sz val="8"/>
            <color indexed="81"/>
            <rFont val="Tahoma"/>
            <family val="2"/>
            <charset val="204"/>
          </rPr>
          <t>згідно кредитної програми</t>
        </r>
      </text>
    </comment>
    <comment ref="O8" authorId="1" shapeId="0">
      <text>
        <r>
          <rPr>
            <b/>
            <sz val="8"/>
            <color indexed="81"/>
            <rFont val="Tahoma"/>
            <family val="2"/>
            <charset val="204"/>
          </rPr>
          <t>залежить від умов кредитування, страхової компанії, франшизи</t>
        </r>
        <r>
          <rPr>
            <sz val="8"/>
            <color indexed="81"/>
            <rFont val="Tahoma"/>
            <family val="2"/>
            <charset val="204"/>
          </rPr>
          <t xml:space="preserve">
</t>
        </r>
      </text>
    </comment>
    <comment ref="F9" authorId="0" shapeId="0">
      <text>
        <r>
          <rPr>
            <b/>
            <sz val="8"/>
            <color indexed="81"/>
            <rFont val="Tahoma"/>
            <family val="2"/>
            <charset val="204"/>
          </rPr>
          <t>згіднго обраного продукту</t>
        </r>
      </text>
    </comment>
    <comment ref="N10" authorId="0" shapeId="0">
      <text>
        <r>
          <rPr>
            <b/>
            <sz val="8"/>
            <color indexed="81"/>
            <rFont val="Tahoma"/>
            <family val="2"/>
            <charset val="204"/>
          </rPr>
          <t>згідно обраного тарифу</t>
        </r>
      </text>
    </comment>
    <comment ref="N12" authorId="0" shapeId="0">
      <text>
        <r>
          <rPr>
            <b/>
            <sz val="8"/>
            <color indexed="81"/>
            <rFont val="Tahoma"/>
            <family val="2"/>
            <charset val="204"/>
          </rPr>
          <t>витрати на оцінку застави</t>
        </r>
      </text>
    </comment>
    <comment ref="N13" authorId="0" shapeId="0">
      <text>
        <r>
          <rPr>
            <b/>
            <sz val="8"/>
            <color indexed="81"/>
            <rFont val="Tahoma"/>
            <family val="2"/>
            <charset val="204"/>
          </rPr>
          <t>інші можливі додаткові витрати позичальнка</t>
        </r>
      </text>
    </comment>
    <comment ref="N14" authorId="0" shapeId="0">
      <text>
        <r>
          <rPr>
            <b/>
            <sz val="8"/>
            <color indexed="81"/>
            <rFont val="Tahoma"/>
            <family val="2"/>
            <charset val="204"/>
          </rPr>
          <t>У разі наявності пакету "Фамільний" або якщо він не оформлюється ставиться -0, в нішому випадку  зазначається вартість пакету на один рік</t>
        </r>
      </text>
    </comment>
    <comment ref="F16" authorId="0" shapeId="0">
      <text>
        <r>
          <rPr>
            <b/>
            <sz val="8"/>
            <color indexed="81"/>
            <rFont val="Tahoma"/>
            <family val="2"/>
            <charset val="204"/>
          </rPr>
          <t>згідно продукту</t>
        </r>
      </text>
    </comment>
  </commentList>
</comments>
</file>

<file path=xl/sharedStrings.xml><?xml version="1.0" encoding="utf-8"?>
<sst xmlns="http://schemas.openxmlformats.org/spreadsheetml/2006/main" count="734" uniqueCount="562">
  <si>
    <r>
      <t>1.</t>
    </r>
    <r>
      <rPr>
        <sz val="7"/>
        <color theme="1"/>
        <rFont val="Times New Roman"/>
        <family val="1"/>
        <charset val="204"/>
      </rPr>
      <t xml:space="preserve">        </t>
    </r>
    <r>
      <rPr>
        <b/>
        <sz val="9"/>
        <color theme="1"/>
        <rFont val="Times New Roman"/>
        <family val="1"/>
        <charset val="204"/>
      </rPr>
      <t>Інформація та контактні дані кредитодавця</t>
    </r>
  </si>
  <si>
    <t>Найменування кредитодавця та його структурного або відокремленого підрозділу, в якому поширюється інформація</t>
  </si>
  <si>
    <t>_______________________ відділення </t>
  </si>
  <si>
    <t>Місцезнаходження кредитодавця та адреса структурного або відокремленого підрозділу, в якому поширюється інформація</t>
  </si>
  <si>
    <r>
      <t xml:space="preserve">Адреса Банку: </t>
    </r>
    <r>
      <rPr>
        <sz val="9"/>
        <color theme="1"/>
        <rFont val="Times New Roman"/>
        <family val="1"/>
        <charset val="204"/>
      </rPr>
      <t>Україна, м. Київ, Кловський узвіз, 9\2</t>
    </r>
  </si>
  <si>
    <t>Адреса відділення Банку:</t>
  </si>
  <si>
    <t>Ліцензія/Свідоцтво</t>
  </si>
  <si>
    <t>Ліцензія Національного банку України</t>
  </si>
  <si>
    <t>Номер контактного телефону</t>
  </si>
  <si>
    <t>0 800 500 450 </t>
  </si>
  <si>
    <t>Адреса електронної пошти</t>
  </si>
  <si>
    <t>bank@pravex.kiev.ua  </t>
  </si>
  <si>
    <t>Адреса офіційного веб-сайту</t>
  </si>
  <si>
    <r>
      <t>www.pravex.com.ua</t>
    </r>
    <r>
      <rPr>
        <sz val="9"/>
        <color theme="1"/>
        <rFont val="Times New Roman"/>
        <family val="1"/>
        <charset val="204"/>
      </rPr>
      <t> </t>
    </r>
  </si>
  <si>
    <r>
      <t>2.</t>
    </r>
    <r>
      <rPr>
        <b/>
        <sz val="7"/>
        <color theme="1"/>
        <rFont val="Times New Roman"/>
        <family val="1"/>
        <charset val="204"/>
      </rPr>
      <t xml:space="preserve">        </t>
    </r>
    <r>
      <rPr>
        <b/>
        <sz val="9"/>
        <color theme="1"/>
        <rFont val="Times New Roman"/>
        <family val="1"/>
        <charset val="204"/>
      </rPr>
      <t>Інформація та контактні дані кредитного посередника – не залучається</t>
    </r>
  </si>
  <si>
    <t>3. Основні умови кредитування з урахуванням побажань споживача</t>
  </si>
  <si>
    <t>Тип кредиту</t>
  </si>
  <si>
    <t>Сума кредиту, грн.</t>
  </si>
  <si>
    <t>Мета отримання кредиту</t>
  </si>
  <si>
    <t>Спосіб та строк надання кредиту</t>
  </si>
  <si>
    <t>Можливі види (форми) забезпечення кредиту</t>
  </si>
  <si>
    <t>Необхідність проведення оцінки забезпечення кредиту</t>
  </si>
  <si>
    <t>ні</t>
  </si>
  <si>
    <t>Мінімальний розмір власного платежу (фінансової участі) споживача за умови отримання кредиту на придбання товару/роботи/послуги, %</t>
  </si>
  <si>
    <t>4. Інформація щодо реальної річної процентної ставки та орієнтовної загальної вартості кредиту для споживача</t>
  </si>
  <si>
    <t>Процентна ставка, відсотків річних</t>
  </si>
  <si>
    <t>Тип процентної ставки</t>
  </si>
  <si>
    <t>Порядок зміни змінюваної процентної ставки</t>
  </si>
  <si>
    <t>Платежі за додаткові та супутні послуги кредитодавця, обов'язкові для укладання договору, грн.:</t>
  </si>
  <si>
    <t>Зазначаються розмір платежу та база його розрахунку</t>
  </si>
  <si>
    <t>Щомісячна комісія за обслуговування кредиту</t>
  </si>
  <si>
    <t>Розрахунково-касове обслуговування кредиту (річне/ щомісячне)</t>
  </si>
  <si>
    <t>Загальні витрати за кредитом, грн.</t>
  </si>
  <si>
    <t>Орієнтовна загальна вартість кредиту для споживача за весь строк користування кредитом (у т. ч. тіло кредиту, відсотки, комісії та інші платежі), грн.</t>
  </si>
  <si>
    <t>Реальна річна процентна ставка, відсотків річних</t>
  </si>
  <si>
    <t xml:space="preserve">Застереження: наведені обчислення реальної річної процентної ставки та орієнтовної загальної вартості кредиту для споживача є репрезентативними та базуються на обраних споживачем умовах кредитування, викладених вище, і на припущенні, що договір про споживчий кредит залишатиметься дійсним протягом погодженого строку, а кредитодавець і споживач виконають свої обов'язки на умовах та у строки, визначені в договорі. </t>
  </si>
  <si>
    <t>Реальна річна процентна ставка обчислена на основі припущення, що процентна ставка та інші платежі за послуги кредитодавця залишатимуться незмінними та застосовуватимуться протягом строку дії договору про споживчий кредит.</t>
  </si>
  <si>
    <t>Застереження: використання інших способів надання кредиту та/або зміна інших вищезазначених умов кредитування можуть мати наслідком застосування іншої реальної річної процентної ставки та орієнтовної загальної вартості кредиту для споживача.</t>
  </si>
  <si>
    <t>5. Порядок повернення кредиту</t>
  </si>
  <si>
    <t>Кількість та розмір платежів, періодичність внесення</t>
  </si>
  <si>
    <t xml:space="preserve">Вказано у додатку 1 до даного паспорту </t>
  </si>
  <si>
    <t>6. Додаткова інформація</t>
  </si>
  <si>
    <t>Додаткові та супутні послуги третіх осіб, обов'язкові для отримання кредиту:</t>
  </si>
  <si>
    <t>Нотаріальне засвідчення договору застави</t>
  </si>
  <si>
    <r>
      <t>Наслідки прострочення виконання та/або невиконання зобов'язань за договором про споживчий кредит:</t>
    </r>
    <r>
      <rPr>
        <sz val="8"/>
        <color theme="1"/>
        <rFont val="Calibri"/>
        <family val="2"/>
        <charset val="204"/>
        <scheme val="minor"/>
      </rPr>
      <t> </t>
    </r>
  </si>
  <si>
    <t>пеня</t>
  </si>
  <si>
    <t>Подвійна облікова ставка НБУ</t>
  </si>
  <si>
    <t>інші платежі</t>
  </si>
  <si>
    <t>7. Інші важливі правові аспекти</t>
  </si>
  <si>
    <t xml:space="preserve">Споживач має право безкоштовно отримати копію проекту договору про споживчий кредит у письмовій чи електронній формі за своїм вибором. Це положення не застосовується у разі відмови кредитодавця від продовження процесу укладання договору зі споживачем. </t>
  </si>
  <si>
    <t>Споживач має право відмовитися від договору про споживчий кредит протягом 14 календарних днів у порядку та на умовах, визначених Законом України "Про споживче кредитування".</t>
  </si>
  <si>
    <t>Споживач має право достроково повернути споживчий кредит без будь-якої додаткової плати, пов'язаної з достроковим поверненням. Договором про споживчий кредит може бути встановлений обов'язок повідомлення кредитодавця про намір дострокового повернення споживчого кредиту з оформленням відповідного документа.</t>
  </si>
  <si>
    <t>Умови договору про споживчий кредит можуть відрізнятися від інформації, наведеної в цьому Паспорті споживчого кредиту, та будуть залежати від проведеної кредитодавцем оцінки кредитоспроможності споживача з урахуванням, зокрема, наданої ним інформації про майновий та сімейний стан, розмір доходів тощо.</t>
  </si>
  <si>
    <t>Дата надання інформації: __/__/____</t>
  </si>
  <si>
    <t xml:space="preserve">Ця інформація зберігає чинність та є актуальною до __//__//__ </t>
  </si>
  <si>
    <t>Підпис кредитодавця:</t>
  </si>
  <si>
    <t>_______________________П. І. Б., _________підпис</t>
  </si>
  <si>
    <t>Підтверджую отримання та ознайомлення з інформацією про умови кредитування та орієнтовну загальну вартість кредиту, надані виходячи із обраних мною умов кредитування.</t>
  </si>
  <si>
    <t xml:space="preserve">Підтверджую отримання мною всіх пояснень, необхідних для забезпечення можливості оцінити, чи адаптовано договір до моїх потреб та фінансової ситуації, зокрема шляхом роз'яснення наведеної інформації, в тому числі суттєвих характеристик запропонованих послуг та певних наслідків, які вони можуть мати для мене, в тому числі в разі невиконання мною зобов'язань за таким договором. </t>
  </si>
  <si>
    <t>Підпис споживача:</t>
  </si>
  <si>
    <t xml:space="preserve">__ __ ____Дата, _____________П. І. Б., __________підпис. </t>
  </si>
  <si>
    <t>Дата</t>
  </si>
  <si>
    <t>Відсоткова ставка</t>
  </si>
  <si>
    <t>Строк кредиту, міс</t>
  </si>
  <si>
    <t>Сумма кредиту, грн</t>
  </si>
  <si>
    <t>Перший внесок, грн</t>
  </si>
  <si>
    <t>Вартість автомобіля, грн</t>
  </si>
  <si>
    <t>Перший внесок,%</t>
  </si>
  <si>
    <t>№</t>
  </si>
  <si>
    <t>Дата платежу</t>
  </si>
  <si>
    <t>Кіль-кість днів у звітньо-му періоді</t>
  </si>
  <si>
    <t>Залишок основного боргу для нарахування відсотків</t>
  </si>
  <si>
    <t>Реальна відсоткова ставка, %</t>
  </si>
  <si>
    <t>Погашення основної суми кредиту</t>
  </si>
  <si>
    <t>Орієнтовна сума відсотків</t>
  </si>
  <si>
    <t>Орієнтовна сума платежу за розрахунковий період</t>
  </si>
  <si>
    <t>Одноразова комісія за надання кредиту</t>
  </si>
  <si>
    <t>Одноразова комісія за надання кредиту, грн</t>
  </si>
  <si>
    <t>Строк кредитування, міс</t>
  </si>
  <si>
    <t>споживчий кредит</t>
  </si>
  <si>
    <t>відсутні</t>
  </si>
  <si>
    <t>Маржа</t>
  </si>
  <si>
    <t>Дата початку плаваючої ставки</t>
  </si>
  <si>
    <t xml:space="preserve"> +3% річних до діючої річної ставки по кредиту</t>
  </si>
  <si>
    <t>ПМ</t>
  </si>
  <si>
    <t>Додаток 1 до договору кредиту №_____ від____________</t>
  </si>
  <si>
    <t>Сума кредиту</t>
  </si>
  <si>
    <t>Відсоток передплати</t>
  </si>
  <si>
    <t>Дата отримання кредиту</t>
  </si>
  <si>
    <t>Дата погашення кредиту</t>
  </si>
  <si>
    <t>Строк кредитування, місяців</t>
  </si>
  <si>
    <t xml:space="preserve">Погашенння основної суми кредиту: </t>
  </si>
  <si>
    <t>згідно графіку</t>
  </si>
  <si>
    <t>Погашення відсотків по кредиту:</t>
  </si>
  <si>
    <t>щомісячно</t>
  </si>
  <si>
    <t>Відсоткова ставка *:</t>
  </si>
  <si>
    <t>Діє з*</t>
  </si>
  <si>
    <t>% ставка*</t>
  </si>
  <si>
    <t>Маржа*</t>
  </si>
  <si>
    <t>Індекс*</t>
  </si>
  <si>
    <r>
      <t>Орієнтовна</t>
    </r>
    <r>
      <rPr>
        <b/>
        <sz val="9"/>
        <color indexed="8"/>
        <rFont val="Arial"/>
        <family val="2"/>
        <charset val="204"/>
      </rPr>
      <t xml:space="preserve"> сума платежу за розрахунковий період</t>
    </r>
  </si>
  <si>
    <t>В тому числі:</t>
  </si>
  <si>
    <t>Загальна вартість кредиту, грн</t>
  </si>
  <si>
    <t xml:space="preserve">Одноразова комісія за надання кредиту </t>
  </si>
  <si>
    <t>* даний розділ використовується в разі змінної ставки по кредиту</t>
  </si>
  <si>
    <t>кредит</t>
  </si>
  <si>
    <t>за власні кошти</t>
  </si>
  <si>
    <t>Таблиця обчислення орієнтовної вартості споживчого кредиту</t>
  </si>
  <si>
    <t>Комісія за надання кредиту, % від суми кредиту</t>
  </si>
  <si>
    <t>АТ «ПРАВЕКС БАНК»</t>
  </si>
  <si>
    <t>від 18.04.2018 № 7</t>
  </si>
  <si>
    <t>Ставка з 61 місяця</t>
  </si>
  <si>
    <t>на споживчі цілі</t>
  </si>
  <si>
    <t xml:space="preserve">Безготівковим шляхом на поточний рахунок </t>
  </si>
  <si>
    <t>відсутній</t>
  </si>
  <si>
    <t>Інші додаткові витрати</t>
  </si>
  <si>
    <t>Страхування позичальника, грн</t>
  </si>
  <si>
    <t>Діючий Індекс UIDR (12міс у гривні)</t>
  </si>
  <si>
    <t>відсутнє</t>
  </si>
  <si>
    <t>наявне</t>
  </si>
  <si>
    <t>Таблиця обчислення загальної вартості споживчого кредиту для позичальника (споживача) 
та реальної річної процентної ставки за кредитом, в тому числі Графік платежів за кредитом</t>
  </si>
  <si>
    <r>
      <t xml:space="preserve">Комісії банка, </t>
    </r>
    <r>
      <rPr>
        <sz val="11"/>
        <color theme="1"/>
        <rFont val="Calibri"/>
        <family val="2"/>
        <charset val="204"/>
        <scheme val="minor"/>
      </rPr>
      <t>% від суми кредиту</t>
    </r>
  </si>
  <si>
    <t>Загальна вартість кредиту, грн.</t>
  </si>
  <si>
    <t>Реальна річна процентна ставка, %</t>
  </si>
  <si>
    <t>відсутне</t>
  </si>
  <si>
    <t xml:space="preserve">Страхування застави </t>
  </si>
  <si>
    <t>так</t>
  </si>
  <si>
    <t xml:space="preserve">Страхування позичальника </t>
  </si>
  <si>
    <t>Фіксована</t>
  </si>
  <si>
    <t>-</t>
  </si>
  <si>
    <t>Розрахунково-касове обслуговування, грн</t>
  </si>
  <si>
    <t>порука (якщо було прийнято по клієнту відповідне рішення)</t>
  </si>
  <si>
    <t>процентна ставка, яка застосовується при невиконанні зобов'язання щодо повернення кредиту</t>
  </si>
  <si>
    <r>
      <rPr>
        <b/>
        <sz val="10"/>
        <color theme="1"/>
        <rFont val="Times New Roman"/>
        <family val="1"/>
        <charset val="204"/>
      </rPr>
      <t>/</t>
    </r>
    <r>
      <rPr>
        <sz val="9"/>
        <color theme="1"/>
        <rFont val="Times New Roman"/>
        <family val="1"/>
        <charset val="204"/>
      </rPr>
      <t>34,99% в разі невиконання умов пункт 1.8 загальної частини договору кредиту</t>
    </r>
  </si>
  <si>
    <t>Фіксована перші 60 місяців, плаваюча з 61 місяця</t>
  </si>
  <si>
    <t>кредит на купівлю нерухомості</t>
  </si>
  <si>
    <t>застава, порука (якщо було прийнято по клієнту відповідне рішення)</t>
  </si>
  <si>
    <t>Перегляд ставки кожні 12 місяців 
ставка по кредиту = UIRD +3%</t>
  </si>
  <si>
    <t>Вартість нерухомості, грн</t>
  </si>
  <si>
    <t>Одноразова комісія за надання кредиту, % від суми кредиту</t>
  </si>
  <si>
    <t>Вартість нерухості, грн</t>
  </si>
  <si>
    <t>Сума передплати, грн</t>
  </si>
  <si>
    <t>так, пеерлік акредитованих оціночних компній наведено 
https://www.pravex.com.ua/vazhliva-informaciya-dlya-kliyentiv-banku/dlya-pozichalnikiv-banku</t>
  </si>
  <si>
    <t>процентна ставка, яка застосовується при невиконанні зобов'язання згідно договору кредиту (за кожне порушеня)</t>
  </si>
  <si>
    <t>Діючий Індекс - 
 UIDR (12 міс у гривні)</t>
  </si>
  <si>
    <t>Найменування кредитного посередника</t>
  </si>
  <si>
    <t>*Інформація не заповнюється, у звязку з відсутністю кредитного посередника при наданні Банком кредиту</t>
  </si>
  <si>
    <t>Місцезнаходження</t>
  </si>
  <si>
    <t>Адреса офіційного веб-сайту*</t>
  </si>
  <si>
    <t>Строк кредитування</t>
  </si>
  <si>
    <t xml:space="preserve"> міс.</t>
  </si>
  <si>
    <t>Застереження: витрати на такі послуги можуть змінюватися протягом строку дії договору про споживчий кредит</t>
  </si>
  <si>
    <t>[якщо платежі за послуги кредитодавця, повязані з отриманням, обслуговуванням і поверненням кредиту, є періодичними]</t>
  </si>
  <si>
    <t>Платежі за послуги кредитного посередника, що підлягають сплаті споживачем, грн.*</t>
  </si>
  <si>
    <t>* не заповнюється, у звязку з відсутністю кредитного посередника при наданні Банком кредиту</t>
  </si>
  <si>
    <t>[зазначаються розмір платежу, база його розрахунку та умови його застосування]</t>
  </si>
  <si>
    <t>штрафи</t>
  </si>
  <si>
    <t>Надається у вигляді графіку платежів, у якому визначаються кількість, розмір платежів та періодичність їх внесення згідно Додатку 1 до договору споживчого кредиту "Таблиця обчислення загальної вартості споживчого кредиту  для позичальника (споживача) та реальної річної процентної ставки за кредитом, в тому числі Графік платежів за кредитом"</t>
  </si>
  <si>
    <t>Платежі за додаткові та супутні послуги третіх осіб, обов'язкові для укладення договору/отримання кредиту, грн:</t>
  </si>
  <si>
    <t>2. Посулуги оцінювача</t>
  </si>
  <si>
    <t>3. Послуга страховика</t>
  </si>
  <si>
    <t>4. Інші послуги третіх осіб</t>
  </si>
  <si>
    <t>Послуги третіх осіб</t>
  </si>
  <si>
    <t>Послуги нотаріуса</t>
  </si>
  <si>
    <t>Послуги оцінювача</t>
  </si>
  <si>
    <t>Послуги страховика</t>
  </si>
  <si>
    <t>Інші послуги третіх осіб</t>
  </si>
  <si>
    <t>Інші послуги банка</t>
  </si>
  <si>
    <t>Додаткові витрати, повязані з оформленням кредиту</t>
  </si>
  <si>
    <t>Послуги нотаріуса, грн</t>
  </si>
  <si>
    <t>Страхування застави (перший рік) %/грн</t>
  </si>
  <si>
    <t>Страхування застави (за весь строк),грн</t>
  </si>
  <si>
    <t>Страхування позичальника (перший рік),%/грн</t>
  </si>
  <si>
    <t>Страхування позичальника (весь строк),грн</t>
  </si>
  <si>
    <t>Послуги оцінювача, грн</t>
  </si>
  <si>
    <t>Інші послуги банку</t>
  </si>
  <si>
    <t>Розрахунково-касове обслуговування кредиту за весь строк кредиту, грн</t>
  </si>
  <si>
    <t>застава</t>
  </si>
  <si>
    <t>позичальник</t>
  </si>
  <si>
    <t>Грошовий потік</t>
  </si>
  <si>
    <t>Діючий Індекс - 
 UIRD у гривні за 12 місяців</t>
  </si>
  <si>
    <t>ставка</t>
  </si>
  <si>
    <t>Тарифи Банку та третіх осіб:</t>
  </si>
  <si>
    <t>Одноразова комісія банку за надання кредиту від початкової суми кредиту</t>
  </si>
  <si>
    <t>Послуги третіх осіб:</t>
  </si>
  <si>
    <t>1. Послуги нотаріуса</t>
  </si>
  <si>
    <t>Дата закінчення договору</t>
  </si>
  <si>
    <t>4. Інформація щодо орієнтовної реальної річної процентної ставки та орієнтовної загальної вартості кредиту для споживача</t>
  </si>
  <si>
    <t xml:space="preserve">м. Київ </t>
  </si>
  <si>
    <t xml:space="preserve">Ватутінське відділення </t>
  </si>
  <si>
    <t>081   15326804226768260081</t>
  </si>
  <si>
    <t>Івашин 
Дмитро Миколайович</t>
  </si>
  <si>
    <t>050-981-06-79, 
097-983-11-31</t>
  </si>
  <si>
    <t>02217, м. Київ, 
просп.Маяковського, 8</t>
  </si>
  <si>
    <t>8 Mayakovskiy Boulevard, Kyiv, 02217</t>
  </si>
  <si>
    <t>4223 - директор, 
4225, 4226, 4227, 4228, 4229, 4231</t>
  </si>
  <si>
    <t xml:space="preserve">(044)363-03-67
(044)363-03-68
</t>
  </si>
  <si>
    <t>Пн. – Пт.: 8:45 – 17:45,  в тому числі з клієнтами Пн. – Пт.: 9:00 – 17:00,  без перерви для клієнтів, перерва для співробітників по гнучкому графіку 1 година; Сб., Нед., святкові дні – вихідні</t>
  </si>
  <si>
    <t xml:space="preserve">Виноградарське відділення </t>
  </si>
  <si>
    <t>048   15326804226768260048</t>
  </si>
  <si>
    <t>Педченко 
Віра Володимирівна</t>
  </si>
  <si>
    <t>050-809-46-47</t>
  </si>
  <si>
    <t>04215, м. Київ, 
просп. Свободи, 15/1</t>
  </si>
  <si>
    <t>15/1 Svobody Boulevard, Kyiv, 04215</t>
  </si>
  <si>
    <t>4233 - директор,
4235,4236,4237</t>
  </si>
  <si>
    <t xml:space="preserve">(044)363-02-28
(044)363-02-29
</t>
  </si>
  <si>
    <t>Відділення 
„Героїв Дніпра”</t>
  </si>
  <si>
    <t>050   15326804226768260050</t>
  </si>
  <si>
    <t>Кузьменко 
Юрій Миколайович</t>
  </si>
  <si>
    <t>097-386-76-31</t>
  </si>
  <si>
    <t>04205, м. Київ, 
вул. Маршала Тимошенка, 21, корп.4</t>
  </si>
  <si>
    <t>21 Marshal Tymoshenko St., Block 4, Kyiv, 04205</t>
  </si>
  <si>
    <t>4272 - директор,
4268, 4269, 4270, 4271, , 4273, 4274</t>
  </si>
  <si>
    <t xml:space="preserve">(044)363-07-58
(044)363-07-59
</t>
  </si>
  <si>
    <t>Деміївське відділення</t>
  </si>
  <si>
    <t>068   15326804226768260068</t>
  </si>
  <si>
    <t>т.в.о.  Резанова 
Наталія Миколаївна</t>
  </si>
  <si>
    <t>099-558-86-80</t>
  </si>
  <si>
    <t>03039, м. Київ, 
Голосіївський просп., 48</t>
  </si>
  <si>
    <t>48 Holosiivskyi Boulevard, Kyiv, 03039</t>
  </si>
  <si>
    <t>4300 - директор,
4297, 4299,4302,4303, 4304</t>
  </si>
  <si>
    <t xml:space="preserve">(044)363-06-91
(044)363-06-92
</t>
  </si>
  <si>
    <t xml:space="preserve">Залізничне відділення </t>
  </si>
  <si>
    <t>047   15326804226768260047</t>
  </si>
  <si>
    <t>Майкін 
Сергій Миколайович</t>
  </si>
  <si>
    <t>066-117-23-40</t>
  </si>
  <si>
    <t>03186, м. Київ, 
бульв. Чоколівський, 9/13</t>
  </si>
  <si>
    <t>9/13 Chokolivskyi Boulevard, Kyiv, 03186</t>
  </si>
  <si>
    <t>4332- директор,
4330,4331,4333,4334,4335</t>
  </si>
  <si>
    <t xml:space="preserve">(044)363-07-08
(044)363-07-09
</t>
  </si>
  <si>
    <t xml:space="preserve">Індустріальне відділення </t>
  </si>
  <si>
    <t>057   15326804226768260057</t>
  </si>
  <si>
    <t>Близнюк 
Олена Володимирівна</t>
  </si>
  <si>
    <t>050-590-21-78</t>
  </si>
  <si>
    <t xml:space="preserve">01032, м. Київ, 
вул. Саксаганського, 120 </t>
  </si>
  <si>
    <t>120 Saksahanskoho St., Kyiv, 01032</t>
  </si>
  <si>
    <t>4344 - директор,
4345,4346,4347,4348,4349</t>
  </si>
  <si>
    <t xml:space="preserve">
(044)363-02-56
(044)363-02-57
</t>
  </si>
  <si>
    <t xml:space="preserve">Інститутське відділення </t>
  </si>
  <si>
    <t>102  
15326804226768260066</t>
  </si>
  <si>
    <t>Літенко 
Ірина Олексіївна</t>
  </si>
  <si>
    <t xml:space="preserve">  067-773-01-98,
093-993-64-68</t>
  </si>
  <si>
    <t>01021, м. Київ, 
вул. Інститутська, 27/6</t>
  </si>
  <si>
    <t>27/6 Instytutska St., Kyiv, 01021</t>
  </si>
  <si>
    <t>4353 - директор,
 4354,  4355, 4356,   4357</t>
  </si>
  <si>
    <t xml:space="preserve">
(044)363-02-36
(044)363-02-37
</t>
  </si>
  <si>
    <t xml:space="preserve">Лівобережне відділення  </t>
  </si>
  <si>
    <t>052   15326804226768260052</t>
  </si>
  <si>
    <t>Нечупій 
Ольга Віталіївна</t>
  </si>
  <si>
    <t>096-701-38-42</t>
  </si>
  <si>
    <t xml:space="preserve">02100, м. Київ, 
вул. Попудренка, 18 </t>
  </si>
  <si>
    <t>18 Popudrenko St., Kyiv, 02100</t>
  </si>
  <si>
    <t>4531- директор,
4526, 4527,4528,4529,4530,, 4532</t>
  </si>
  <si>
    <t>(044)363-02-78, 
(044)363-02-79</t>
  </si>
  <si>
    <t xml:space="preserve">Лук’янівське відділення </t>
  </si>
  <si>
    <t>034   15326804226768260034</t>
  </si>
  <si>
    <t>Дорошенко 
Леся Василівна</t>
  </si>
  <si>
    <t>093-062-81-35</t>
  </si>
  <si>
    <t>04053, м. Київ, 
вул. Січових Стрільців, 7</t>
  </si>
  <si>
    <t>7 Sichovych Striltsiv St., Kyiv, 04053</t>
  </si>
  <si>
    <t xml:space="preserve">4410- директор, 
  4407, 4408, 4409, 4411, 4412, 4413, 4414, 4415 </t>
  </si>
  <si>
    <t xml:space="preserve">(044)363-07-16
(044)363-07-17
</t>
  </si>
  <si>
    <t xml:space="preserve">Либідське відділення </t>
  </si>
  <si>
    <t>079   15326804226768260079</t>
  </si>
  <si>
    <t>Галайба 
Тетяна Петрівна</t>
  </si>
  <si>
    <t>067-907-97-15</t>
  </si>
  <si>
    <t xml:space="preserve">03150, м. Київ,вул. Антоновича (Горького), 155 </t>
  </si>
  <si>
    <t>155 Antonovych (Gorkiy) St., Kyiv, 03150</t>
  </si>
  <si>
    <t>4420 -директор,
  4422, 4423, 4424, 4425</t>
  </si>
  <si>
    <t xml:space="preserve">(044)363-07-01
(044)363-07-02
</t>
  </si>
  <si>
    <t xml:space="preserve">Осокорківське відділення </t>
  </si>
  <si>
    <t>085   15326804226768260085</t>
  </si>
  <si>
    <t xml:space="preserve">Павелко 
Олена Олександрівна </t>
  </si>
  <si>
    <t>067-737-67-24</t>
  </si>
  <si>
    <t>02095, м. Київ, 
вул. Княжий Затон, 4</t>
  </si>
  <si>
    <t>4 Kniazhyi Zaton St., Kyiv, 02095</t>
  </si>
  <si>
    <t xml:space="preserve"> 4475 - директор
4472, 4473, 4474, 4476</t>
  </si>
  <si>
    <t xml:space="preserve">(044)363-02-76
(044)363-02-77
</t>
  </si>
  <si>
    <t xml:space="preserve">Саксаганське відділення </t>
  </si>
  <si>
    <t>065   15326804226768260065</t>
  </si>
  <si>
    <t>Усатюк 
Юлія Володимирівна</t>
  </si>
  <si>
    <t>097-333-75-59</t>
  </si>
  <si>
    <t>01023, м. КиЇв, 
ул. Шота Руставелі, 40/10</t>
  </si>
  <si>
    <t>40/10 Shota Rustaveli St., Kyiv, 01023</t>
  </si>
  <si>
    <t>4488 - директор,
4487, 4489, 4491, 4492, 4493</t>
  </si>
  <si>
    <t xml:space="preserve">(044)363-02-38
(044)363-02-39
</t>
  </si>
  <si>
    <t xml:space="preserve">Подільське відділення  </t>
  </si>
  <si>
    <t>053   15326804226768260053</t>
  </si>
  <si>
    <t>Балабанцева 
Іванна Сергіївна</t>
  </si>
  <si>
    <t>050-078-44-04</t>
  </si>
  <si>
    <t>04071, м. Київ, 
вул. Верхній Вал, 32</t>
  </si>
  <si>
    <t xml:space="preserve">  32,  Verhniy Vаl St., Kyiv, 04071</t>
  </si>
  <si>
    <t>4145 - директор,
4505, 4506,  4509, 4510, 4511, 4512,  4514, 4515, 4516,  4518, 4146</t>
  </si>
  <si>
    <t xml:space="preserve">(044)363-07-18
(044)363-07-19
</t>
  </si>
  <si>
    <t xml:space="preserve">Політехнічне відділення </t>
  </si>
  <si>
    <t>054   15326804226768260054</t>
  </si>
  <si>
    <t xml:space="preserve"> Мішук 
Інна Вікторівна</t>
  </si>
  <si>
    <t>098-229-18-22</t>
  </si>
  <si>
    <t xml:space="preserve">
м. Київ, просп. Перемоги/вул. Кулібіна, 75/2</t>
  </si>
  <si>
    <t>75/2 Peremohy Boulevard / Kulibin St., Kyiv, 03062</t>
  </si>
  <si>
    <t>4374 - директор,
4375,4378</t>
  </si>
  <si>
    <t xml:space="preserve">(044)363-06-93
(044)363-06-94
</t>
  </si>
  <si>
    <t>Полярне відділення</t>
  </si>
  <si>
    <t>506   15326804226768260506</t>
  </si>
  <si>
    <t>Леоненко 
Анна Анатоліївна</t>
  </si>
  <si>
    <t>093 -460-24-71</t>
  </si>
  <si>
    <t>04050, м. Київ,  
вул. Глибочицька, 29-31</t>
  </si>
  <si>
    <t>29-31 Hlybochytska St., Kyiv, 04050</t>
  </si>
  <si>
    <t>4542-директор,
4537,  4539,  4543</t>
  </si>
  <si>
    <t xml:space="preserve">(044)363-07-14
(044)363-07-15
</t>
  </si>
  <si>
    <t xml:space="preserve">Пушкінське відділення </t>
  </si>
  <si>
    <t>066   15326804226768260102</t>
  </si>
  <si>
    <t xml:space="preserve"> Руденко 
Катерина Іванівна</t>
  </si>
  <si>
    <t>093-294-25-82</t>
  </si>
  <si>
    <t>01004, м. Київ, 
вул. Пушкінська, 24-А</t>
  </si>
  <si>
    <t>24-A Pushkin St., Kyiv, 01004</t>
  </si>
  <si>
    <t>4560 - директор,
4556, 4557, 4558, 4559, , 4561, 4562</t>
  </si>
  <si>
    <t xml:space="preserve">(044)363-02-34
(044)363-02-35
</t>
  </si>
  <si>
    <t xml:space="preserve">Святошинське відділення </t>
  </si>
  <si>
    <t>041   15326804226768260041</t>
  </si>
  <si>
    <t xml:space="preserve"> Іванченко 
Ігор Миколайович</t>
  </si>
  <si>
    <t>063-178-81-66,  
050-215-99-11,
067-121-32-42</t>
  </si>
  <si>
    <t>03062, м. Київ, 
просп. Перемоги/
вул. Кулібіна, 75/2</t>
  </si>
  <si>
    <t>4585 - директор,
4579,4580,4581,4582,4583,4584,,4586</t>
  </si>
  <si>
    <t xml:space="preserve">(044)363-06-95
(044)363-06-96
</t>
  </si>
  <si>
    <t xml:space="preserve">"Сімейний банкінг"
(Family Banking) </t>
  </si>
  <si>
    <t>061   15326804226768260061</t>
  </si>
  <si>
    <t>Бурдейний 
Дмитро Володимирович</t>
  </si>
  <si>
    <t>097-008-30-80</t>
  </si>
  <si>
    <t>01133, м. Київ, 
вул.Мечникова, 10/2</t>
  </si>
  <si>
    <t>10/2 Mechnykov St., Kyiv, 01133</t>
  </si>
  <si>
    <t xml:space="preserve">43-93  - директор
4391, 4192, 4194
</t>
  </si>
  <si>
    <t xml:space="preserve">(044)363-02-72
(044)363-02-73
</t>
  </si>
  <si>
    <t>Столичне відділення</t>
  </si>
  <si>
    <t>290  
15326804226768260290</t>
  </si>
  <si>
    <t>Попович-Д'якова 
Наталія Валеріївна</t>
  </si>
  <si>
    <t>050-581-89-09
067-320-28-53</t>
  </si>
  <si>
    <t>01021, м. Київ, 
вул. Кловський узвіз, 9/2</t>
  </si>
  <si>
    <t>9/2 Klovskyi uzviz St., Kyiv, 01021</t>
  </si>
  <si>
    <t xml:space="preserve">
32-84-директор 
4617-4618-МРК
4613,4615,4624-сектор фізичних осіб 
4616 –ГФОК сектору фізичних осіб
4627-ГФОК сектору юридичних осіб
4626, 4628, 4629, 4630, 4631 - сектор юридичних осіб
</t>
  </si>
  <si>
    <t>(044)521-02-17,                    (044)521-02-54,                   (044)521-02-46</t>
  </si>
  <si>
    <t>Пн. – Пт.: 8:45 – 18:25,  в тому числі з клієнтами Пн. – Пт.: 9:00 – 17:00,  без перерви для клієнтів, перерва для співробітників по гнучкому графіку 1 година; Сб., Нед., святкові дні – вихідні</t>
  </si>
  <si>
    <t xml:space="preserve">Відділення «Вінницька обласна дирекція»  </t>
  </si>
  <si>
    <t>569   15326804226768010569</t>
  </si>
  <si>
    <t xml:space="preserve">  Душкевич    
Людмила Василівна</t>
  </si>
  <si>
    <t>050-353-54-48 
067-32-11-956</t>
  </si>
  <si>
    <t>21018, м. Вінниця,  
вул. Гоголя 30</t>
  </si>
  <si>
    <t>30 Gogol St., Vinnytsia, 21018</t>
  </si>
  <si>
    <t>2400 - директор
  2402, 2403, 2404, 2406, 2414, 2416, 2417, 2418, 2421, 2422, 2423</t>
  </si>
  <si>
    <t xml:space="preserve">(043)250-42-56
(043)250-42-60
(043)250-42-61
(043)250-42-63
(043)250-42-64
</t>
  </si>
  <si>
    <t>Відділення «Волинська обласна дирекція»</t>
  </si>
  <si>
    <t>115     15326804226768020115</t>
  </si>
  <si>
    <t>Гатті 
 Вікторія Анатоліївна</t>
  </si>
  <si>
    <t>050-611-23-49</t>
  </si>
  <si>
    <t>43025, м. Луцьк, 
просп. Волі, 21</t>
  </si>
  <si>
    <t>21 Voli Boulevard, Lutsk, 43025</t>
  </si>
  <si>
    <t>2560 -директор,
2561, 2565, 2566, 2567, 2570</t>
  </si>
  <si>
    <t xml:space="preserve">(0332)78-99-25
(0332)78-99-26
(0332)78-99-27
(0332)78-99-28
(0332)78-99-29
</t>
  </si>
  <si>
    <t>Відділення «Дніпровська обласна дирекція»</t>
  </si>
  <si>
    <t>400   15326804226768030400</t>
  </si>
  <si>
    <t>Сідорова 
Марина Сергіївна</t>
  </si>
  <si>
    <t>066-535-41-76</t>
  </si>
  <si>
    <t>49020, м. Дніпро, 
вул.  Шевченка, 59</t>
  </si>
  <si>
    <t>59 Shevchenko St., Dnipro, 49020</t>
  </si>
  <si>
    <t>2655 - директор,
2650-2659,  2664</t>
  </si>
  <si>
    <t xml:space="preserve">(056)7873045
(056)7873046 
(056)7873047 
(056)7873048 
(056)7873049 
</t>
  </si>
  <si>
    <t xml:space="preserve">Криворізьке відділення </t>
  </si>
  <si>
    <t>361   15326804226768030361</t>
  </si>
  <si>
    <t xml:space="preserve"> Собіна  
Анна Андріївна</t>
  </si>
  <si>
    <t>066-930-38-73,
097-353-86-36</t>
  </si>
  <si>
    <t>50027, м. Кривий Ріг, 
пр-т. Гагаріна, 38 а.</t>
  </si>
  <si>
    <t>38 a Gagarin Boulevard, Kryvyi Rih, 50027</t>
  </si>
  <si>
    <t>2585 - директор,
2580, 2581,2582,2583,2584, 2585, 2587, 2588, 2589</t>
  </si>
  <si>
    <t xml:space="preserve">(0564)70-12-59
(0564)70-12-60
(0564)70-12-63
(0564)70-12-65
(0564)70-12-67
</t>
  </si>
  <si>
    <t>Азовське відділення</t>
  </si>
  <si>
    <t>522   15326804226768040522</t>
  </si>
  <si>
    <t>Лисакова 
Джульєтта Геннадіївна</t>
  </si>
  <si>
    <t>097-319-09-78</t>
  </si>
  <si>
    <t>87500, м. Маріуполь, 
просп.  Миру (Леніна), 81</t>
  </si>
  <si>
    <t>81 Myru (Lenin) Boulevard, Mariupol, 87500</t>
  </si>
  <si>
    <t xml:space="preserve">2023 - директор, 
2020, 2022, 2024
</t>
  </si>
  <si>
    <t>(0629) 52-62-17,
(0629) 52-62-18</t>
  </si>
  <si>
    <t>Відділення «Житомирська обласна дирекція»</t>
  </si>
  <si>
    <t>111   15326804226768050111</t>
  </si>
  <si>
    <t>т.в.о. директора Добровольська 
Світлана Сергіївна</t>
  </si>
  <si>
    <t>067-411-78-97</t>
  </si>
  <si>
    <t xml:space="preserve">10001,  м. Житомир, 
вул. Київська, 79
 </t>
  </si>
  <si>
    <t>79 Kyivska St., Zhytomyr, 10001</t>
  </si>
  <si>
    <t>2316- директор,
2308, 2309, 2311, 2313</t>
  </si>
  <si>
    <t>(412) 42-26-46,            (412) 42-26-44,            (412) 42-26-45,           (412) 42-26-43,          (412) 42-26-47,           (412)42-26-48,          (412)42-19-30</t>
  </si>
  <si>
    <t xml:space="preserve">Відділення «Закарпатська обласна дирекція» </t>
  </si>
  <si>
    <t>157   15326804226768060157</t>
  </si>
  <si>
    <t>Ступак 
Олександр Олександрович</t>
  </si>
  <si>
    <t>050-96-57-179</t>
  </si>
  <si>
    <t>88000, м. Ужгород, 
вул. Київська набережна, 2</t>
  </si>
  <si>
    <t>2 Kyivska Naberezhna St., Uzhhorod, 88000</t>
  </si>
  <si>
    <t>2500- директор,
2501, 2502, 2503 ,2504, 2505, 2507, 2510</t>
  </si>
  <si>
    <t xml:space="preserve">(0312) 63-06-10,
(0312) 63-06-11,
(0312) 63-06-12,
(0312) 63-06-15,
(0312)  63-06-16
(0312) 63-06-18,
(0312) 63-06-19 
</t>
  </si>
  <si>
    <t>Відділення «Запорізька обласна дирекція»</t>
  </si>
  <si>
    <t>282   15326804226768070282</t>
  </si>
  <si>
    <t xml:space="preserve"> Петряєв 
Анатолій Володимирович</t>
  </si>
  <si>
    <t>097-302-86-18</t>
  </si>
  <si>
    <t>69035, м. Запоріжжя,
пр-т. Соборний, 172</t>
  </si>
  <si>
    <t>172 Sobornyi Boulevard, Zaporizhzhia, 69035</t>
  </si>
  <si>
    <t xml:space="preserve">
2772 -директор,
2770, 2778, 2783, 2784, 2786
</t>
  </si>
  <si>
    <t xml:space="preserve">(061)280-55-40
(061)280-55-41
(061)280-55-42
(061)280-55-43
(061)280-55-44
       </t>
  </si>
  <si>
    <t>Відділення «Івано-Франківська обласна дирекція»</t>
  </si>
  <si>
    <t>453   15326804226768080453</t>
  </si>
  <si>
    <t>Срібна 
Оксана Михайлівна</t>
  </si>
  <si>
    <t>050-384-01-16</t>
  </si>
  <si>
    <t xml:space="preserve">76018, м. Івано-Франківськ, 
вул. Січових Стрільців, 48 </t>
  </si>
  <si>
    <t xml:space="preserve">48 Sichovych Striltsiv St., Ivano-Frankivsk, 76018 </t>
  </si>
  <si>
    <t xml:space="preserve"> 2065- директор,
 2051,   2060,  2063, 2064</t>
  </si>
  <si>
    <r>
      <rPr>
        <sz val="11"/>
        <rFont val="Calibri"/>
        <family val="2"/>
        <charset val="204"/>
      </rPr>
      <t>(0342) 55-72-01
(0</t>
    </r>
    <r>
      <rPr>
        <sz val="12"/>
        <rFont val="Calibri"/>
        <family val="2"/>
        <charset val="204"/>
      </rPr>
      <t>342)55-72-00
(0342)55-72-02
(0342)55-72-03
(0342)55-72-04
(0342)55-72-05
(0342)55-72-10
(0342)55-72-11</t>
    </r>
    <r>
      <rPr>
        <sz val="11"/>
        <rFont val="Calibri"/>
        <family val="2"/>
        <charset val="204"/>
      </rPr>
      <t xml:space="preserve">
</t>
    </r>
  </si>
  <si>
    <t>Відділення «Кіровоградська обласна дирекція»</t>
  </si>
  <si>
    <t>468   15326804226768100468</t>
  </si>
  <si>
    <t>Бондар 
Михайло Іссакович</t>
  </si>
  <si>
    <t>067-520-07-75</t>
  </si>
  <si>
    <t>25006, м. Кропивницький, 
вул. Шевченка, 3</t>
  </si>
  <si>
    <t>3 Shevchenko St., Kropyvnytskyi, 25006</t>
  </si>
  <si>
    <t>2357 - директор,
 2351, 2353, 2355, 2356, 2359,  2360, 2361, 2362,  2363, 2364, 2367</t>
  </si>
  <si>
    <t xml:space="preserve">(0522) 36-66-80,                                                                                                                                                                                                                                                                      
(0522) 36-66-81,
(0522) 36-66-82
</t>
  </si>
  <si>
    <t>Відділення «Львівська обласна дирекція»</t>
  </si>
  <si>
    <t>247   15326804226768130247</t>
  </si>
  <si>
    <t>Мицик 
Руслана Зіновіївна</t>
  </si>
  <si>
    <t>067-212-82-85</t>
  </si>
  <si>
    <t>79000, м. Львів, 
вул. Січових Стрільців, 3</t>
  </si>
  <si>
    <t>3 V. Sichovykh Strilʹtsiv, Lʹviv , 79000</t>
  </si>
  <si>
    <t xml:space="preserve">2071 - директор,
 2072, 2074, 2075, 2076, 2077, 2079, 2083, 2090, </t>
  </si>
  <si>
    <t xml:space="preserve">(032)226-76-08
(032)226-76-09
(032)226-76-10
(032)226-76-11
(032)226-76-12
</t>
  </si>
  <si>
    <t>Відділення «Миколаївська обласна дирекція»</t>
  </si>
  <si>
    <t>169   15326804226768140169</t>
  </si>
  <si>
    <t>Біла 
Ніна Миколаївна</t>
  </si>
  <si>
    <t>050-737-63-55</t>
  </si>
  <si>
    <t>54029, м. Миколаїв, 
вул. Пушкінська, 35</t>
  </si>
  <si>
    <t>35 Pushkin St., Mykolaiv, 54029</t>
  </si>
  <si>
    <t>2540 - директор , 
2541, 2542, 2543, 2544, 2545</t>
  </si>
  <si>
    <t xml:space="preserve">(0512)76-69-70
(0512)76-69-71
(0512)76-69-72
(0512)76-69-73
(0512)76-69-74
</t>
  </si>
  <si>
    <t xml:space="preserve">Відділення «Одеська обласна дирекція» </t>
  </si>
  <si>
    <t>329   15326804226768150329</t>
  </si>
  <si>
    <t>Вержбицька 
Ірина Віталіївна</t>
  </si>
  <si>
    <t>067-931-26-97</t>
  </si>
  <si>
    <t>65012, м. Одеса, 
вул. Пушкінська, 77</t>
  </si>
  <si>
    <t>77 Pushkin St., Odesa, 65012</t>
  </si>
  <si>
    <t xml:space="preserve">2232 - директор,
2230, 2231, 2236, 2237, 2239                              </t>
  </si>
  <si>
    <t xml:space="preserve">(048)7409345
(048)7409346
(048)7409347
(048)7409348
(048)7409349
</t>
  </si>
  <si>
    <t>Відділення «Полтавська обласна дирекція»</t>
  </si>
  <si>
    <t>198   15326804226768160198</t>
  </si>
  <si>
    <t xml:space="preserve"> Папудько 
Олена Євгеніївна</t>
  </si>
  <si>
    <t>066-553-31-74</t>
  </si>
  <si>
    <t>36020, м. Полтава, 
вул. 1100 - річчя Полтави, 12</t>
  </si>
  <si>
    <t>12 1100-richchia Poltavy St., Poltava, 36020</t>
  </si>
  <si>
    <t xml:space="preserve"> 2451 - директор,
2447, 2458, 2461, 2463
</t>
  </si>
  <si>
    <t xml:space="preserve">(0532) 516-970
(0532) 516-971
(0532) 516-972
(0532) 516-973
(0532) 516-974
(0532) 516-975
(0532) 516-976
</t>
  </si>
  <si>
    <t xml:space="preserve">Молодіжне відділення </t>
  </si>
  <si>
    <t>188   15326804226768160188</t>
  </si>
  <si>
    <t xml:space="preserve"> Щербина 
Нина Юріївна</t>
  </si>
  <si>
    <t xml:space="preserve"> 068-303-70-96</t>
  </si>
  <si>
    <t>39600, м. Кременчук, 
вул. Халаменюка, 4</t>
  </si>
  <si>
    <t>4 Khalameniuk St., Kremenchuk, 39600</t>
  </si>
  <si>
    <t>2484-директор,
2481, 2482,  2483, 2485, 2487</t>
  </si>
  <si>
    <t>(0536) 74-01-74,
(0536) 74-01-85</t>
  </si>
  <si>
    <t>Відділення «Рівненська обласна дирекція»</t>
  </si>
  <si>
    <t>153   15326804226768170153</t>
  </si>
  <si>
    <t>Панасюк 
Михайло Петрович</t>
  </si>
  <si>
    <t>097-675-88-83</t>
  </si>
  <si>
    <t>33028, м. Рівне, 
вул. Соборна, 112</t>
  </si>
  <si>
    <t>112 Soborna St., Rivne, 33028</t>
  </si>
  <si>
    <t xml:space="preserve"> 2470 - директор,
 2471, 2472, 2473, 2474, 2475,  2479</t>
  </si>
  <si>
    <t xml:space="preserve">(0362)46-05-88
(0362)46-05-86
(0362)46-05-87
(0362)46-02-63
(0362)46-02-62
 </t>
  </si>
  <si>
    <t xml:space="preserve">Відділення «Сумська обласна дирекція» </t>
  </si>
  <si>
    <t>356   15326804226768180356</t>
  </si>
  <si>
    <t xml:space="preserve"> Безносик  
Євген Анатолійович</t>
  </si>
  <si>
    <t xml:space="preserve">050-357-61-40
</t>
  </si>
  <si>
    <t>40004, м. Суми, 
вул. Горького,5-А</t>
  </si>
  <si>
    <t>5-a Gorkiy St., Sumy, 40004</t>
  </si>
  <si>
    <t>2525 - директор, 
2521,2522, 2524, 2526, 2527, 2528, 2529, 2530</t>
  </si>
  <si>
    <t>(0542)67-13-40, (0542)67-13-41, (0542)67-13-42, (0542)67-13-43, (0542)67-13-44, (0542)67-13-45, (0542)67-13-46</t>
  </si>
  <si>
    <t xml:space="preserve">Відділення «Тернопільська обласна дирекція» </t>
  </si>
  <si>
    <t>094   15326804226768190094</t>
  </si>
  <si>
    <t>Стігайло 
Юрій Юрійович</t>
  </si>
  <si>
    <t xml:space="preserve">067-600-40-41
</t>
  </si>
  <si>
    <t>46000, м. Тернопіль, 
вул. Руська, 14</t>
  </si>
  <si>
    <t>14 Ruska St., Ternopil, 46000</t>
  </si>
  <si>
    <t>2288 - директор, 
 2282, 2289</t>
  </si>
  <si>
    <t xml:space="preserve">(0352) 52-70-49,  
(0352) 43-49-38;
</t>
  </si>
  <si>
    <r>
      <t>Відділення "Харківська обласна дирекція"</t>
    </r>
    <r>
      <rPr>
        <b/>
        <sz val="11"/>
        <color indexed="8"/>
        <rFont val="Calibri"/>
        <family val="2"/>
        <charset val="204"/>
      </rPr>
      <t xml:space="preserve"> </t>
    </r>
  </si>
  <si>
    <t>616   15326804226768200616</t>
  </si>
  <si>
    <t xml:space="preserve">  Маслов 
Сергій Іванович</t>
  </si>
  <si>
    <t xml:space="preserve">067-729-41-71  </t>
  </si>
  <si>
    <t>61057, м. Харків, 
вул. Сумська 17, 
вул. Сумська, 19</t>
  </si>
  <si>
    <t>17 Sumska St., 19 Sumska St., Kharkiv, 61057</t>
  </si>
  <si>
    <t>2601 - директор,
2602, 2603, 2606, 2607, 2609, 2610, 2611, 2612, 2614, 2621, 2622, 2624, 2625, 2626, 2627, 2628</t>
  </si>
  <si>
    <t xml:space="preserve">(057)766-55-61
(057)766-55-62
(057)766-55-63
(057)766-55-64
(057)766-55-65
</t>
  </si>
  <si>
    <t xml:space="preserve">Відділення «Конституції» </t>
  </si>
  <si>
    <t>639   15326804226768200639</t>
  </si>
  <si>
    <t xml:space="preserve"> Козловський 
Олексій Миколайович</t>
  </si>
  <si>
    <t xml:space="preserve">097-679-58-78
</t>
  </si>
  <si>
    <t>61003, м. Харків, 
майдан Конституції, 2/2</t>
  </si>
  <si>
    <t>2/2 Konstytutsii Square, Kharkiv, 61003</t>
  </si>
  <si>
    <t xml:space="preserve">2590 - директор
 2591,  2593, 2594
</t>
  </si>
  <si>
    <t xml:space="preserve">(057)766-58-62
(057)766-58-63
</t>
  </si>
  <si>
    <t>Набережне відділення</t>
  </si>
  <si>
    <t>642   15326804226768200642</t>
  </si>
  <si>
    <t>Романашенко 
Кристина Валеріївна</t>
  </si>
  <si>
    <t>068-279-80-98</t>
  </si>
  <si>
    <t>61010, м. Харків, 
вул. Гімназійна Набережна, 18</t>
  </si>
  <si>
    <t>18 Himnaziina Naberezhna St., Kharkiv, 61010</t>
  </si>
  <si>
    <t>2639 - директор,
2641, 2643, 2644,  2645, 2646</t>
  </si>
  <si>
    <t xml:space="preserve">(057)766-58-91
(057)766-58-92
</t>
  </si>
  <si>
    <t>Відділення «Херсонська обласна дирекція»</t>
  </si>
  <si>
    <t>232   15326804226768210232</t>
  </si>
  <si>
    <t>Монюк 
Ярослав Степанович</t>
  </si>
  <si>
    <t>050-903-68-29</t>
  </si>
  <si>
    <t>73000, м. Херсон,  
вул. Маяковського,16А</t>
  </si>
  <si>
    <t>16A Mayakovskiy St., Kherson, 73000</t>
  </si>
  <si>
    <t>2203 - директор, 
2201, 2202, 2204, 2205, 2207</t>
  </si>
  <si>
    <t>(0552) 43-57-00,             (0552) 43-57-01,  (0552) 43-57-02,          (0552) 43-57-03,  (0552) 43-57-04,           (0552) 43-57-05,           (0552) 43-57-06, (0552) 22-33-53</t>
  </si>
  <si>
    <t xml:space="preserve">Відділення «Хмельницька обласна дирекція» </t>
  </si>
  <si>
    <t>156   15326804226768220156</t>
  </si>
  <si>
    <t>Сапужак 
Ольга Миколаївна</t>
  </si>
  <si>
    <t>068-657-66-57</t>
  </si>
  <si>
    <t>29000, м. Хмельницький,
 вул. Подільска, 21</t>
  </si>
  <si>
    <t>21 Podilska St., Khmelnytskyi, 29000</t>
  </si>
  <si>
    <t>2270- директор,
 2261, 2265, 2266, 2272, 2273</t>
  </si>
  <si>
    <t xml:space="preserve">(0382)72-47-95
(0382)72-47-96
(0382)72-47-97
(0382)72-47-98
(0382)72-47-99
</t>
  </si>
  <si>
    <t xml:space="preserve">Відділення «Черкаська обласна дирекція»  </t>
  </si>
  <si>
    <t>083   15326804226768230083</t>
  </si>
  <si>
    <t>Дюбін 
Михайло Володимирович</t>
  </si>
  <si>
    <t>097-757-24-28</t>
  </si>
  <si>
    <t>18000, м. Черкаси, 
вул. Лазарєва, 4</t>
  </si>
  <si>
    <t>4 Lazarieva St., Cherkasy, 18000</t>
  </si>
  <si>
    <t>2335-директор,
 2336, 2339,2340, 2341</t>
  </si>
  <si>
    <t xml:space="preserve">(0472)52-02-03
(0472)52-02-04
(0472)52-02-05
(0472)52-02-06
(0472)52-02-07
</t>
  </si>
  <si>
    <t xml:space="preserve">Відділення «Буковинська обласна дирекція» </t>
  </si>
  <si>
    <t>144   15326804226768250144</t>
  </si>
  <si>
    <t xml:space="preserve"> Стрілецький 
Володимир Мирославович</t>
  </si>
  <si>
    <t>066-356-71-66</t>
  </si>
  <si>
    <t xml:space="preserve">58002, м. Чернівці, 
вул. Івана Франка,1 </t>
  </si>
  <si>
    <t>1 Ivan Franko St., Chernivtsi, 58002</t>
  </si>
  <si>
    <t>2011-директор,
2004, 2005, 2006, 2008</t>
  </si>
  <si>
    <t xml:space="preserve">(0372) 58-44-36, 
(0372) 58-58-16,
Тел./факс </t>
  </si>
  <si>
    <t xml:space="preserve">Митне відділення </t>
  </si>
  <si>
    <t>611   15326804226768240611</t>
  </si>
  <si>
    <t>Максименко 
Алла Валентинівна</t>
  </si>
  <si>
    <t>067-460-21-76,              093-296-55-95</t>
  </si>
  <si>
    <t>14000 м. Чернігів 
пр-т. Миру 17</t>
  </si>
  <si>
    <t>17 Myru Boulevard, Chernihiv, 14000</t>
  </si>
  <si>
    <t>2180- директор, 
2182, 2183, 2185, 2187</t>
  </si>
  <si>
    <t>(0462)67-52-35,
(0462)67-52-25</t>
  </si>
  <si>
    <t>Выбрать свое отделение из выпадающего списка!</t>
  </si>
  <si>
    <t xml:space="preserve">Дата надання інформації: </t>
  </si>
  <si>
    <t xml:space="preserve">Ця інформація зберігає чинність та є актуальною до </t>
  </si>
  <si>
    <t xml:space="preserve">Додаток 39 до п. 1. рішення
ЗАТВЕРДЖЕНО
рішенням Голови Правління
АТ «ПРАВЕКС БАНК»
від _._.2020 № ___
</t>
  </si>
  <si>
    <t>разово</t>
  </si>
  <si>
    <t>щорічно</t>
  </si>
  <si>
    <t>Пакет "Фамільний" (вартість на рік)</t>
  </si>
  <si>
    <t>Кредитодавець має право залучати до врегулювання простроченої заборгованості колекторську компанію.</t>
  </si>
  <si>
    <t>[так/ні]</t>
  </si>
  <si>
    <t>Вимоги щодо взаємодії із споживачами при врегулюванні простроченої заборгованості (вимоги щодо етичної поведінки), встановлені статтею 25 Закону України "Про споживче кредитування".</t>
  </si>
  <si>
    <t>Підтверджую отримання мною інформації про право кредитодавця залучати до врегулювання простроченої заборгованості колекторську компанію у разі невиконання мною зобов’язань за договором про споживчий кредит, про встановлені законодавством вимоги щодо взаємодії із споживачами при врегулюванні простроченої заборгованості (вимоги щодо етичної поведінки), про моє право на звернення до Національного банку України у разі недотримання таких вимог кредитодавцем та/або колекторською компанією, а також про моє право на звернення до суду з позовом про відшкодування шкоди, завданої у процесі врегулювання простроченої заборгованості.</t>
  </si>
  <si>
    <t>Підтверджую повідомлення мене про передбачену статтею 182 Кримінального кодексу України відповідальність за незаконне збирання, зберігання, використання, поширення мною конфіденційної інформації про третіх осіб, персональні дані яких передані мною кредитодавцю.</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</si>
</sst>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0.00\ &quot;₽&quot;;[Red]\-#,##0.00\ &quot;₽&quot;"/>
    <numFmt numFmtId="165" formatCode="_-* #,##0.00_р_._-;\-* #,##0.00_р_._-;_-* &quot;-&quot;??_р_._-;_-@_-"/>
    <numFmt numFmtId="166" formatCode="#,##0.00\ [$грн.-422]"/>
    <numFmt numFmtId="167" formatCode="#,##0.00&quot;р.&quot;;[Red]\-#,##0.00&quot;р.&quot;"/>
    <numFmt numFmtId="168" formatCode="0.0%"/>
  </numFmts>
  <fonts count="46" x14ac:knownFonts="1">
    <font>
      <sz val="11"/>
      <color theme="1"/>
      <name val="Calibri"/>
      <family val="2"/>
      <charset val="204"/>
      <scheme val="minor"/>
    </font>
    <font>
      <b/>
      <sz val="11"/>
      <color theme="1"/>
      <name val="Calibri"/>
      <family val="2"/>
      <charset val="204"/>
      <scheme val="minor"/>
    </font>
    <font>
      <sz val="9"/>
      <color theme="1"/>
      <name val="Times New Roman"/>
      <family val="1"/>
      <charset val="204"/>
    </font>
    <font>
      <sz val="7"/>
      <color theme="1"/>
      <name val="Times New Roman"/>
      <family val="1"/>
      <charset val="204"/>
    </font>
    <font>
      <b/>
      <sz val="9"/>
      <color theme="1"/>
      <name val="Times New Roman"/>
      <family val="1"/>
      <charset val="204"/>
    </font>
    <font>
      <b/>
      <sz val="7"/>
      <color theme="1"/>
      <name val="Times New Roman"/>
      <family val="1"/>
      <charset val="204"/>
    </font>
    <font>
      <sz val="8"/>
      <color theme="1"/>
      <name val="Calibri"/>
      <family val="2"/>
      <charset val="204"/>
      <scheme val="minor"/>
    </font>
    <font>
      <sz val="14"/>
      <name val="Arial Cyr"/>
      <charset val="204"/>
    </font>
    <font>
      <sz val="10"/>
      <color indexed="8"/>
      <name val="Arial"/>
      <family val="2"/>
      <charset val="204"/>
    </font>
    <font>
      <sz val="9"/>
      <color theme="1"/>
      <name val="Calibri"/>
      <family val="2"/>
      <charset val="204"/>
      <scheme val="minor"/>
    </font>
    <font>
      <b/>
      <sz val="9"/>
      <color theme="1"/>
      <name val="Calibri"/>
      <family val="2"/>
      <charset val="204"/>
      <scheme val="minor"/>
    </font>
    <font>
      <sz val="11"/>
      <color theme="0"/>
      <name val="Calibri"/>
      <family val="2"/>
      <charset val="204"/>
      <scheme val="minor"/>
    </font>
    <font>
      <sz val="10"/>
      <color theme="1"/>
      <name val="Calibri"/>
      <family val="2"/>
      <charset val="204"/>
      <scheme val="minor"/>
    </font>
    <font>
      <b/>
      <sz val="11"/>
      <color theme="1"/>
      <name val="Times New Roman"/>
      <family val="1"/>
      <charset val="204"/>
    </font>
    <font>
      <sz val="11"/>
      <color theme="1"/>
      <name val="Times New Roman"/>
      <family val="1"/>
      <charset val="204"/>
    </font>
    <font>
      <b/>
      <sz val="10"/>
      <color indexed="8"/>
      <name val="Arial"/>
      <family val="2"/>
      <charset val="204"/>
    </font>
    <font>
      <b/>
      <sz val="10"/>
      <name val="Arial"/>
      <family val="2"/>
      <charset val="204"/>
    </font>
    <font>
      <b/>
      <sz val="10"/>
      <color theme="0"/>
      <name val="Arial"/>
      <family val="2"/>
      <charset val="204"/>
    </font>
    <font>
      <sz val="10"/>
      <name val="Arial Cyr"/>
      <charset val="204"/>
    </font>
    <font>
      <sz val="10"/>
      <name val="Arial"/>
      <family val="2"/>
      <charset val="204"/>
    </font>
    <font>
      <b/>
      <sz val="10"/>
      <color rgb="FFFF0000"/>
      <name val="Arial"/>
      <family val="2"/>
      <charset val="204"/>
    </font>
    <font>
      <i/>
      <sz val="10"/>
      <color indexed="8"/>
      <name val="Arial"/>
      <family val="2"/>
      <charset val="204"/>
    </font>
    <font>
      <sz val="10"/>
      <color theme="1"/>
      <name val="Arial"/>
      <family val="2"/>
      <charset val="204"/>
    </font>
    <font>
      <b/>
      <sz val="9"/>
      <color indexed="8"/>
      <name val="Arial"/>
      <family val="2"/>
      <charset val="204"/>
    </font>
    <font>
      <b/>
      <sz val="9"/>
      <name val="Arial"/>
      <family val="2"/>
      <charset val="204"/>
    </font>
    <font>
      <i/>
      <sz val="9"/>
      <color indexed="8"/>
      <name val="Arial"/>
      <family val="2"/>
      <charset val="204"/>
    </font>
    <font>
      <i/>
      <sz val="9"/>
      <name val="Arial Cyr"/>
      <charset val="204"/>
    </font>
    <font>
      <i/>
      <sz val="9"/>
      <color theme="0"/>
      <name val="Arial"/>
      <family val="2"/>
      <charset val="204"/>
    </font>
    <font>
      <sz val="10"/>
      <color theme="0"/>
      <name val="Arial"/>
      <family val="2"/>
      <charset val="204"/>
    </font>
    <font>
      <sz val="9"/>
      <color theme="0"/>
      <name val="Calibri"/>
      <family val="2"/>
      <charset val="204"/>
      <scheme val="minor"/>
    </font>
    <font>
      <b/>
      <sz val="10"/>
      <color theme="1"/>
      <name val="Times New Roman"/>
      <family val="1"/>
      <charset val="204"/>
    </font>
    <font>
      <b/>
      <sz val="9"/>
      <color indexed="8"/>
      <name val="Arial Cyr"/>
      <charset val="204"/>
    </font>
    <font>
      <sz val="9"/>
      <name val="Times New Roman"/>
      <family val="1"/>
      <charset val="204"/>
    </font>
    <font>
      <b/>
      <sz val="9"/>
      <name val="Times New Roman"/>
      <family val="1"/>
      <charset val="204"/>
    </font>
    <font>
      <sz val="11"/>
      <name val="Calibri"/>
      <family val="2"/>
      <charset val="204"/>
      <scheme val="minor"/>
    </font>
    <font>
      <b/>
      <sz val="8"/>
      <color indexed="81"/>
      <name val="Tahoma"/>
      <family val="2"/>
      <charset val="204"/>
    </font>
    <font>
      <sz val="8"/>
      <color indexed="81"/>
      <name val="Tahoma"/>
      <family val="2"/>
      <charset val="204"/>
    </font>
    <font>
      <sz val="9"/>
      <color indexed="8"/>
      <name val="Arial Cyr"/>
      <family val="2"/>
      <charset val="204"/>
    </font>
    <font>
      <i/>
      <sz val="9"/>
      <name val="Arial"/>
      <family val="2"/>
      <charset val="204"/>
    </font>
    <font>
      <sz val="11"/>
      <color theme="1"/>
      <name val="Calibri"/>
      <family val="2"/>
      <charset val="204"/>
      <scheme val="minor"/>
    </font>
    <font>
      <b/>
      <sz val="11"/>
      <name val="Calibri"/>
      <family val="2"/>
      <charset val="204"/>
      <scheme val="minor"/>
    </font>
    <font>
      <sz val="11"/>
      <name val="Calibri"/>
      <family val="2"/>
      <charset val="204"/>
    </font>
    <font>
      <sz val="12"/>
      <name val="Calibri"/>
      <family val="2"/>
      <charset val="204"/>
    </font>
    <font>
      <b/>
      <sz val="11"/>
      <color indexed="8"/>
      <name val="Calibri"/>
      <family val="2"/>
      <charset val="204"/>
    </font>
    <font>
      <b/>
      <sz val="11"/>
      <color rgb="FFFF0000"/>
      <name val="Calibri"/>
      <family val="2"/>
      <charset val="204"/>
      <scheme val="minor"/>
    </font>
    <font>
      <sz val="9"/>
      <color theme="0"/>
      <name val="Times New Roman"/>
      <family val="1"/>
      <charset val="204"/>
    </font>
  </fonts>
  <fills count="8">
    <fill>
      <patternFill patternType="none"/>
    </fill>
    <fill>
      <patternFill patternType="gray125"/>
    </fill>
    <fill>
      <patternFill patternType="solid">
        <fgColor theme="0"/>
        <bgColor indexed="64"/>
      </patternFill>
    </fill>
    <fill>
      <patternFill patternType="solid">
        <fgColor rgb="FFF68E38"/>
        <bgColor indexed="64"/>
      </patternFill>
    </fill>
    <fill>
      <patternFill patternType="solid">
        <fgColor theme="0" tint="-0.249977111117893"/>
        <bgColor indexed="31"/>
      </patternFill>
    </fill>
    <fill>
      <patternFill patternType="solid">
        <fgColor theme="3" tint="0.59999389629810485"/>
        <bgColor indexed="64"/>
      </patternFill>
    </fill>
    <fill>
      <patternFill patternType="solid">
        <fgColor rgb="FFFFFF00"/>
        <bgColor indexed="64"/>
      </patternFill>
    </fill>
    <fill>
      <patternFill patternType="solid">
        <fgColor theme="0" tint="-0.14999847407452621"/>
        <bgColor indexed="64"/>
      </patternFill>
    </fill>
  </fills>
  <borders count="113">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style="medium">
        <color indexed="64"/>
      </bottom>
      <diagonal/>
    </border>
    <border>
      <left/>
      <right style="medium">
        <color indexed="64"/>
      </right>
      <top/>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medium">
        <color indexed="8"/>
      </left>
      <right style="thin">
        <color indexed="8"/>
      </right>
      <top/>
      <bottom/>
      <diagonal/>
    </border>
    <border>
      <left style="thin">
        <color indexed="8"/>
      </left>
      <right/>
      <top/>
      <bottom/>
      <diagonal/>
    </border>
    <border>
      <left style="thin">
        <color indexed="8"/>
      </left>
      <right style="thin">
        <color indexed="8"/>
      </right>
      <top/>
      <bottom/>
      <diagonal/>
    </border>
    <border>
      <left style="thin">
        <color indexed="8"/>
      </left>
      <right style="thin">
        <color indexed="8"/>
      </right>
      <top style="thin">
        <color indexed="8"/>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top style="medium">
        <color indexed="64"/>
      </top>
      <bottom/>
      <diagonal/>
    </border>
    <border>
      <left/>
      <right/>
      <top/>
      <bottom style="thin">
        <color theme="0"/>
      </bottom>
      <diagonal/>
    </border>
    <border>
      <left style="thin">
        <color theme="0"/>
      </left>
      <right style="thin">
        <color theme="0"/>
      </right>
      <top/>
      <bottom/>
      <diagonal/>
    </border>
    <border>
      <left/>
      <right/>
      <top style="thin">
        <color theme="0"/>
      </top>
      <bottom style="thin">
        <color theme="0"/>
      </bottom>
      <diagonal/>
    </border>
    <border>
      <left style="thin">
        <color theme="0"/>
      </left>
      <right style="thin">
        <color theme="0"/>
      </right>
      <top style="thin">
        <color theme="0"/>
      </top>
      <bottom/>
      <diagonal/>
    </border>
    <border>
      <left style="thin">
        <color theme="0"/>
      </left>
      <right/>
      <top/>
      <bottom/>
      <diagonal/>
    </border>
    <border>
      <left style="medium">
        <color indexed="64"/>
      </left>
      <right style="thin">
        <color theme="0"/>
      </right>
      <top style="thin">
        <color theme="0"/>
      </top>
      <bottom/>
      <diagonal/>
    </border>
    <border>
      <left/>
      <right style="thin">
        <color theme="0"/>
      </right>
      <top/>
      <bottom/>
      <diagonal/>
    </border>
    <border>
      <left style="thin">
        <color theme="4"/>
      </left>
      <right/>
      <top style="thin">
        <color theme="4"/>
      </top>
      <bottom style="thin">
        <color theme="4"/>
      </bottom>
      <diagonal/>
    </border>
    <border>
      <left/>
      <right/>
      <top style="thin">
        <color indexed="64"/>
      </top>
      <bottom/>
      <diagonal/>
    </border>
    <border>
      <left style="thin">
        <color theme="4"/>
      </left>
      <right style="thin">
        <color theme="4"/>
      </right>
      <top style="thin">
        <color theme="4"/>
      </top>
      <bottom style="thin">
        <color theme="4"/>
      </bottom>
      <diagonal/>
    </border>
    <border>
      <left/>
      <right/>
      <top style="thin">
        <color theme="4"/>
      </top>
      <bottom style="thin">
        <color indexed="64"/>
      </bottom>
      <diagonal/>
    </border>
    <border>
      <left style="thin">
        <color theme="4"/>
      </left>
      <right style="thin">
        <color indexed="64"/>
      </right>
      <top/>
      <bottom style="thin">
        <color indexed="64"/>
      </bottom>
      <diagonal/>
    </border>
    <border>
      <left/>
      <right style="thin">
        <color theme="4"/>
      </right>
      <top style="thin">
        <color indexed="64"/>
      </top>
      <bottom style="thin">
        <color indexed="64"/>
      </bottom>
      <diagonal/>
    </border>
    <border>
      <left style="thin">
        <color theme="4"/>
      </left>
      <right style="thin">
        <color indexed="64"/>
      </right>
      <top style="thin">
        <color indexed="64"/>
      </top>
      <bottom style="thin">
        <color indexed="64"/>
      </bottom>
      <diagonal/>
    </border>
    <border>
      <left style="thin">
        <color theme="4"/>
      </left>
      <right style="thin">
        <color indexed="64"/>
      </right>
      <top style="thin">
        <color indexed="64"/>
      </top>
      <bottom/>
      <diagonal/>
    </border>
    <border>
      <left/>
      <right style="thin">
        <color theme="4"/>
      </right>
      <top style="thin">
        <color indexed="64"/>
      </top>
      <bottom/>
      <diagonal/>
    </border>
    <border>
      <left/>
      <right style="thin">
        <color theme="4"/>
      </right>
      <top style="thin">
        <color theme="4"/>
      </top>
      <bottom style="thin">
        <color theme="4"/>
      </bottom>
      <diagonal/>
    </border>
    <border>
      <left/>
      <right style="thin">
        <color theme="4"/>
      </right>
      <top/>
      <bottom/>
      <diagonal/>
    </border>
    <border>
      <left style="thin">
        <color theme="4"/>
      </left>
      <right/>
      <top/>
      <bottom/>
      <diagonal/>
    </border>
    <border>
      <left/>
      <right/>
      <top style="thin">
        <color indexed="64"/>
      </top>
      <bottom style="thin">
        <color theme="4"/>
      </bottom>
      <diagonal/>
    </border>
    <border>
      <left style="thin">
        <color theme="4"/>
      </left>
      <right style="thin">
        <color theme="4"/>
      </right>
      <top/>
      <bottom style="thin">
        <color theme="4"/>
      </bottom>
      <diagonal/>
    </border>
    <border>
      <left/>
      <right/>
      <top style="thin">
        <color theme="4"/>
      </top>
      <bottom style="thin">
        <color theme="4"/>
      </bottom>
      <diagonal/>
    </border>
    <border>
      <left/>
      <right style="thin">
        <color theme="4"/>
      </right>
      <top/>
      <bottom style="thin">
        <color indexed="64"/>
      </bottom>
      <diagonal/>
    </border>
    <border>
      <left/>
      <right/>
      <top/>
      <bottom style="thin">
        <color theme="4"/>
      </bottom>
      <diagonal/>
    </border>
    <border>
      <left/>
      <right style="thin">
        <color theme="4"/>
      </right>
      <top/>
      <bottom style="thin">
        <color theme="4"/>
      </bottom>
      <diagonal/>
    </border>
    <border>
      <left style="thin">
        <color theme="4"/>
      </left>
      <right/>
      <top/>
      <bottom style="thin">
        <color theme="4"/>
      </bottom>
      <diagonal/>
    </border>
    <border>
      <left style="thin">
        <color indexed="64"/>
      </left>
      <right style="thin">
        <color indexed="64"/>
      </right>
      <top style="thin">
        <color theme="4"/>
      </top>
      <bottom style="thin">
        <color theme="4"/>
      </bottom>
      <diagonal/>
    </border>
    <border>
      <left style="thin">
        <color indexed="64"/>
      </left>
      <right/>
      <top style="thin">
        <color theme="4"/>
      </top>
      <bottom/>
      <diagonal/>
    </border>
    <border>
      <left style="thin">
        <color indexed="64"/>
      </left>
      <right style="thin">
        <color indexed="64"/>
      </right>
      <top style="thin">
        <color theme="4"/>
      </top>
      <bottom/>
      <diagonal/>
    </border>
    <border>
      <left/>
      <right/>
      <top style="thin">
        <color theme="4"/>
      </top>
      <bottom/>
      <diagonal/>
    </border>
    <border>
      <left style="thin">
        <color theme="4"/>
      </left>
      <right style="thin">
        <color theme="0"/>
      </right>
      <top/>
      <bottom/>
      <diagonal/>
    </border>
    <border>
      <left style="thin">
        <color theme="0"/>
      </left>
      <right/>
      <top style="thin">
        <color theme="4"/>
      </top>
      <bottom style="thin">
        <color theme="0"/>
      </bottom>
      <diagonal/>
    </border>
    <border>
      <left/>
      <right/>
      <top style="thin">
        <color theme="4"/>
      </top>
      <bottom style="thin">
        <color theme="0"/>
      </bottom>
      <diagonal/>
    </border>
    <border>
      <left/>
      <right/>
      <top style="thin">
        <color theme="0"/>
      </top>
      <bottom/>
      <diagonal/>
    </border>
    <border>
      <left style="thin">
        <color theme="0"/>
      </left>
      <right/>
      <top style="thin">
        <color theme="0"/>
      </top>
      <bottom/>
      <diagonal/>
    </border>
    <border>
      <left style="thin">
        <color theme="0"/>
      </left>
      <right style="thin">
        <color theme="0"/>
      </right>
      <top style="thin">
        <color theme="0"/>
      </top>
      <bottom style="thin">
        <color theme="0"/>
      </bottom>
      <diagonal/>
    </border>
    <border>
      <left style="thin">
        <color theme="4"/>
      </left>
      <right/>
      <top style="thin">
        <color theme="4"/>
      </top>
      <bottom/>
      <diagonal/>
    </border>
    <border>
      <left/>
      <right style="thin">
        <color theme="4"/>
      </right>
      <top style="thin">
        <color theme="4"/>
      </top>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bottom style="thin">
        <color theme="4"/>
      </bottom>
      <diagonal/>
    </border>
    <border>
      <left style="thin">
        <color theme="4"/>
      </left>
      <right/>
      <top style="thin">
        <color theme="4"/>
      </top>
      <bottom style="thin">
        <color theme="3" tint="0.39997558519241921"/>
      </bottom>
      <diagonal/>
    </border>
    <border>
      <left/>
      <right/>
      <top style="thin">
        <color theme="4"/>
      </top>
      <bottom style="thin">
        <color theme="3" tint="0.39997558519241921"/>
      </bottom>
      <diagonal/>
    </border>
    <border>
      <left style="thin">
        <color theme="3" tint="0.39997558519241921"/>
      </left>
      <right style="thin">
        <color theme="4"/>
      </right>
      <top style="thin">
        <color theme="4"/>
      </top>
      <bottom style="thin">
        <color theme="4"/>
      </bottom>
      <diagonal/>
    </border>
    <border>
      <left style="thin">
        <color indexed="8"/>
      </left>
      <right style="thin">
        <color indexed="8"/>
      </right>
      <top/>
      <bottom style="thin">
        <color indexed="64"/>
      </bottom>
      <diagonal/>
    </border>
    <border>
      <left style="thin">
        <color indexed="8"/>
      </left>
      <right/>
      <top style="thin">
        <color indexed="64"/>
      </top>
      <bottom/>
      <diagonal/>
    </border>
    <border>
      <left/>
      <right style="thin">
        <color indexed="8"/>
      </right>
      <top style="thin">
        <color indexed="64"/>
      </top>
      <bottom/>
      <diagonal/>
    </border>
    <border>
      <left style="thin">
        <color indexed="8"/>
      </left>
      <right style="thin">
        <color indexed="8"/>
      </right>
      <top style="thin">
        <color theme="1"/>
      </top>
      <bottom/>
      <diagonal/>
    </border>
    <border>
      <left style="medium">
        <color indexed="64"/>
      </left>
      <right/>
      <top style="medium">
        <color indexed="64"/>
      </top>
      <bottom style="thin">
        <color theme="1"/>
      </bottom>
      <diagonal/>
    </border>
    <border>
      <left/>
      <right/>
      <top style="medium">
        <color indexed="64"/>
      </top>
      <bottom style="thin">
        <color theme="1"/>
      </bottom>
      <diagonal/>
    </border>
    <border>
      <left/>
      <right style="medium">
        <color indexed="64"/>
      </right>
      <top style="medium">
        <color indexed="64"/>
      </top>
      <bottom style="thin">
        <color theme="1"/>
      </bottom>
      <diagonal/>
    </border>
    <border>
      <left style="thin">
        <color theme="1"/>
      </left>
      <right style="thin">
        <color theme="0"/>
      </right>
      <top style="thin">
        <color theme="1"/>
      </top>
      <bottom style="thin">
        <color theme="1"/>
      </bottom>
      <diagonal/>
    </border>
    <border>
      <left style="thin">
        <color theme="1"/>
      </left>
      <right/>
      <top/>
      <bottom/>
      <diagonal/>
    </border>
    <border>
      <left style="thin">
        <color theme="0"/>
      </left>
      <right/>
      <top style="thin">
        <color theme="1"/>
      </top>
      <bottom style="thin">
        <color theme="1"/>
      </bottom>
      <diagonal/>
    </border>
    <border>
      <left style="thin">
        <color theme="3" tint="0.39997558519241921"/>
      </left>
      <right style="thin">
        <color theme="3" tint="0.39997558519241921"/>
      </right>
      <top style="thin">
        <color theme="3" tint="0.39997558519241921"/>
      </top>
      <bottom style="thin">
        <color theme="3" tint="0.39997558519241921"/>
      </bottom>
      <diagonal/>
    </border>
    <border>
      <left/>
      <right/>
      <top/>
      <bottom style="thin">
        <color theme="3" tint="0.39997558519241921"/>
      </bottom>
      <diagonal/>
    </border>
    <border>
      <left style="thin">
        <color indexed="64"/>
      </left>
      <right style="thin">
        <color theme="0"/>
      </right>
      <top style="thin">
        <color indexed="64"/>
      </top>
      <bottom/>
      <diagonal/>
    </border>
    <border>
      <left/>
      <right style="thin">
        <color theme="0"/>
      </right>
      <top style="thin">
        <color indexed="64"/>
      </top>
      <bottom/>
      <diagonal/>
    </border>
    <border>
      <left style="thin">
        <color theme="3" tint="0.39997558519241921"/>
      </left>
      <right/>
      <top/>
      <bottom style="thin">
        <color theme="3" tint="0.39997558519241921"/>
      </bottom>
      <diagonal/>
    </border>
    <border>
      <left style="thin">
        <color theme="3" tint="0.39997558519241921"/>
      </left>
      <right/>
      <top/>
      <bottom/>
      <diagonal/>
    </border>
    <border>
      <left/>
      <right style="thin">
        <color theme="3" tint="0.39997558519241921"/>
      </right>
      <top/>
      <bottom/>
      <diagonal/>
    </border>
    <border>
      <left/>
      <right style="thin">
        <color theme="3" tint="0.39997558519241921"/>
      </right>
      <top/>
      <bottom style="thin">
        <color theme="3" tint="0.39997558519241921"/>
      </bottom>
      <diagonal/>
    </border>
    <border>
      <left style="thin">
        <color indexed="8"/>
      </left>
      <right style="thin">
        <color indexed="8"/>
      </right>
      <top style="thin">
        <color indexed="64"/>
      </top>
      <bottom/>
      <diagonal/>
    </border>
    <border>
      <left style="thin">
        <color indexed="8"/>
      </left>
      <right/>
      <top/>
      <bottom style="thin">
        <color indexed="64"/>
      </bottom>
      <diagonal/>
    </border>
    <border>
      <left style="thin">
        <color indexed="64"/>
      </left>
      <right/>
      <top style="thin">
        <color theme="1"/>
      </top>
      <bottom style="thin">
        <color indexed="64"/>
      </bottom>
      <diagonal/>
    </border>
    <border>
      <left/>
      <right style="thin">
        <color indexed="64"/>
      </right>
      <top style="thin">
        <color theme="1"/>
      </top>
      <bottom style="thin">
        <color indexed="64"/>
      </bottom>
      <diagonal/>
    </border>
    <border>
      <left style="thin">
        <color theme="1"/>
      </left>
      <right/>
      <top style="thin">
        <color theme="1"/>
      </top>
      <bottom style="thin">
        <color theme="1"/>
      </bottom>
      <diagonal/>
    </border>
    <border>
      <left/>
      <right style="thin">
        <color theme="1"/>
      </right>
      <top style="thin">
        <color theme="1"/>
      </top>
      <bottom style="thin">
        <color theme="1"/>
      </bottom>
      <diagonal/>
    </border>
    <border>
      <left/>
      <right/>
      <top/>
      <bottom style="thin">
        <color theme="1"/>
      </bottom>
      <diagonal/>
    </border>
    <border>
      <left style="medium">
        <color indexed="8"/>
      </left>
      <right style="thin">
        <color indexed="8"/>
      </right>
      <top style="thin">
        <color indexed="64"/>
      </top>
      <bottom/>
      <diagonal/>
    </border>
    <border>
      <left style="medium">
        <color indexed="8"/>
      </left>
      <right style="thin">
        <color indexed="8"/>
      </right>
      <top/>
      <bottom style="thin">
        <color indexed="64"/>
      </bottom>
      <diagonal/>
    </border>
    <border>
      <left style="thin">
        <color indexed="8"/>
      </left>
      <right style="thin">
        <color indexed="64"/>
      </right>
      <top style="thin">
        <color indexed="64"/>
      </top>
      <bottom/>
      <diagonal/>
    </border>
    <border>
      <left style="thin">
        <color indexed="8"/>
      </left>
      <right style="thin">
        <color indexed="64"/>
      </right>
      <top/>
      <bottom/>
      <diagonal/>
    </border>
    <border>
      <left style="thin">
        <color indexed="8"/>
      </left>
      <right style="thin">
        <color indexed="64"/>
      </right>
      <top/>
      <bottom style="thin">
        <color indexed="64"/>
      </bottom>
      <diagonal/>
    </border>
    <border>
      <left style="thin">
        <color indexed="64"/>
      </left>
      <right style="thin">
        <color theme="3" tint="0.39997558519241921"/>
      </right>
      <top style="thin">
        <color indexed="64"/>
      </top>
      <bottom style="thin">
        <color theme="3" tint="0.39997558519241921"/>
      </bottom>
      <diagonal/>
    </border>
    <border>
      <left style="thin">
        <color theme="3" tint="0.39997558519241921"/>
      </left>
      <right style="thin">
        <color theme="3" tint="0.39997558519241921"/>
      </right>
      <top style="thin">
        <color indexed="64"/>
      </top>
      <bottom style="thin">
        <color theme="3" tint="0.39997558519241921"/>
      </bottom>
      <diagonal/>
    </border>
    <border>
      <left style="thin">
        <color theme="3" tint="0.39997558519241921"/>
      </left>
      <right style="thin">
        <color indexed="64"/>
      </right>
      <top style="thin">
        <color indexed="64"/>
      </top>
      <bottom style="thin">
        <color theme="3" tint="0.39997558519241921"/>
      </bottom>
      <diagonal/>
    </border>
    <border>
      <left style="thin">
        <color indexed="64"/>
      </left>
      <right style="thin">
        <color theme="3" tint="0.39997558519241921"/>
      </right>
      <top style="thin">
        <color theme="3" tint="0.39997558519241921"/>
      </top>
      <bottom style="thin">
        <color theme="3" tint="0.39997558519241921"/>
      </bottom>
      <diagonal/>
    </border>
    <border>
      <left style="thin">
        <color theme="3" tint="0.39997558519241921"/>
      </left>
      <right style="thin">
        <color indexed="64"/>
      </right>
      <top style="thin">
        <color theme="3" tint="0.39997558519241921"/>
      </top>
      <bottom style="thin">
        <color theme="3" tint="0.39997558519241921"/>
      </bottom>
      <diagonal/>
    </border>
    <border>
      <left style="thin">
        <color indexed="64"/>
      </left>
      <right style="thin">
        <color theme="3" tint="0.39997558519241921"/>
      </right>
      <top style="thin">
        <color theme="3" tint="0.39997558519241921"/>
      </top>
      <bottom style="thin">
        <color indexed="64"/>
      </bottom>
      <diagonal/>
    </border>
    <border>
      <left style="thin">
        <color theme="3" tint="0.39997558519241921"/>
      </left>
      <right/>
      <top style="thin">
        <color theme="3" tint="0.39997558519241921"/>
      </top>
      <bottom style="thin">
        <color indexed="64"/>
      </bottom>
      <diagonal/>
    </border>
    <border>
      <left style="thin">
        <color theme="3" tint="0.39997558519241921"/>
      </left>
      <right style="thin">
        <color theme="3" tint="0.39997558519241921"/>
      </right>
      <top style="thin">
        <color theme="3" tint="0.39997558519241921"/>
      </top>
      <bottom style="thin">
        <color indexed="64"/>
      </bottom>
      <diagonal/>
    </border>
    <border>
      <left/>
      <right style="thin">
        <color indexed="64"/>
      </right>
      <top style="thin">
        <color theme="3" tint="0.39997558519241921"/>
      </top>
      <bottom style="thin">
        <color indexed="64"/>
      </bottom>
      <diagonal/>
    </border>
    <border>
      <left style="thin">
        <color theme="3" tint="0.39997558519241921"/>
      </left>
      <right style="thin">
        <color indexed="64"/>
      </right>
      <top style="thin">
        <color theme="3" tint="0.39997558519241921"/>
      </top>
      <bottom style="thin">
        <color indexed="64"/>
      </bottom>
      <diagonal/>
    </border>
  </borders>
  <cellStyleXfs count="4">
    <xf numFmtId="0" fontId="0" fillId="0" borderId="0"/>
    <xf numFmtId="0" fontId="7" fillId="0" borderId="0"/>
    <xf numFmtId="9" fontId="7" fillId="0" borderId="0" applyFont="0" applyFill="0" applyBorder="0" applyAlignment="0" applyProtection="0"/>
    <xf numFmtId="165" fontId="7" fillId="0" borderId="0" applyFont="0" applyFill="0" applyBorder="0" applyAlignment="0" applyProtection="0"/>
  </cellStyleXfs>
  <cellXfs count="422">
    <xf numFmtId="0" fontId="0" fillId="0" borderId="0" xfId="0"/>
    <xf numFmtId="0" fontId="2" fillId="0" borderId="3" xfId="0" applyFont="1" applyBorder="1" applyAlignment="1">
      <alignment horizontal="justify" vertical="center" wrapText="1"/>
    </xf>
    <xf numFmtId="0" fontId="2" fillId="0" borderId="6" xfId="0" applyFont="1" applyBorder="1" applyAlignment="1">
      <alignment horizontal="center" vertical="center" wrapText="1"/>
    </xf>
    <xf numFmtId="0" fontId="2" fillId="0" borderId="4" xfId="0" applyFont="1" applyBorder="1" applyAlignment="1">
      <alignment horizontal="center" vertical="center" wrapText="1"/>
    </xf>
    <xf numFmtId="0" fontId="4" fillId="0" borderId="3" xfId="0" applyFont="1" applyBorder="1" applyAlignment="1">
      <alignment horizontal="center" vertical="center" wrapText="1"/>
    </xf>
    <xf numFmtId="0" fontId="6" fillId="0" borderId="0" xfId="0" applyFont="1" applyAlignment="1">
      <alignment vertical="center"/>
    </xf>
    <xf numFmtId="0" fontId="0" fillId="0" borderId="0" xfId="0"/>
    <xf numFmtId="0" fontId="0" fillId="0" borderId="0" xfId="0"/>
    <xf numFmtId="0" fontId="0" fillId="0" borderId="0" xfId="0"/>
    <xf numFmtId="0" fontId="9" fillId="0" borderId="0" xfId="0" applyFont="1" applyAlignment="1" applyProtection="1">
      <alignment horizontal="left" wrapText="1"/>
      <protection hidden="1"/>
    </xf>
    <xf numFmtId="0" fontId="0" fillId="0" borderId="0" xfId="0"/>
    <xf numFmtId="0" fontId="9" fillId="0" borderId="0" xfId="0" applyFont="1" applyAlignment="1" applyProtection="1">
      <alignment wrapText="1"/>
      <protection hidden="1"/>
    </xf>
    <xf numFmtId="0" fontId="1" fillId="2" borderId="0" xfId="0" applyFont="1" applyFill="1"/>
    <xf numFmtId="0" fontId="0" fillId="2" borderId="0" xfId="0" applyFill="1"/>
    <xf numFmtId="0" fontId="1" fillId="2" borderId="0" xfId="0" applyFont="1" applyFill="1" applyBorder="1"/>
    <xf numFmtId="0" fontId="0" fillId="2" borderId="0" xfId="0" applyFill="1" applyBorder="1"/>
    <xf numFmtId="0" fontId="1" fillId="2" borderId="0" xfId="0" applyFont="1" applyFill="1" applyBorder="1" applyAlignment="1">
      <alignment wrapText="1"/>
    </xf>
    <xf numFmtId="0" fontId="8" fillId="2" borderId="0" xfId="1" applyFont="1" applyFill="1" applyBorder="1" applyAlignment="1" applyProtection="1">
      <alignment horizontal="left"/>
      <protection locked="0" hidden="1"/>
    </xf>
    <xf numFmtId="0" fontId="9" fillId="2" borderId="0" xfId="0" applyFont="1" applyFill="1" applyAlignment="1" applyProtection="1">
      <alignment wrapText="1"/>
      <protection hidden="1"/>
    </xf>
    <xf numFmtId="0" fontId="9" fillId="2" borderId="0" xfId="0" applyFont="1" applyFill="1" applyAlignment="1" applyProtection="1">
      <alignment horizontal="left" wrapText="1"/>
      <protection hidden="1"/>
    </xf>
    <xf numFmtId="0" fontId="2" fillId="0" borderId="3" xfId="0" applyFont="1" applyBorder="1" applyAlignment="1">
      <alignment horizontal="justify" vertical="center" wrapText="1"/>
    </xf>
    <xf numFmtId="0" fontId="2" fillId="0" borderId="3" xfId="0" applyFont="1" applyBorder="1" applyAlignment="1">
      <alignment vertical="center" wrapText="1"/>
    </xf>
    <xf numFmtId="0" fontId="0" fillId="0" borderId="0" xfId="0" applyFill="1"/>
    <xf numFmtId="1" fontId="0" fillId="0" borderId="0" xfId="0" applyNumberFormat="1" applyFill="1" applyBorder="1" applyAlignment="1">
      <alignment horizontal="center"/>
    </xf>
    <xf numFmtId="1" fontId="0" fillId="0" borderId="0" xfId="0" applyNumberFormat="1" applyFill="1"/>
    <xf numFmtId="10" fontId="11" fillId="2" borderId="0" xfId="0" applyNumberFormat="1" applyFont="1" applyFill="1" applyBorder="1"/>
    <xf numFmtId="0" fontId="9" fillId="0" borderId="0" xfId="0" applyFont="1" applyFill="1" applyAlignment="1" applyProtection="1">
      <alignment horizontal="left" wrapText="1"/>
      <protection hidden="1"/>
    </xf>
    <xf numFmtId="0" fontId="9" fillId="0" borderId="0" xfId="0" applyFont="1" applyFill="1" applyBorder="1" applyAlignment="1" applyProtection="1">
      <alignment horizontal="center" wrapText="1"/>
      <protection hidden="1"/>
    </xf>
    <xf numFmtId="14" fontId="0" fillId="0" borderId="0" xfId="0" applyNumberFormat="1" applyFill="1" applyBorder="1" applyAlignment="1">
      <alignment horizontal="center"/>
    </xf>
    <xf numFmtId="4" fontId="0" fillId="0" borderId="0" xfId="0" applyNumberFormat="1" applyFill="1" applyBorder="1" applyAlignment="1">
      <alignment horizontal="center"/>
    </xf>
    <xf numFmtId="10" fontId="9" fillId="0" borderId="0" xfId="0" applyNumberFormat="1" applyFont="1" applyFill="1" applyBorder="1" applyAlignment="1" applyProtection="1">
      <alignment horizontal="center" wrapText="1"/>
      <protection hidden="1"/>
    </xf>
    <xf numFmtId="4" fontId="9" fillId="0" borderId="0" xfId="0" applyNumberFormat="1" applyFont="1" applyFill="1" applyBorder="1" applyAlignment="1" applyProtection="1">
      <alignment horizontal="center" wrapText="1"/>
      <protection hidden="1"/>
    </xf>
    <xf numFmtId="0" fontId="0" fillId="0" borderId="0" xfId="0" applyFill="1" applyBorder="1" applyAlignment="1">
      <alignment horizontal="center"/>
    </xf>
    <xf numFmtId="10" fontId="0" fillId="0" borderId="0" xfId="0" applyNumberFormat="1" applyFill="1" applyBorder="1" applyAlignment="1">
      <alignment horizontal="center"/>
    </xf>
    <xf numFmtId="0" fontId="13" fillId="0" borderId="0" xfId="0" applyFont="1"/>
    <xf numFmtId="0" fontId="8" fillId="0" borderId="0" xfId="1" applyFont="1" applyAlignment="1" applyProtection="1">
      <alignment vertical="center"/>
      <protection hidden="1"/>
    </xf>
    <xf numFmtId="0" fontId="15" fillId="0" borderId="0" xfId="1" applyFont="1" applyFill="1" applyBorder="1" applyAlignment="1" applyProtection="1">
      <protection locked="0" hidden="1"/>
    </xf>
    <xf numFmtId="14" fontId="16" fillId="0" borderId="0" xfId="1" applyNumberFormat="1" applyFont="1" applyProtection="1">
      <protection hidden="1"/>
    </xf>
    <xf numFmtId="0" fontId="16" fillId="0" borderId="0" xfId="1" applyFont="1" applyFill="1" applyBorder="1" applyAlignment="1" applyProtection="1">
      <alignment horizontal="right"/>
      <protection hidden="1"/>
    </xf>
    <xf numFmtId="0" fontId="8" fillId="0" borderId="0" xfId="1" applyFont="1" applyFill="1" applyBorder="1" applyAlignment="1" applyProtection="1">
      <alignment vertical="center" wrapText="1"/>
      <protection locked="0" hidden="1"/>
    </xf>
    <xf numFmtId="14" fontId="17" fillId="0" borderId="0" xfId="1" applyNumberFormat="1" applyFont="1" applyFill="1" applyBorder="1" applyProtection="1">
      <protection hidden="1"/>
    </xf>
    <xf numFmtId="0" fontId="8" fillId="2" borderId="0" xfId="1" applyFont="1" applyFill="1" applyAlignment="1" applyProtection="1">
      <alignment horizontal="left"/>
      <protection hidden="1"/>
    </xf>
    <xf numFmtId="0" fontId="18" fillId="2" borderId="0" xfId="1" applyFont="1" applyFill="1" applyAlignment="1" applyProtection="1">
      <alignment horizontal="left" vertical="center"/>
      <protection hidden="1"/>
    </xf>
    <xf numFmtId="0" fontId="16" fillId="0" borderId="0" xfId="1" applyFont="1" applyProtection="1">
      <protection hidden="1"/>
    </xf>
    <xf numFmtId="0" fontId="17" fillId="0" borderId="0" xfId="1" applyFont="1" applyFill="1" applyBorder="1" applyProtection="1">
      <protection hidden="1"/>
    </xf>
    <xf numFmtId="0" fontId="17" fillId="0" borderId="0" xfId="1" applyFont="1" applyProtection="1">
      <protection hidden="1"/>
    </xf>
    <xf numFmtId="0" fontId="8" fillId="0" borderId="0" xfId="1" applyFont="1" applyFill="1" applyBorder="1" applyAlignment="1" applyProtection="1">
      <alignment horizontal="left" vertical="center" wrapText="1"/>
      <protection locked="0" hidden="1"/>
    </xf>
    <xf numFmtId="0" fontId="8" fillId="0" borderId="0" xfId="1" applyFont="1" applyFill="1" applyBorder="1" applyAlignment="1" applyProtection="1">
      <alignment horizontal="left" vertical="center"/>
      <protection locked="0" hidden="1"/>
    </xf>
    <xf numFmtId="0" fontId="16" fillId="0" borderId="0" xfId="1" applyFont="1" applyFill="1" applyBorder="1" applyAlignment="1" applyProtection="1">
      <alignment vertical="center"/>
      <protection locked="0" hidden="1"/>
    </xf>
    <xf numFmtId="167" fontId="8" fillId="0" borderId="0" xfId="1" applyNumberFormat="1" applyFont="1" applyProtection="1">
      <protection hidden="1"/>
    </xf>
    <xf numFmtId="0" fontId="20" fillId="2" borderId="11" xfId="1" applyFont="1" applyFill="1" applyBorder="1" applyAlignment="1" applyProtection="1">
      <alignment horizontal="center" vertical="center" wrapText="1"/>
      <protection hidden="1"/>
    </xf>
    <xf numFmtId="0" fontId="20" fillId="2" borderId="11" xfId="1" applyFont="1" applyFill="1" applyBorder="1" applyAlignment="1" applyProtection="1">
      <alignment horizontal="center" vertical="center"/>
      <protection hidden="1"/>
    </xf>
    <xf numFmtId="0" fontId="15" fillId="0" borderId="0" xfId="1" applyFont="1" applyFill="1" applyBorder="1" applyAlignment="1" applyProtection="1">
      <alignment horizontal="right"/>
      <protection hidden="1"/>
    </xf>
    <xf numFmtId="0" fontId="8" fillId="0" borderId="0" xfId="1" applyFont="1" applyProtection="1">
      <protection hidden="1"/>
    </xf>
    <xf numFmtId="0" fontId="8" fillId="0" borderId="0" xfId="1" applyFont="1" applyFill="1" applyBorder="1" applyProtection="1">
      <protection hidden="1"/>
    </xf>
    <xf numFmtId="0" fontId="21" fillId="0" borderId="0" xfId="1" applyFont="1" applyProtection="1">
      <protection hidden="1"/>
    </xf>
    <xf numFmtId="0" fontId="15" fillId="0" borderId="0" xfId="1" applyFont="1" applyProtection="1">
      <protection hidden="1"/>
    </xf>
    <xf numFmtId="0" fontId="22" fillId="0" borderId="0" xfId="0" applyFont="1" applyAlignment="1" applyProtection="1">
      <alignment horizontal="left" wrapText="1"/>
      <protection hidden="1"/>
    </xf>
    <xf numFmtId="0" fontId="19" fillId="0" borderId="0" xfId="1" applyFont="1" applyAlignment="1" applyProtection="1">
      <alignment horizontal="right"/>
      <protection hidden="1"/>
    </xf>
    <xf numFmtId="0" fontId="19" fillId="0" borderId="0" xfId="1" applyFont="1" applyBorder="1" applyAlignment="1" applyProtection="1">
      <alignment horizontal="right"/>
      <protection hidden="1"/>
    </xf>
    <xf numFmtId="0" fontId="8" fillId="0" borderId="17" xfId="1" applyFont="1" applyBorder="1" applyAlignment="1" applyProtection="1">
      <alignment horizontal="center" wrapText="1"/>
      <protection hidden="1"/>
    </xf>
    <xf numFmtId="0" fontId="8" fillId="0" borderId="15" xfId="1" applyFont="1" applyBorder="1" applyAlignment="1" applyProtection="1">
      <alignment horizontal="center" wrapText="1"/>
      <protection hidden="1"/>
    </xf>
    <xf numFmtId="0" fontId="15" fillId="0" borderId="15" xfId="1" applyFont="1" applyBorder="1" applyAlignment="1" applyProtection="1">
      <alignment horizontal="center" wrapText="1"/>
      <protection hidden="1"/>
    </xf>
    <xf numFmtId="0" fontId="25" fillId="2" borderId="11" xfId="1" applyFont="1" applyFill="1" applyBorder="1" applyProtection="1">
      <protection hidden="1"/>
    </xf>
    <xf numFmtId="14" fontId="26" fillId="2" borderId="11" xfId="1" applyNumberFormat="1" applyFont="1" applyFill="1" applyBorder="1" applyAlignment="1" applyProtection="1">
      <alignment horizontal="center"/>
      <protection hidden="1"/>
    </xf>
    <xf numFmtId="0" fontId="26" fillId="2" borderId="11" xfId="1" applyNumberFormat="1" applyFont="1" applyFill="1" applyBorder="1" applyAlignment="1" applyProtection="1">
      <alignment horizontal="center"/>
      <protection hidden="1"/>
    </xf>
    <xf numFmtId="166" fontId="25" fillId="2" borderId="11" xfId="1" applyNumberFormat="1" applyFont="1" applyFill="1" applyBorder="1" applyAlignment="1" applyProtection="1">
      <alignment horizontal="center" vertical="center"/>
      <protection hidden="1"/>
    </xf>
    <xf numFmtId="166" fontId="25" fillId="2" borderId="11" xfId="1" applyNumberFormat="1" applyFont="1" applyFill="1" applyBorder="1" applyAlignment="1" applyProtection="1">
      <alignment horizontal="center" vertical="center" wrapText="1"/>
      <protection hidden="1"/>
    </xf>
    <xf numFmtId="14" fontId="0" fillId="0" borderId="11" xfId="0" applyNumberFormat="1" applyFill="1" applyBorder="1" applyAlignment="1">
      <alignment horizontal="center"/>
    </xf>
    <xf numFmtId="166" fontId="27" fillId="2" borderId="11" xfId="1" applyNumberFormat="1" applyFont="1" applyFill="1" applyBorder="1" applyAlignment="1" applyProtection="1">
      <alignment horizontal="center" vertical="center" wrapText="1"/>
      <protection hidden="1"/>
    </xf>
    <xf numFmtId="10" fontId="27" fillId="2" borderId="11" xfId="1" applyNumberFormat="1" applyFont="1" applyFill="1" applyBorder="1" applyAlignment="1" applyProtection="1">
      <alignment horizontal="center" vertical="center" wrapText="1"/>
      <protection hidden="1"/>
    </xf>
    <xf numFmtId="4" fontId="11" fillId="0" borderId="0" xfId="0" applyNumberFormat="1" applyFont="1" applyFill="1" applyBorder="1" applyAlignment="1">
      <alignment horizontal="center"/>
    </xf>
    <xf numFmtId="168" fontId="0" fillId="0" borderId="0" xfId="0" applyNumberFormat="1" applyFill="1" applyBorder="1" applyAlignment="1">
      <alignment horizontal="center"/>
    </xf>
    <xf numFmtId="14" fontId="0" fillId="0" borderId="0" xfId="0" applyNumberFormat="1"/>
    <xf numFmtId="168" fontId="25" fillId="2" borderId="11" xfId="1" applyNumberFormat="1" applyFont="1" applyFill="1" applyBorder="1" applyAlignment="1" applyProtection="1">
      <alignment horizontal="center" vertical="center" wrapText="1"/>
      <protection hidden="1"/>
    </xf>
    <xf numFmtId="14" fontId="0" fillId="2" borderId="24" xfId="0" applyNumberFormat="1" applyFill="1" applyBorder="1"/>
    <xf numFmtId="4" fontId="0" fillId="0" borderId="0" xfId="0" applyNumberFormat="1" applyFill="1" applyBorder="1" applyProtection="1">
      <protection locked="0"/>
    </xf>
    <xf numFmtId="0" fontId="0" fillId="2" borderId="25" xfId="0" applyFill="1" applyBorder="1"/>
    <xf numFmtId="4" fontId="11" fillId="2" borderId="12" xfId="0" applyNumberFormat="1" applyFont="1" applyFill="1" applyBorder="1"/>
    <xf numFmtId="14" fontId="0" fillId="2" borderId="26" xfId="0" applyNumberFormat="1" applyFill="1" applyBorder="1"/>
    <xf numFmtId="0" fontId="11" fillId="2" borderId="0" xfId="0" applyFont="1" applyFill="1"/>
    <xf numFmtId="10" fontId="11" fillId="2" borderId="0" xfId="0" applyNumberFormat="1" applyFont="1" applyFill="1"/>
    <xf numFmtId="10" fontId="0" fillId="0" borderId="0" xfId="0" applyNumberFormat="1" applyFill="1" applyBorder="1" applyProtection="1">
      <protection locked="0"/>
    </xf>
    <xf numFmtId="4" fontId="0" fillId="0" borderId="0" xfId="0" applyNumberFormat="1" applyFill="1" applyBorder="1"/>
    <xf numFmtId="0" fontId="28" fillId="0" borderId="0" xfId="1" applyFont="1" applyFill="1" applyAlignment="1" applyProtection="1">
      <alignment vertical="center"/>
      <protection hidden="1"/>
    </xf>
    <xf numFmtId="0" fontId="9" fillId="2" borderId="28" xfId="0" applyFont="1" applyFill="1" applyBorder="1" applyAlignment="1" applyProtection="1">
      <alignment horizontal="left" wrapText="1"/>
      <protection hidden="1"/>
    </xf>
    <xf numFmtId="4" fontId="0" fillId="0" borderId="14" xfId="0" applyNumberFormat="1" applyFill="1" applyBorder="1" applyProtection="1">
      <protection locked="0"/>
    </xf>
    <xf numFmtId="0" fontId="9" fillId="2" borderId="30" xfId="0" applyFont="1" applyFill="1" applyBorder="1" applyAlignment="1" applyProtection="1">
      <alignment horizontal="left" wrapText="1"/>
      <protection hidden="1"/>
    </xf>
    <xf numFmtId="0" fontId="0" fillId="0" borderId="14" xfId="0" applyFont="1" applyFill="1" applyBorder="1" applyAlignment="1" applyProtection="1">
      <alignment horizontal="left" wrapText="1"/>
      <protection hidden="1"/>
    </xf>
    <xf numFmtId="0" fontId="0" fillId="2" borderId="28" xfId="0" applyFill="1" applyBorder="1"/>
    <xf numFmtId="0" fontId="12" fillId="2" borderId="24" xfId="0" applyFont="1" applyFill="1" applyBorder="1"/>
    <xf numFmtId="0" fontId="0" fillId="2" borderId="34" xfId="0" applyFill="1" applyBorder="1"/>
    <xf numFmtId="10" fontId="11" fillId="2" borderId="13" xfId="0" applyNumberFormat="1" applyFont="1" applyFill="1" applyBorder="1" applyProtection="1"/>
    <xf numFmtId="4" fontId="11" fillId="2" borderId="17" xfId="0" applyNumberFormat="1" applyFont="1" applyFill="1" applyBorder="1"/>
    <xf numFmtId="4" fontId="11" fillId="2" borderId="35" xfId="0" applyNumberFormat="1" applyFont="1" applyFill="1" applyBorder="1"/>
    <xf numFmtId="4" fontId="11" fillId="2" borderId="0" xfId="0" applyNumberFormat="1" applyFont="1" applyFill="1" applyBorder="1"/>
    <xf numFmtId="0" fontId="9" fillId="2" borderId="0" xfId="0" applyFont="1" applyFill="1" applyBorder="1" applyAlignment="1" applyProtection="1">
      <alignment horizontal="left" wrapText="1"/>
      <protection hidden="1"/>
    </xf>
    <xf numFmtId="0" fontId="0" fillId="2" borderId="38" xfId="0" applyFill="1" applyBorder="1"/>
    <xf numFmtId="4" fontId="0" fillId="2" borderId="40" xfId="0" applyNumberFormat="1" applyFill="1" applyBorder="1" applyProtection="1">
      <protection locked="0"/>
    </xf>
    <xf numFmtId="10" fontId="0" fillId="2" borderId="43" xfId="0" applyNumberFormat="1" applyFill="1" applyBorder="1" applyProtection="1"/>
    <xf numFmtId="4" fontId="0" fillId="2" borderId="44" xfId="0" applyNumberFormat="1" applyFill="1" applyBorder="1" applyProtection="1">
      <protection locked="0"/>
    </xf>
    <xf numFmtId="0" fontId="0" fillId="2" borderId="45" xfId="0" applyFill="1" applyBorder="1" applyProtection="1">
      <protection locked="0"/>
    </xf>
    <xf numFmtId="0" fontId="0" fillId="2" borderId="46" xfId="0" applyFill="1" applyBorder="1"/>
    <xf numFmtId="0" fontId="0" fillId="2" borderId="45" xfId="0" applyFill="1" applyBorder="1"/>
    <xf numFmtId="0" fontId="0" fillId="2" borderId="47" xfId="0" applyFill="1" applyBorder="1"/>
    <xf numFmtId="0" fontId="0" fillId="2" borderId="36" xfId="0" applyFill="1" applyBorder="1"/>
    <xf numFmtId="0" fontId="0" fillId="2" borderId="15" xfId="0" applyFill="1" applyBorder="1"/>
    <xf numFmtId="0" fontId="0" fillId="2" borderId="49" xfId="0" applyFill="1" applyBorder="1"/>
    <xf numFmtId="10" fontId="11" fillId="2" borderId="35" xfId="0" applyNumberFormat="1" applyFont="1" applyFill="1" applyBorder="1" applyProtection="1">
      <protection locked="0"/>
    </xf>
    <xf numFmtId="10" fontId="0" fillId="2" borderId="44" xfId="0" applyNumberFormat="1" applyFill="1" applyBorder="1" applyProtection="1">
      <protection locked="0"/>
    </xf>
    <xf numFmtId="0" fontId="0" fillId="2" borderId="51" xfId="0" applyFill="1" applyBorder="1"/>
    <xf numFmtId="10" fontId="0" fillId="2" borderId="52" xfId="0" applyNumberFormat="1" applyFill="1" applyBorder="1"/>
    <xf numFmtId="0" fontId="9" fillId="5" borderId="55" xfId="0" applyFont="1" applyFill="1" applyBorder="1" applyAlignment="1" applyProtection="1">
      <alignment horizontal="left" wrapText="1"/>
      <protection hidden="1"/>
    </xf>
    <xf numFmtId="4" fontId="0" fillId="2" borderId="56" xfId="0" applyNumberFormat="1" applyFill="1" applyBorder="1" applyProtection="1">
      <protection locked="0"/>
    </xf>
    <xf numFmtId="0" fontId="0" fillId="5" borderId="54" xfId="0" applyFont="1" applyFill="1" applyBorder="1" applyAlignment="1" applyProtection="1">
      <alignment horizontal="left" wrapText="1"/>
      <protection hidden="1"/>
    </xf>
    <xf numFmtId="0" fontId="0" fillId="2" borderId="46" xfId="0" applyFill="1" applyBorder="1" applyProtection="1">
      <protection locked="0"/>
    </xf>
    <xf numFmtId="14" fontId="11" fillId="2" borderId="35" xfId="0" applyNumberFormat="1" applyFont="1" applyFill="1" applyBorder="1"/>
    <xf numFmtId="4" fontId="0" fillId="2" borderId="50" xfId="0" applyNumberFormat="1" applyFill="1" applyBorder="1" applyProtection="1">
      <protection locked="0"/>
    </xf>
    <xf numFmtId="14" fontId="0" fillId="2" borderId="44" xfId="0" applyNumberFormat="1" applyFill="1" applyBorder="1" applyProtection="1">
      <protection locked="0"/>
    </xf>
    <xf numFmtId="0" fontId="10" fillId="5" borderId="33" xfId="0" applyFont="1" applyFill="1" applyBorder="1" applyAlignment="1" applyProtection="1">
      <alignment horizontal="center" vertical="center" wrapText="1"/>
      <protection hidden="1"/>
    </xf>
    <xf numFmtId="0" fontId="10" fillId="5" borderId="27" xfId="0" applyFont="1" applyFill="1" applyBorder="1" applyAlignment="1" applyProtection="1">
      <alignment horizontal="center" vertical="center" wrapText="1"/>
      <protection hidden="1"/>
    </xf>
    <xf numFmtId="0" fontId="10" fillId="5" borderId="31" xfId="0" applyFont="1" applyFill="1" applyBorder="1" applyAlignment="1" applyProtection="1">
      <alignment horizontal="center" vertical="center" wrapText="1"/>
      <protection hidden="1"/>
    </xf>
    <xf numFmtId="0" fontId="10" fillId="5" borderId="32" xfId="0" applyFont="1" applyFill="1" applyBorder="1" applyAlignment="1" applyProtection="1">
      <alignment horizontal="center" vertical="center" wrapText="1"/>
      <protection hidden="1"/>
    </xf>
    <xf numFmtId="0" fontId="10" fillId="5" borderId="29" xfId="0" applyFont="1" applyFill="1" applyBorder="1" applyAlignment="1" applyProtection="1">
      <alignment horizontal="center" vertical="center" wrapText="1"/>
      <protection hidden="1"/>
    </xf>
    <xf numFmtId="0" fontId="10" fillId="5" borderId="0" xfId="0" applyFont="1" applyFill="1" applyBorder="1" applyAlignment="1" applyProtection="1">
      <alignment horizontal="center" vertical="center" wrapText="1"/>
      <protection hidden="1"/>
    </xf>
    <xf numFmtId="0" fontId="0" fillId="0" borderId="53" xfId="0" applyFont="1" applyFill="1" applyBorder="1"/>
    <xf numFmtId="0" fontId="0" fillId="0" borderId="39" xfId="0" applyFont="1" applyFill="1" applyBorder="1"/>
    <xf numFmtId="0" fontId="0" fillId="0" borderId="41" xfId="0" applyFont="1" applyFill="1" applyBorder="1"/>
    <xf numFmtId="0" fontId="0" fillId="0" borderId="42" xfId="0" applyFont="1" applyFill="1" applyBorder="1"/>
    <xf numFmtId="0" fontId="0" fillId="0" borderId="35" xfId="0" applyFont="1" applyFill="1" applyBorder="1"/>
    <xf numFmtId="0" fontId="0" fillId="0" borderId="48" xfId="0" applyFont="1" applyFill="1" applyBorder="1"/>
    <xf numFmtId="0" fontId="0" fillId="0" borderId="37" xfId="0" applyFont="1" applyFill="1" applyBorder="1"/>
    <xf numFmtId="0" fontId="0" fillId="0" borderId="46" xfId="0" applyFont="1" applyFill="1" applyBorder="1"/>
    <xf numFmtId="0" fontId="9" fillId="2" borderId="58" xfId="0" applyFont="1" applyFill="1" applyBorder="1" applyAlignment="1" applyProtection="1">
      <alignment wrapText="1"/>
      <protection hidden="1"/>
    </xf>
    <xf numFmtId="0" fontId="9" fillId="2" borderId="0" xfId="0" applyFont="1" applyFill="1" applyBorder="1" applyAlignment="1" applyProtection="1">
      <alignment wrapText="1"/>
      <protection hidden="1"/>
    </xf>
    <xf numFmtId="0" fontId="11" fillId="2" borderId="59" xfId="0" applyFont="1" applyFill="1" applyBorder="1" applyAlignment="1" applyProtection="1">
      <alignment horizontal="left" wrapText="1"/>
      <protection hidden="1"/>
    </xf>
    <xf numFmtId="0" fontId="29" fillId="2" borderId="60" xfId="0" applyFont="1" applyFill="1" applyBorder="1" applyAlignment="1" applyProtection="1">
      <alignment horizontal="left" wrapText="1"/>
      <protection hidden="1"/>
    </xf>
    <xf numFmtId="0" fontId="29" fillId="2" borderId="62" xfId="0" applyFont="1" applyFill="1" applyBorder="1" applyAlignment="1" applyProtection="1">
      <alignment wrapText="1"/>
      <protection hidden="1"/>
    </xf>
    <xf numFmtId="0" fontId="9" fillId="2" borderId="61" xfId="0" applyFont="1" applyFill="1" applyBorder="1" applyAlignment="1" applyProtection="1">
      <alignment horizontal="left" wrapText="1"/>
      <protection hidden="1"/>
    </xf>
    <xf numFmtId="0" fontId="11" fillId="2" borderId="63" xfId="0" applyFont="1" applyFill="1" applyBorder="1" applyAlignment="1" applyProtection="1">
      <alignment horizontal="left" wrapText="1"/>
      <protection hidden="1"/>
    </xf>
    <xf numFmtId="4" fontId="11" fillId="2" borderId="62" xfId="0" applyNumberFormat="1" applyFont="1" applyFill="1" applyBorder="1"/>
    <xf numFmtId="0" fontId="9" fillId="2" borderId="32" xfId="0" applyFont="1" applyFill="1" applyBorder="1" applyAlignment="1" applyProtection="1">
      <alignment wrapText="1"/>
      <protection hidden="1"/>
    </xf>
    <xf numFmtId="4" fontId="11" fillId="2" borderId="60" xfId="0" applyNumberFormat="1" applyFont="1" applyFill="1" applyBorder="1" applyProtection="1">
      <protection locked="0"/>
    </xf>
    <xf numFmtId="10" fontId="20" fillId="2" borderId="11" xfId="1" applyNumberFormat="1" applyFont="1" applyFill="1" applyBorder="1" applyAlignment="1" applyProtection="1">
      <alignment horizontal="center" vertical="center" wrapText="1"/>
      <protection hidden="1"/>
    </xf>
    <xf numFmtId="10" fontId="20" fillId="2" borderId="11" xfId="1" applyNumberFormat="1" applyFont="1" applyFill="1" applyBorder="1" applyAlignment="1" applyProtection="1">
      <alignment horizontal="center" vertical="center"/>
      <protection hidden="1"/>
    </xf>
    <xf numFmtId="0" fontId="2" fillId="0" borderId="4" xfId="0" applyFont="1" applyBorder="1" applyAlignment="1">
      <alignment horizontal="justify" vertical="center" wrapText="1"/>
    </xf>
    <xf numFmtId="0" fontId="2" fillId="0" borderId="3" xfId="0" applyFont="1" applyBorder="1" applyAlignment="1">
      <alignment horizontal="justify" vertical="center" wrapText="1"/>
    </xf>
    <xf numFmtId="0" fontId="2" fillId="0" borderId="3" xfId="0" applyFont="1" applyBorder="1" applyAlignment="1">
      <alignment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 fillId="2" borderId="0" xfId="0" applyFont="1" applyFill="1" applyBorder="1" applyAlignment="1">
      <alignment horizontal="left"/>
    </xf>
    <xf numFmtId="0" fontId="0" fillId="3" borderId="0" xfId="0" applyFill="1" applyBorder="1" applyAlignment="1">
      <alignment horizontal="left"/>
    </xf>
    <xf numFmtId="0" fontId="2" fillId="0" borderId="67" xfId="0" applyFont="1" applyBorder="1" applyAlignment="1">
      <alignment horizontal="justify" vertical="center" wrapText="1"/>
    </xf>
    <xf numFmtId="10" fontId="2" fillId="0" borderId="68" xfId="0" applyNumberFormat="1" applyFont="1" applyBorder="1" applyAlignment="1">
      <alignment horizontal="right" vertical="center" wrapText="1"/>
    </xf>
    <xf numFmtId="0" fontId="2" fillId="0" borderId="67" xfId="0" applyFont="1" applyBorder="1" applyAlignment="1">
      <alignment horizontal="center" vertical="center" wrapText="1"/>
    </xf>
    <xf numFmtId="10" fontId="2" fillId="0" borderId="2" xfId="0" applyNumberFormat="1" applyFont="1" applyBorder="1" applyAlignment="1">
      <alignment horizontal="left" vertical="center" wrapText="1"/>
    </xf>
    <xf numFmtId="10" fontId="0" fillId="0" borderId="72" xfId="0" applyNumberFormat="1" applyFill="1" applyBorder="1" applyProtection="1">
      <protection locked="0"/>
    </xf>
    <xf numFmtId="4" fontId="0" fillId="0" borderId="72" xfId="0" applyNumberFormat="1" applyFill="1" applyBorder="1"/>
    <xf numFmtId="4" fontId="0" fillId="0" borderId="72" xfId="0" applyNumberFormat="1" applyFill="1" applyBorder="1" applyProtection="1">
      <protection locked="0"/>
    </xf>
    <xf numFmtId="0" fontId="28" fillId="0" borderId="0" xfId="1" applyFont="1" applyFill="1" applyBorder="1" applyAlignment="1" applyProtection="1">
      <alignment vertical="center"/>
      <protection hidden="1"/>
    </xf>
    <xf numFmtId="0" fontId="2" fillId="0" borderId="8" xfId="0" applyFont="1" applyBorder="1" applyAlignment="1">
      <alignment horizontal="center" vertical="center" wrapText="1"/>
    </xf>
    <xf numFmtId="0" fontId="2" fillId="0" borderId="7" xfId="0" applyFont="1" applyBorder="1" applyAlignment="1">
      <alignment horizontal="justify" vertical="center" wrapText="1"/>
    </xf>
    <xf numFmtId="0" fontId="0" fillId="0" borderId="81" xfId="0" applyBorder="1"/>
    <xf numFmtId="0" fontId="29" fillId="2" borderId="32" xfId="0" applyFont="1" applyFill="1" applyBorder="1" applyAlignment="1" applyProtection="1">
      <alignment wrapText="1"/>
      <protection hidden="1"/>
    </xf>
    <xf numFmtId="0" fontId="11" fillId="2" borderId="0" xfId="0" applyFont="1" applyFill="1" applyBorder="1"/>
    <xf numFmtId="0" fontId="11" fillId="2" borderId="0" xfId="0" applyFont="1" applyFill="1" applyBorder="1" applyProtection="1">
      <protection locked="0"/>
    </xf>
    <xf numFmtId="0" fontId="29" fillId="2" borderId="0" xfId="0" applyFont="1" applyFill="1" applyBorder="1" applyAlignment="1" applyProtection="1">
      <alignment wrapText="1"/>
      <protection hidden="1"/>
    </xf>
    <xf numFmtId="0" fontId="0" fillId="2" borderId="84" xfId="0" applyFill="1" applyBorder="1"/>
    <xf numFmtId="14" fontId="11" fillId="2" borderId="83" xfId="0" applyNumberFormat="1" applyFont="1" applyFill="1" applyBorder="1"/>
    <xf numFmtId="0" fontId="0" fillId="2" borderId="83" xfId="0" applyFill="1" applyBorder="1"/>
    <xf numFmtId="14" fontId="0" fillId="2" borderId="83" xfId="0" applyNumberFormat="1" applyFill="1" applyBorder="1" applyProtection="1">
      <protection locked="0"/>
    </xf>
    <xf numFmtId="4" fontId="11" fillId="2" borderId="83" xfId="0" applyNumberFormat="1" applyFont="1" applyFill="1" applyBorder="1"/>
    <xf numFmtId="10" fontId="11" fillId="2" borderId="83" xfId="0" applyNumberFormat="1" applyFont="1" applyFill="1" applyBorder="1" applyProtection="1"/>
    <xf numFmtId="10" fontId="11" fillId="2" borderId="83" xfId="0" applyNumberFormat="1" applyFont="1" applyFill="1" applyBorder="1" applyProtection="1">
      <protection locked="0"/>
    </xf>
    <xf numFmtId="0" fontId="19" fillId="0" borderId="0" xfId="1" applyFont="1" applyFill="1" applyAlignment="1" applyProtection="1">
      <alignment vertical="center"/>
      <protection hidden="1"/>
    </xf>
    <xf numFmtId="0" fontId="1" fillId="2" borderId="0" xfId="0" applyFont="1" applyFill="1" applyAlignment="1">
      <alignment horizontal="center"/>
    </xf>
    <xf numFmtId="0" fontId="23" fillId="4" borderId="19" xfId="1" applyFont="1" applyFill="1" applyBorder="1" applyAlignment="1" applyProtection="1">
      <alignment horizontal="center" vertical="center" wrapText="1"/>
      <protection hidden="1"/>
    </xf>
    <xf numFmtId="0" fontId="32" fillId="2" borderId="1" xfId="0" applyFont="1" applyFill="1" applyBorder="1" applyAlignment="1">
      <alignment horizontal="left" vertical="center" wrapText="1"/>
    </xf>
    <xf numFmtId="0" fontId="32" fillId="2" borderId="3" xfId="0" applyFont="1" applyFill="1" applyBorder="1" applyAlignment="1">
      <alignment horizontal="justify" vertical="center" wrapText="1"/>
    </xf>
    <xf numFmtId="0" fontId="2" fillId="2" borderId="1" xfId="0" applyFont="1" applyFill="1" applyBorder="1" applyAlignment="1">
      <alignment horizontal="justify" vertical="center" wrapText="1"/>
    </xf>
    <xf numFmtId="0" fontId="2" fillId="2" borderId="67" xfId="0" applyFont="1" applyFill="1" applyBorder="1" applyAlignment="1">
      <alignment horizontal="justify" vertical="center" wrapText="1"/>
    </xf>
    <xf numFmtId="4" fontId="11" fillId="2" borderId="0" xfId="0" applyNumberFormat="1" applyFont="1" applyFill="1"/>
    <xf numFmtId="0" fontId="0" fillId="0" borderId="0" xfId="0" applyFont="1" applyFill="1" applyBorder="1" applyAlignment="1" applyProtection="1">
      <alignment horizontal="left" wrapText="1"/>
      <protection hidden="1"/>
    </xf>
    <xf numFmtId="0" fontId="10" fillId="5" borderId="24" xfId="0" applyFont="1" applyFill="1" applyBorder="1" applyAlignment="1" applyProtection="1">
      <alignment horizontal="left" wrapText="1"/>
      <protection hidden="1"/>
    </xf>
    <xf numFmtId="0" fontId="10" fillId="5" borderId="85" xfId="0" applyFont="1" applyFill="1" applyBorder="1" applyAlignment="1" applyProtection="1">
      <alignment horizontal="center" vertical="center" wrapText="1"/>
      <protection hidden="1"/>
    </xf>
    <xf numFmtId="0" fontId="10" fillId="5" borderId="36" xfId="0" applyFont="1" applyFill="1" applyBorder="1" applyAlignment="1" applyProtection="1">
      <alignment horizontal="center" vertical="center" wrapText="1"/>
      <protection hidden="1"/>
    </xf>
    <xf numFmtId="0" fontId="10" fillId="5" borderId="17" xfId="0" applyFont="1" applyFill="1" applyBorder="1" applyAlignment="1" applyProtection="1">
      <alignment horizontal="center" vertical="center" wrapText="1"/>
      <protection hidden="1"/>
    </xf>
    <xf numFmtId="0" fontId="10" fillId="5" borderId="15" xfId="0" applyFont="1" applyFill="1" applyBorder="1" applyAlignment="1" applyProtection="1">
      <alignment horizontal="center" vertical="center" wrapText="1"/>
      <protection hidden="1"/>
    </xf>
    <xf numFmtId="0" fontId="10" fillId="5" borderId="23" xfId="0" applyFont="1" applyFill="1" applyBorder="1" applyAlignment="1" applyProtection="1">
      <alignment horizontal="center" vertical="center" wrapText="1"/>
      <protection hidden="1"/>
    </xf>
    <xf numFmtId="0" fontId="10" fillId="5" borderId="22" xfId="0" applyFont="1" applyFill="1" applyBorder="1" applyAlignment="1" applyProtection="1">
      <alignment horizontal="center" vertical="center" wrapText="1"/>
      <protection hidden="1"/>
    </xf>
    <xf numFmtId="0" fontId="10" fillId="5" borderId="14" xfId="0" applyFont="1" applyFill="1" applyBorder="1" applyAlignment="1" applyProtection="1">
      <alignment horizontal="center" vertical="center" wrapText="1"/>
      <protection hidden="1"/>
    </xf>
    <xf numFmtId="0" fontId="10" fillId="5" borderId="24" xfId="0" applyFont="1" applyFill="1" applyBorder="1" applyAlignment="1" applyProtection="1">
      <alignment horizontal="center" vertical="center" wrapText="1"/>
      <protection hidden="1"/>
    </xf>
    <xf numFmtId="0" fontId="10" fillId="5" borderId="86" xfId="0" applyFont="1" applyFill="1" applyBorder="1" applyAlignment="1" applyProtection="1">
      <alignment horizontal="center" vertical="center" wrapText="1"/>
      <protection hidden="1"/>
    </xf>
    <xf numFmtId="10" fontId="11" fillId="0" borderId="0" xfId="0" applyNumberFormat="1" applyFont="1" applyFill="1"/>
    <xf numFmtId="4" fontId="11" fillId="0" borderId="0" xfId="0" applyNumberFormat="1" applyFont="1" applyFill="1"/>
    <xf numFmtId="0" fontId="0" fillId="2" borderId="87" xfId="0" applyFont="1" applyFill="1" applyBorder="1" applyAlignment="1"/>
    <xf numFmtId="0" fontId="0" fillId="2" borderId="84" xfId="0" applyFont="1" applyFill="1" applyBorder="1" applyAlignment="1"/>
    <xf numFmtId="0" fontId="10" fillId="5" borderId="14" xfId="0" applyFont="1" applyFill="1" applyBorder="1" applyAlignment="1" applyProtection="1">
      <alignment vertical="center" wrapText="1"/>
      <protection hidden="1"/>
    </xf>
    <xf numFmtId="0" fontId="11" fillId="0" borderId="0" xfId="0" applyFont="1" applyFill="1"/>
    <xf numFmtId="0" fontId="10" fillId="5" borderId="26" xfId="0" applyFont="1" applyFill="1" applyBorder="1" applyAlignment="1" applyProtection="1">
      <alignment vertical="center" wrapText="1"/>
      <protection hidden="1"/>
    </xf>
    <xf numFmtId="0" fontId="0" fillId="5" borderId="12" xfId="0" applyFill="1" applyBorder="1" applyAlignment="1"/>
    <xf numFmtId="0" fontId="0" fillId="5" borderId="25" xfId="0" applyFill="1" applyBorder="1" applyAlignment="1"/>
    <xf numFmtId="0" fontId="0" fillId="2" borderId="12" xfId="0" applyFill="1" applyBorder="1" applyAlignment="1"/>
    <xf numFmtId="0" fontId="0" fillId="2" borderId="25" xfId="0" applyFill="1" applyBorder="1" applyAlignment="1"/>
    <xf numFmtId="0" fontId="0" fillId="2" borderId="16" xfId="0" applyFill="1" applyBorder="1" applyAlignment="1"/>
    <xf numFmtId="0" fontId="0" fillId="2" borderId="11" xfId="0" applyFill="1" applyBorder="1" applyAlignment="1"/>
    <xf numFmtId="4" fontId="34" fillId="0" borderId="0" xfId="0" applyNumberFormat="1" applyFont="1" applyBorder="1" applyAlignment="1">
      <alignment horizontal="center"/>
    </xf>
    <xf numFmtId="4" fontId="0" fillId="0" borderId="0" xfId="0" applyNumberFormat="1"/>
    <xf numFmtId="0" fontId="34" fillId="0" borderId="0" xfId="0" applyFont="1"/>
    <xf numFmtId="4" fontId="34" fillId="0" borderId="0" xfId="0" applyNumberFormat="1" applyFont="1"/>
    <xf numFmtId="0" fontId="34" fillId="0" borderId="0" xfId="0" applyNumberFormat="1" applyFont="1"/>
    <xf numFmtId="4" fontId="0" fillId="0" borderId="0" xfId="0" applyNumberFormat="1" applyFont="1" applyBorder="1" applyAlignment="1">
      <alignment horizontal="center"/>
    </xf>
    <xf numFmtId="4" fontId="0" fillId="0" borderId="0" xfId="0" applyNumberFormat="1" applyBorder="1" applyAlignment="1">
      <alignment horizontal="center"/>
    </xf>
    <xf numFmtId="4" fontId="0" fillId="2" borderId="0" xfId="0" applyNumberFormat="1" applyFill="1" applyBorder="1" applyAlignment="1">
      <alignment horizontal="center"/>
    </xf>
    <xf numFmtId="0" fontId="28" fillId="2" borderId="0" xfId="1" applyFont="1" applyFill="1" applyBorder="1" applyAlignment="1" applyProtection="1">
      <alignment horizontal="left"/>
      <protection locked="0" hidden="1"/>
    </xf>
    <xf numFmtId="10" fontId="9" fillId="0" borderId="0" xfId="0" applyNumberFormat="1" applyFont="1" applyBorder="1" applyAlignment="1" applyProtection="1">
      <alignment horizontal="center" wrapText="1"/>
      <protection hidden="1"/>
    </xf>
    <xf numFmtId="4" fontId="9" fillId="0" borderId="0" xfId="0" applyNumberFormat="1" applyFont="1" applyBorder="1" applyAlignment="1" applyProtection="1">
      <alignment horizontal="center" wrapText="1"/>
      <protection hidden="1"/>
    </xf>
    <xf numFmtId="168" fontId="0" fillId="0" borderId="0" xfId="0" applyNumberFormat="1" applyBorder="1" applyAlignment="1">
      <alignment horizontal="center"/>
    </xf>
    <xf numFmtId="0" fontId="0" fillId="0" borderId="0" xfId="0" applyBorder="1" applyAlignment="1">
      <alignment horizontal="center"/>
    </xf>
    <xf numFmtId="0" fontId="0" fillId="2" borderId="88" xfId="0" applyFont="1" applyFill="1" applyBorder="1"/>
    <xf numFmtId="10" fontId="0" fillId="2" borderId="89" xfId="0" applyNumberFormat="1" applyFill="1" applyBorder="1"/>
    <xf numFmtId="0" fontId="0" fillId="2" borderId="88" xfId="0" applyFill="1" applyBorder="1"/>
    <xf numFmtId="164" fontId="0" fillId="2" borderId="89" xfId="0" applyNumberFormat="1" applyFill="1" applyBorder="1"/>
    <xf numFmtId="0" fontId="0" fillId="2" borderId="87" xfId="0" applyFill="1" applyBorder="1"/>
    <xf numFmtId="164" fontId="0" fillId="2" borderId="90" xfId="0" applyNumberFormat="1" applyFill="1" applyBorder="1"/>
    <xf numFmtId="0" fontId="37" fillId="4" borderId="25" xfId="1" applyFont="1" applyFill="1" applyBorder="1" applyAlignment="1" applyProtection="1">
      <alignment horizontal="center" vertical="center" wrapText="1"/>
      <protection hidden="1"/>
    </xf>
    <xf numFmtId="0" fontId="37" fillId="4" borderId="16" xfId="1" applyFont="1" applyFill="1" applyBorder="1" applyAlignment="1" applyProtection="1">
      <alignment horizontal="center" vertical="center" wrapText="1"/>
      <protection hidden="1"/>
    </xf>
    <xf numFmtId="0" fontId="23" fillId="4" borderId="92" xfId="1" applyFont="1" applyFill="1" applyBorder="1" applyAlignment="1" applyProtection="1">
      <alignment horizontal="center" vertical="center" wrapText="1"/>
      <protection hidden="1"/>
    </xf>
    <xf numFmtId="166" fontId="38" fillId="2" borderId="11" xfId="1" applyNumberFormat="1" applyFont="1" applyFill="1" applyBorder="1" applyAlignment="1" applyProtection="1">
      <alignment horizontal="center" vertical="center" wrapText="1"/>
      <protection hidden="1"/>
    </xf>
    <xf numFmtId="4" fontId="27" fillId="2" borderId="11" xfId="1" applyNumberFormat="1" applyFont="1" applyFill="1" applyBorder="1" applyAlignment="1" applyProtection="1">
      <alignment horizontal="center" vertical="center" wrapText="1"/>
      <protection hidden="1"/>
    </xf>
    <xf numFmtId="4" fontId="38" fillId="2" borderId="11" xfId="1" applyNumberFormat="1" applyFont="1" applyFill="1" applyBorder="1" applyAlignment="1" applyProtection="1">
      <alignment horizontal="center" vertical="center" wrapText="1"/>
      <protection hidden="1"/>
    </xf>
    <xf numFmtId="0" fontId="11" fillId="0" borderId="0" xfId="0" applyFont="1" applyFill="1" applyBorder="1" applyAlignment="1">
      <alignment wrapText="1"/>
    </xf>
    <xf numFmtId="10" fontId="11" fillId="2" borderId="0" xfId="0" applyNumberFormat="1" applyFont="1" applyFill="1" applyBorder="1" applyProtection="1">
      <protection locked="0"/>
    </xf>
    <xf numFmtId="0" fontId="0" fillId="0" borderId="103" xfId="0" applyFont="1" applyFill="1" applyBorder="1"/>
    <xf numFmtId="14" fontId="11" fillId="2" borderId="104" xfId="0" applyNumberFormat="1" applyFont="1" applyFill="1" applyBorder="1"/>
    <xf numFmtId="0" fontId="0" fillId="2" borderId="104" xfId="0" applyFill="1" applyBorder="1"/>
    <xf numFmtId="14" fontId="0" fillId="2" borderId="105" xfId="0" applyNumberFormat="1" applyFill="1" applyBorder="1" applyProtection="1">
      <protection locked="0"/>
    </xf>
    <xf numFmtId="0" fontId="0" fillId="0" borderId="106" xfId="0" applyFont="1" applyFill="1" applyBorder="1"/>
    <xf numFmtId="4" fontId="0" fillId="6" borderId="107" xfId="0" applyNumberFormat="1" applyFill="1" applyBorder="1" applyProtection="1">
      <protection locked="0"/>
    </xf>
    <xf numFmtId="10" fontId="0" fillId="2" borderId="107" xfId="0" applyNumberFormat="1" applyFill="1" applyBorder="1" applyProtection="1"/>
    <xf numFmtId="4" fontId="0" fillId="2" borderId="107" xfId="0" applyNumberFormat="1" applyFill="1" applyBorder="1" applyProtection="1">
      <protection locked="0"/>
    </xf>
    <xf numFmtId="0" fontId="0" fillId="6" borderId="107" xfId="0" applyFill="1" applyBorder="1" applyProtection="1">
      <protection locked="0"/>
    </xf>
    <xf numFmtId="14" fontId="0" fillId="2" borderId="107" xfId="0" applyNumberFormat="1" applyFill="1" applyBorder="1"/>
    <xf numFmtId="0" fontId="0" fillId="0" borderId="108" xfId="0" applyFont="1" applyFill="1" applyBorder="1" applyAlignment="1">
      <alignment wrapText="1"/>
    </xf>
    <xf numFmtId="14" fontId="11" fillId="2" borderId="109" xfId="0" applyNumberFormat="1" applyFont="1" applyFill="1" applyBorder="1" applyAlignment="1"/>
    <xf numFmtId="0" fontId="0" fillId="2" borderId="110" xfId="0" applyFill="1" applyBorder="1"/>
    <xf numFmtId="14" fontId="0" fillId="2" borderId="111" xfId="0" applyNumberFormat="1" applyFill="1" applyBorder="1" applyAlignment="1"/>
    <xf numFmtId="0" fontId="0" fillId="2" borderId="103" xfId="0" applyFont="1" applyFill="1" applyBorder="1" applyAlignment="1">
      <alignment wrapText="1"/>
    </xf>
    <xf numFmtId="0" fontId="0" fillId="2" borderId="106" xfId="0" applyFont="1" applyFill="1" applyBorder="1" applyAlignment="1">
      <alignment wrapText="1"/>
    </xf>
    <xf numFmtId="0" fontId="0" fillId="2" borderId="108" xfId="0" applyFont="1" applyFill="1" applyBorder="1"/>
    <xf numFmtId="0" fontId="34" fillId="7" borderId="11" xfId="0" applyFont="1" applyFill="1" applyBorder="1" applyAlignment="1">
      <alignment horizontal="center" vertical="center" wrapText="1"/>
    </xf>
    <xf numFmtId="0" fontId="40" fillId="7" borderId="11" xfId="0" applyFont="1" applyFill="1" applyBorder="1" applyAlignment="1">
      <alignment horizontal="center" vertical="center" wrapText="1"/>
    </xf>
    <xf numFmtId="14" fontId="34" fillId="7" borderId="11" xfId="0" applyNumberFormat="1" applyFont="1" applyFill="1" applyBorder="1" applyAlignment="1">
      <alignment horizontal="center" vertical="center" wrapText="1"/>
    </xf>
    <xf numFmtId="14" fontId="40" fillId="7" borderId="11" xfId="0" applyNumberFormat="1" applyFont="1" applyFill="1" applyBorder="1" applyAlignment="1">
      <alignment horizontal="center" vertical="center" wrapText="1"/>
    </xf>
    <xf numFmtId="0" fontId="34" fillId="7" borderId="11" xfId="0" applyFont="1" applyFill="1" applyBorder="1" applyAlignment="1">
      <alignment horizontal="left" vertical="center" wrapText="1"/>
    </xf>
    <xf numFmtId="0" fontId="34" fillId="0" borderId="11" xfId="0" applyFont="1" applyFill="1" applyBorder="1" applyAlignment="1">
      <alignment horizontal="center" vertical="center" wrapText="1"/>
    </xf>
    <xf numFmtId="0" fontId="34" fillId="6" borderId="11" xfId="0" applyFont="1" applyFill="1" applyBorder="1" applyAlignment="1">
      <alignment horizontal="center" vertical="center" wrapText="1"/>
    </xf>
    <xf numFmtId="0" fontId="34" fillId="0" borderId="11" xfId="0" applyFont="1" applyBorder="1" applyAlignment="1">
      <alignment horizontal="center" vertical="center" wrapText="1"/>
    </xf>
    <xf numFmtId="0" fontId="40" fillId="0" borderId="11" xfId="0" applyFont="1" applyFill="1" applyBorder="1" applyAlignment="1">
      <alignment horizontal="center" vertical="center" wrapText="1"/>
    </xf>
    <xf numFmtId="0" fontId="34" fillId="2" borderId="11" xfId="0" applyFont="1" applyFill="1" applyBorder="1" applyAlignment="1">
      <alignment horizontal="center" vertical="center" wrapText="1"/>
    </xf>
    <xf numFmtId="0" fontId="34" fillId="0" borderId="11" xfId="0" applyFont="1" applyFill="1" applyBorder="1" applyAlignment="1">
      <alignment horizontal="center" vertical="top" wrapText="1"/>
    </xf>
    <xf numFmtId="0" fontId="39" fillId="0" borderId="11" xfId="0" applyFont="1" applyFill="1" applyBorder="1" applyAlignment="1">
      <alignment horizontal="left" vertical="center" wrapText="1"/>
    </xf>
    <xf numFmtId="0" fontId="44" fillId="2" borderId="0" xfId="0" applyFont="1" applyFill="1"/>
    <xf numFmtId="14" fontId="11" fillId="2" borderId="0" xfId="0" applyNumberFormat="1" applyFont="1" applyFill="1"/>
    <xf numFmtId="0" fontId="0" fillId="2" borderId="0" xfId="0" applyFill="1" applyAlignment="1">
      <alignment horizontal="center" wrapText="1"/>
    </xf>
    <xf numFmtId="4" fontId="0" fillId="2" borderId="11" xfId="0" applyNumberFormat="1" applyFill="1" applyBorder="1" applyAlignment="1" applyProtection="1">
      <alignment horizontal="center"/>
    </xf>
    <xf numFmtId="10" fontId="0" fillId="2" borderId="11" xfId="0" applyNumberFormat="1" applyFill="1" applyBorder="1" applyProtection="1"/>
    <xf numFmtId="10" fontId="0" fillId="2" borderId="107" xfId="0" applyNumberFormat="1" applyFill="1" applyBorder="1"/>
    <xf numFmtId="10" fontId="0" fillId="2" borderId="112" xfId="0" applyNumberFormat="1" applyFill="1" applyBorder="1" applyProtection="1">
      <protection locked="0"/>
    </xf>
    <xf numFmtId="0" fontId="2" fillId="0" borderId="3" xfId="0" applyFont="1" applyBorder="1" applyAlignment="1">
      <alignment horizontal="justify" vertical="center" wrapText="1"/>
    </xf>
    <xf numFmtId="0" fontId="0" fillId="5" borderId="25" xfId="0" applyFill="1" applyBorder="1" applyAlignment="1">
      <alignment horizontal="right"/>
    </xf>
    <xf numFmtId="0" fontId="2" fillId="2" borderId="1" xfId="0" applyFont="1" applyFill="1" applyBorder="1" applyAlignment="1">
      <alignment horizontal="center" vertical="center" wrapText="1"/>
    </xf>
    <xf numFmtId="0" fontId="2" fillId="2" borderId="68"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7"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6" xfId="0" applyFont="1" applyBorder="1" applyAlignment="1">
      <alignment horizontal="center" vertical="center" wrapText="1"/>
    </xf>
    <xf numFmtId="0" fontId="2" fillId="0" borderId="0"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4" fillId="0" borderId="1" xfId="0" applyFont="1" applyBorder="1" applyAlignment="1">
      <alignment horizontal="center" vertical="center" wrapText="1"/>
    </xf>
    <xf numFmtId="0" fontId="4" fillId="0" borderId="68" xfId="0" applyFont="1" applyBorder="1" applyAlignment="1">
      <alignment horizontal="center" vertical="center" wrapText="1"/>
    </xf>
    <xf numFmtId="0" fontId="4" fillId="0" borderId="2" xfId="0" applyFont="1" applyBorder="1" applyAlignment="1">
      <alignment horizontal="center" vertical="center" wrapText="1"/>
    </xf>
    <xf numFmtId="0" fontId="2" fillId="0" borderId="68" xfId="0" applyFont="1" applyBorder="1" applyAlignment="1">
      <alignment horizontal="center" vertical="center" wrapText="1"/>
    </xf>
    <xf numFmtId="0" fontId="32" fillId="2" borderId="1" xfId="0" applyFont="1" applyFill="1" applyBorder="1" applyAlignment="1">
      <alignment horizontal="center" vertical="center" wrapText="1"/>
    </xf>
    <xf numFmtId="0" fontId="32" fillId="2" borderId="2" xfId="0" applyFont="1" applyFill="1" applyBorder="1" applyAlignment="1">
      <alignment horizontal="center" vertical="center" wrapText="1"/>
    </xf>
    <xf numFmtId="168" fontId="2" fillId="0" borderId="1" xfId="0" applyNumberFormat="1" applyFont="1" applyBorder="1" applyAlignment="1">
      <alignment horizontal="center" vertical="center" wrapText="1"/>
    </xf>
    <xf numFmtId="168" fontId="2" fillId="0" borderId="2" xfId="0" applyNumberFormat="1" applyFont="1" applyBorder="1" applyAlignment="1">
      <alignment horizontal="center" vertical="center" wrapText="1"/>
    </xf>
    <xf numFmtId="0" fontId="2" fillId="0" borderId="1" xfId="0" applyFont="1" applyBorder="1" applyAlignment="1">
      <alignment horizontal="left" vertical="center" wrapText="1"/>
    </xf>
    <xf numFmtId="0" fontId="2" fillId="0" borderId="68" xfId="0" applyFont="1" applyBorder="1" applyAlignment="1">
      <alignment horizontal="left" vertical="center" wrapText="1"/>
    </xf>
    <xf numFmtId="0" fontId="2" fillId="0" borderId="2" xfId="0" applyFont="1" applyBorder="1" applyAlignment="1">
      <alignment horizontal="left" vertical="center" wrapText="1"/>
    </xf>
    <xf numFmtId="10" fontId="2" fillId="0" borderId="1" xfId="0" applyNumberFormat="1" applyFont="1" applyBorder="1" applyAlignment="1">
      <alignment horizontal="center" vertical="center" wrapText="1"/>
    </xf>
    <xf numFmtId="10" fontId="2" fillId="0" borderId="2" xfId="0" applyNumberFormat="1" applyFont="1" applyBorder="1" applyAlignment="1">
      <alignment horizontal="center" vertical="center" wrapText="1"/>
    </xf>
    <xf numFmtId="4" fontId="2" fillId="0" borderId="1" xfId="0" applyNumberFormat="1" applyFont="1" applyBorder="1" applyAlignment="1">
      <alignment horizontal="center" vertical="center" wrapText="1"/>
    </xf>
    <xf numFmtId="4" fontId="2" fillId="0" borderId="2" xfId="0" applyNumberFormat="1" applyFont="1" applyBorder="1" applyAlignment="1">
      <alignment horizontal="center" vertical="center" wrapText="1"/>
    </xf>
    <xf numFmtId="4" fontId="2" fillId="0" borderId="1" xfId="0" applyNumberFormat="1" applyFont="1" applyFill="1" applyBorder="1" applyAlignment="1">
      <alignment horizontal="center" vertical="center" wrapText="1"/>
    </xf>
    <xf numFmtId="4" fontId="2" fillId="0" borderId="2" xfId="0" applyNumberFormat="1" applyFont="1" applyFill="1" applyBorder="1" applyAlignment="1">
      <alignment horizontal="center" vertical="center" wrapText="1"/>
    </xf>
    <xf numFmtId="0" fontId="4" fillId="0" borderId="77" xfId="0" applyFont="1" applyBorder="1" applyAlignment="1">
      <alignment horizontal="center" vertical="center" wrapText="1"/>
    </xf>
    <xf numFmtId="0" fontId="4" fillId="0" borderId="78" xfId="0" applyFont="1" applyBorder="1" applyAlignment="1">
      <alignment horizontal="center" vertical="center" wrapText="1"/>
    </xf>
    <xf numFmtId="0" fontId="4" fillId="0" borderId="79" xfId="0" applyFont="1" applyBorder="1" applyAlignment="1">
      <alignment horizontal="center" vertical="center" wrapText="1"/>
    </xf>
    <xf numFmtId="10" fontId="2" fillId="0" borderId="80" xfId="0" applyNumberFormat="1" applyFont="1" applyBorder="1" applyAlignment="1">
      <alignment horizontal="center" vertical="center" wrapText="1"/>
    </xf>
    <xf numFmtId="10" fontId="2" fillId="0" borderId="82" xfId="0" applyNumberFormat="1" applyFont="1" applyBorder="1" applyAlignment="1">
      <alignment horizontal="center" vertical="center" wrapText="1"/>
    </xf>
    <xf numFmtId="9" fontId="2" fillId="0" borderId="9" xfId="0" applyNumberFormat="1" applyFont="1" applyBorder="1" applyAlignment="1">
      <alignment horizontal="center" vertical="center" wrapText="1"/>
    </xf>
    <xf numFmtId="0" fontId="33" fillId="2" borderId="9" xfId="0" applyFont="1" applyFill="1" applyBorder="1" applyAlignment="1">
      <alignment horizontal="center" vertical="center" wrapText="1"/>
    </xf>
    <xf numFmtId="0" fontId="33" fillId="2" borderId="10" xfId="0" applyFont="1" applyFill="1" applyBorder="1" applyAlignment="1">
      <alignment horizontal="center" vertical="center" wrapText="1"/>
    </xf>
    <xf numFmtId="0" fontId="33" fillId="2" borderId="66" xfId="0" applyFont="1" applyFill="1" applyBorder="1" applyAlignment="1">
      <alignment horizontal="center" vertical="center" wrapText="1"/>
    </xf>
    <xf numFmtId="0" fontId="33" fillId="2" borderId="6" xfId="0" applyFont="1" applyFill="1" applyBorder="1" applyAlignment="1">
      <alignment horizontal="center" vertical="center" wrapText="1"/>
    </xf>
    <xf numFmtId="0" fontId="33" fillId="2" borderId="7" xfId="0" applyFont="1" applyFill="1" applyBorder="1" applyAlignment="1">
      <alignment horizontal="center" vertical="center" wrapText="1"/>
    </xf>
    <xf numFmtId="0" fontId="33" fillId="2" borderId="5" xfId="0" applyFont="1" applyFill="1" applyBorder="1" applyAlignment="1">
      <alignment horizontal="center" vertical="center" wrapText="1"/>
    </xf>
    <xf numFmtId="0" fontId="2" fillId="0" borderId="8"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3" xfId="0" applyFont="1" applyBorder="1" applyAlignment="1">
      <alignment horizontal="justify" vertical="center" wrapText="1"/>
    </xf>
    <xf numFmtId="0" fontId="2" fillId="0" borderId="8" xfId="0" applyFont="1" applyBorder="1" applyAlignment="1">
      <alignment vertical="center" wrapText="1"/>
    </xf>
    <xf numFmtId="0" fontId="2" fillId="0" borderId="3" xfId="0" applyFont="1" applyBorder="1" applyAlignment="1">
      <alignment vertical="center" wrapText="1"/>
    </xf>
    <xf numFmtId="0" fontId="4" fillId="0" borderId="9" xfId="0" applyFont="1" applyBorder="1" applyAlignment="1" applyProtection="1">
      <alignment horizontal="center" vertical="center" wrapText="1"/>
      <protection locked="0"/>
    </xf>
    <xf numFmtId="0" fontId="4" fillId="0" borderId="10" xfId="0" applyFont="1" applyBorder="1" applyAlignment="1" applyProtection="1">
      <alignment horizontal="center" vertical="center" wrapText="1"/>
      <protection locked="0"/>
    </xf>
    <xf numFmtId="4" fontId="0" fillId="0" borderId="66" xfId="0" applyNumberFormat="1" applyFill="1" applyBorder="1" applyAlignment="1" applyProtection="1">
      <alignment horizontal="center"/>
      <protection locked="0"/>
    </xf>
    <xf numFmtId="4" fontId="0" fillId="0" borderId="6" xfId="0" applyNumberFormat="1" applyFill="1" applyBorder="1" applyAlignment="1" applyProtection="1">
      <alignment horizontal="center"/>
      <protection locked="0"/>
    </xf>
    <xf numFmtId="0" fontId="4" fillId="0" borderId="66" xfId="0" applyFont="1" applyBorder="1" applyAlignment="1" applyProtection="1">
      <alignment horizontal="center" vertical="center" wrapText="1"/>
      <protection locked="0"/>
    </xf>
    <xf numFmtId="0" fontId="4" fillId="0" borderId="6" xfId="0" applyFont="1" applyBorder="1" applyAlignment="1" applyProtection="1">
      <alignment horizontal="center" vertical="center" wrapText="1"/>
      <protection locked="0"/>
    </xf>
    <xf numFmtId="4" fontId="0" fillId="0" borderId="7" xfId="0" applyNumberFormat="1" applyFill="1" applyBorder="1" applyAlignment="1" applyProtection="1">
      <alignment horizontal="center"/>
      <protection locked="0"/>
    </xf>
    <xf numFmtId="4" fontId="0" fillId="0" borderId="5" xfId="0" applyNumberFormat="1" applyFill="1" applyBorder="1" applyAlignment="1" applyProtection="1">
      <alignment horizontal="center"/>
      <protection locked="0"/>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7" xfId="0" applyFont="1" applyBorder="1" applyAlignment="1">
      <alignment horizontal="center" vertical="center" wrapText="1"/>
    </xf>
    <xf numFmtId="0" fontId="4" fillId="0" borderId="5" xfId="0" applyFont="1" applyBorder="1" applyAlignment="1">
      <alignment horizontal="center" vertical="center" wrapText="1"/>
    </xf>
    <xf numFmtId="0" fontId="45" fillId="2" borderId="0" xfId="0" applyFont="1" applyFill="1" applyBorder="1" applyAlignment="1">
      <alignment horizontal="justify" vertical="center" wrapText="1"/>
    </xf>
    <xf numFmtId="0" fontId="2" fillId="2" borderId="8"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68" xfId="0" applyFont="1" applyFill="1" applyBorder="1" applyAlignment="1">
      <alignment horizontal="center" vertical="center" wrapText="1"/>
    </xf>
    <xf numFmtId="0" fontId="10" fillId="5" borderId="14" xfId="0" applyFont="1" applyFill="1" applyBorder="1" applyAlignment="1" applyProtection="1">
      <alignment horizontal="center" vertical="center" wrapText="1"/>
      <protection hidden="1"/>
    </xf>
    <xf numFmtId="0" fontId="10" fillId="5" borderId="24" xfId="0" applyFont="1" applyFill="1" applyBorder="1" applyAlignment="1" applyProtection="1">
      <alignment horizontal="center" vertical="center" wrapText="1"/>
      <protection hidden="1"/>
    </xf>
    <xf numFmtId="0" fontId="0" fillId="5" borderId="12" xfId="0" applyFill="1" applyBorder="1" applyAlignment="1">
      <alignment horizontal="left"/>
    </xf>
    <xf numFmtId="0" fontId="0" fillId="5" borderId="25" xfId="0" applyFill="1" applyBorder="1" applyAlignment="1">
      <alignment horizontal="left"/>
    </xf>
    <xf numFmtId="4" fontId="0" fillId="2" borderId="12" xfId="0" applyNumberFormat="1" applyFill="1" applyBorder="1" applyAlignment="1" applyProtection="1">
      <alignment horizontal="center"/>
    </xf>
    <xf numFmtId="4" fontId="0" fillId="2" borderId="16" xfId="0" applyNumberFormat="1" applyFill="1" applyBorder="1" applyAlignment="1" applyProtection="1">
      <alignment horizontal="center"/>
    </xf>
    <xf numFmtId="4" fontId="0" fillId="2" borderId="11" xfId="0" applyNumberFormat="1" applyFill="1" applyBorder="1" applyAlignment="1" applyProtection="1">
      <alignment horizontal="center"/>
    </xf>
    <xf numFmtId="0" fontId="1" fillId="2" borderId="0" xfId="0" applyFont="1" applyFill="1" applyAlignment="1">
      <alignment horizontal="center"/>
    </xf>
    <xf numFmtId="0" fontId="10" fillId="5" borderId="12" xfId="0" applyFont="1" applyFill="1" applyBorder="1" applyAlignment="1" applyProtection="1">
      <alignment horizontal="center" vertical="center" wrapText="1"/>
      <protection hidden="1"/>
    </xf>
    <xf numFmtId="0" fontId="10" fillId="5" borderId="25" xfId="0" applyFont="1" applyFill="1" applyBorder="1" applyAlignment="1" applyProtection="1">
      <alignment horizontal="center" vertical="center" wrapText="1"/>
      <protection hidden="1"/>
    </xf>
    <xf numFmtId="0" fontId="10" fillId="5" borderId="16" xfId="0" applyFont="1" applyFill="1" applyBorder="1" applyAlignment="1" applyProtection="1">
      <alignment horizontal="center" vertical="center" wrapText="1"/>
      <protection hidden="1"/>
    </xf>
    <xf numFmtId="0" fontId="34" fillId="2" borderId="11" xfId="0" applyFont="1" applyFill="1" applyBorder="1" applyAlignment="1">
      <alignment horizontal="left"/>
    </xf>
    <xf numFmtId="10" fontId="0" fillId="2" borderId="11" xfId="0" applyNumberFormat="1" applyFill="1" applyBorder="1" applyAlignment="1" applyProtection="1">
      <alignment horizontal="center"/>
    </xf>
    <xf numFmtId="0" fontId="0" fillId="2" borderId="11" xfId="0" applyFont="1" applyFill="1" applyBorder="1" applyAlignment="1">
      <alignment horizontal="left"/>
    </xf>
    <xf numFmtId="4" fontId="0" fillId="2" borderId="11" xfId="0" applyNumberFormat="1" applyFill="1" applyBorder="1" applyAlignment="1" applyProtection="1">
      <alignment horizontal="center"/>
      <protection locked="0"/>
    </xf>
    <xf numFmtId="0" fontId="1" fillId="5" borderId="11" xfId="0" applyFont="1" applyFill="1" applyBorder="1" applyAlignment="1">
      <alignment horizontal="left" wrapText="1"/>
    </xf>
    <xf numFmtId="0" fontId="2" fillId="0" borderId="8"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7" xfId="0" applyFont="1" applyBorder="1" applyAlignment="1">
      <alignment horizontal="center" vertical="center" wrapText="1"/>
    </xf>
    <xf numFmtId="9" fontId="2" fillId="0" borderId="1" xfId="0" applyNumberFormat="1" applyFont="1" applyBorder="1" applyAlignment="1">
      <alignment horizontal="center" vertical="center" wrapText="1"/>
    </xf>
    <xf numFmtId="14" fontId="0" fillId="2" borderId="64" xfId="0" applyNumberFormat="1" applyFill="1" applyBorder="1" applyAlignment="1">
      <alignment horizontal="center"/>
    </xf>
    <xf numFmtId="14" fontId="0" fillId="2" borderId="57" xfId="0" applyNumberFormat="1" applyFill="1" applyBorder="1" applyAlignment="1">
      <alignment horizontal="center"/>
    </xf>
    <xf numFmtId="14" fontId="0" fillId="2" borderId="65" xfId="0" applyNumberFormat="1" applyFill="1" applyBorder="1" applyAlignment="1">
      <alignment horizontal="center"/>
    </xf>
    <xf numFmtId="0" fontId="1" fillId="2" borderId="0" xfId="0" applyFont="1" applyFill="1" applyBorder="1" applyAlignment="1">
      <alignment horizontal="left"/>
    </xf>
    <xf numFmtId="0" fontId="0" fillId="3" borderId="0" xfId="0" applyFill="1" applyBorder="1" applyAlignment="1">
      <alignment horizontal="left"/>
    </xf>
    <xf numFmtId="0" fontId="1" fillId="3" borderId="0" xfId="0" applyFont="1" applyFill="1" applyBorder="1" applyAlignment="1">
      <alignment horizontal="left" wrapText="1"/>
    </xf>
    <xf numFmtId="0" fontId="0" fillId="0" borderId="69" xfId="0" applyFill="1" applyBorder="1" applyAlignment="1">
      <alignment horizontal="center"/>
    </xf>
    <xf numFmtId="0" fontId="0" fillId="0" borderId="51" xfId="0" applyFill="1" applyBorder="1" applyAlignment="1">
      <alignment horizontal="center"/>
    </xf>
    <xf numFmtId="0" fontId="0" fillId="0" borderId="70" xfId="0" applyFill="1" applyBorder="1" applyAlignment="1">
      <alignment horizontal="center"/>
    </xf>
    <xf numFmtId="0" fontId="0" fillId="0" borderId="71" xfId="0" applyFill="1" applyBorder="1" applyAlignment="1">
      <alignment horizontal="center"/>
    </xf>
    <xf numFmtId="0" fontId="0" fillId="0" borderId="35" xfId="0" applyFont="1" applyFill="1" applyBorder="1" applyAlignment="1">
      <alignment horizontal="center"/>
    </xf>
    <xf numFmtId="0" fontId="0" fillId="0" borderId="49" xfId="0" applyFont="1" applyFill="1" applyBorder="1" applyAlignment="1">
      <alignment horizontal="center"/>
    </xf>
    <xf numFmtId="0" fontId="23" fillId="4" borderId="14" xfId="1" applyFont="1" applyFill="1" applyBorder="1" applyAlignment="1" applyProtection="1">
      <alignment horizontal="center" vertical="center" wrapText="1"/>
      <protection hidden="1"/>
    </xf>
    <xf numFmtId="0" fontId="23" fillId="4" borderId="26" xfId="1" applyFont="1" applyFill="1" applyBorder="1" applyAlignment="1" applyProtection="1">
      <alignment horizontal="center" vertical="center" wrapText="1"/>
      <protection hidden="1"/>
    </xf>
    <xf numFmtId="0" fontId="23" fillId="4" borderId="98" xfId="1" applyFont="1" applyFill="1" applyBorder="1" applyAlignment="1" applyProtection="1">
      <alignment horizontal="center" vertical="center" wrapText="1"/>
      <protection hidden="1"/>
    </xf>
    <xf numFmtId="0" fontId="23" fillId="4" borderId="18" xfId="1" applyFont="1" applyFill="1" applyBorder="1" applyAlignment="1" applyProtection="1">
      <alignment horizontal="center" vertical="center" wrapText="1"/>
      <protection hidden="1"/>
    </xf>
    <xf numFmtId="0" fontId="23" fillId="4" borderId="99" xfId="1" applyFont="1" applyFill="1" applyBorder="1" applyAlignment="1" applyProtection="1">
      <alignment horizontal="center" vertical="center" wrapText="1"/>
      <protection hidden="1"/>
    </xf>
    <xf numFmtId="0" fontId="23" fillId="4" borderId="91" xfId="1" applyFont="1" applyFill="1" applyBorder="1" applyAlignment="1" applyProtection="1">
      <alignment horizontal="center" vertical="center" wrapText="1"/>
      <protection hidden="1"/>
    </xf>
    <xf numFmtId="0" fontId="23" fillId="4" borderId="20" xfId="1" applyFont="1" applyFill="1" applyBorder="1" applyAlignment="1" applyProtection="1">
      <alignment horizontal="center" vertical="center" wrapText="1"/>
      <protection hidden="1"/>
    </xf>
    <xf numFmtId="0" fontId="23" fillId="4" borderId="73" xfId="1" applyFont="1" applyFill="1" applyBorder="1" applyAlignment="1" applyProtection="1">
      <alignment horizontal="center" vertical="center" wrapText="1"/>
      <protection hidden="1"/>
    </xf>
    <xf numFmtId="0" fontId="23" fillId="4" borderId="21" xfId="1" applyFont="1" applyFill="1" applyBorder="1" applyAlignment="1" applyProtection="1">
      <alignment horizontal="center" vertical="center" wrapText="1"/>
      <protection hidden="1"/>
    </xf>
    <xf numFmtId="0" fontId="23" fillId="4" borderId="76" xfId="1" applyFont="1" applyFill="1" applyBorder="1" applyAlignment="1" applyProtection="1">
      <alignment horizontal="center" vertical="center" wrapText="1"/>
      <protection hidden="1"/>
    </xf>
    <xf numFmtId="0" fontId="37" fillId="4" borderId="12" xfId="1" applyFont="1" applyFill="1" applyBorder="1" applyAlignment="1" applyProtection="1">
      <alignment horizontal="left" vertical="center" wrapText="1"/>
      <protection hidden="1"/>
    </xf>
    <xf numFmtId="0" fontId="37" fillId="4" borderId="25" xfId="1" applyFont="1" applyFill="1" applyBorder="1" applyAlignment="1" applyProtection="1">
      <alignment horizontal="left" vertical="center" wrapText="1"/>
      <protection hidden="1"/>
    </xf>
    <xf numFmtId="0" fontId="23" fillId="4" borderId="36" xfId="1" applyFont="1" applyFill="1" applyBorder="1" applyAlignment="1" applyProtection="1">
      <alignment horizontal="center" vertical="center" wrapText="1"/>
      <protection hidden="1"/>
    </xf>
    <xf numFmtId="0" fontId="23" fillId="4" borderId="0" xfId="1" applyFont="1" applyFill="1" applyBorder="1" applyAlignment="1" applyProtection="1">
      <alignment horizontal="center" vertical="center" wrapText="1"/>
      <protection hidden="1"/>
    </xf>
    <xf numFmtId="0" fontId="24" fillId="4" borderId="91" xfId="1" applyFont="1" applyFill="1" applyBorder="1" applyAlignment="1" applyProtection="1">
      <alignment horizontal="center" vertical="center" wrapText="1"/>
      <protection hidden="1"/>
    </xf>
    <xf numFmtId="0" fontId="24" fillId="4" borderId="20" xfId="1" applyFont="1" applyFill="1" applyBorder="1" applyAlignment="1" applyProtection="1">
      <alignment horizontal="center" vertical="center" wrapText="1"/>
      <protection hidden="1"/>
    </xf>
    <xf numFmtId="0" fontId="24" fillId="4" borderId="73" xfId="1" applyFont="1" applyFill="1" applyBorder="1" applyAlignment="1" applyProtection="1">
      <alignment horizontal="center" vertical="center" wrapText="1"/>
      <protection hidden="1"/>
    </xf>
    <xf numFmtId="14" fontId="8" fillId="2" borderId="12" xfId="1" applyNumberFormat="1" applyFont="1" applyFill="1" applyBorder="1" applyAlignment="1" applyProtection="1">
      <alignment horizontal="left" vertical="center"/>
      <protection locked="0" hidden="1"/>
    </xf>
    <xf numFmtId="14" fontId="8" fillId="2" borderId="16" xfId="1" applyNumberFormat="1" applyFont="1" applyFill="1" applyBorder="1" applyAlignment="1" applyProtection="1">
      <alignment horizontal="left" vertical="center"/>
      <protection locked="0" hidden="1"/>
    </xf>
    <xf numFmtId="3" fontId="19" fillId="2" borderId="12" xfId="1" applyNumberFormat="1" applyFont="1" applyFill="1" applyBorder="1" applyAlignment="1" applyProtection="1">
      <alignment horizontal="left" vertical="center"/>
      <protection hidden="1"/>
    </xf>
    <xf numFmtId="3" fontId="19" fillId="2" borderId="16" xfId="1" applyNumberFormat="1" applyFont="1" applyFill="1" applyBorder="1" applyAlignment="1" applyProtection="1">
      <alignment horizontal="left" vertical="center"/>
      <protection hidden="1"/>
    </xf>
    <xf numFmtId="0" fontId="8" fillId="2" borderId="12" xfId="1" applyFont="1" applyFill="1" applyBorder="1" applyAlignment="1" applyProtection="1">
      <alignment horizontal="left"/>
      <protection hidden="1"/>
    </xf>
    <xf numFmtId="0" fontId="8" fillId="2" borderId="16" xfId="1" applyFont="1" applyFill="1" applyBorder="1" applyAlignment="1" applyProtection="1">
      <alignment horizontal="left"/>
      <protection hidden="1"/>
    </xf>
    <xf numFmtId="0" fontId="20" fillId="2" borderId="15" xfId="1" applyFont="1" applyFill="1" applyBorder="1" applyAlignment="1" applyProtection="1">
      <alignment horizontal="left" wrapText="1"/>
      <protection hidden="1"/>
    </xf>
    <xf numFmtId="0" fontId="20" fillId="2" borderId="12" xfId="1" applyFont="1" applyFill="1" applyBorder="1" applyAlignment="1" applyProtection="1">
      <alignment horizontal="center" vertical="center" wrapText="1"/>
      <protection hidden="1"/>
    </xf>
    <xf numFmtId="0" fontId="20" fillId="2" borderId="16" xfId="1" applyFont="1" applyFill="1" applyBorder="1" applyAlignment="1" applyProtection="1">
      <alignment horizontal="center" vertical="center" wrapText="1"/>
      <protection hidden="1"/>
    </xf>
    <xf numFmtId="0" fontId="31" fillId="4" borderId="74" xfId="1" applyFont="1" applyFill="1" applyBorder="1" applyAlignment="1" applyProtection="1">
      <alignment horizontal="left" vertical="center" wrapText="1"/>
      <protection hidden="1"/>
    </xf>
    <xf numFmtId="0" fontId="31" fillId="4" borderId="36" xfId="1" applyFont="1" applyFill="1" applyBorder="1" applyAlignment="1" applyProtection="1">
      <alignment horizontal="left" vertical="center" wrapText="1"/>
      <protection hidden="1"/>
    </xf>
    <xf numFmtId="0" fontId="31" fillId="4" borderId="75" xfId="1" applyFont="1" applyFill="1" applyBorder="1" applyAlignment="1" applyProtection="1">
      <alignment horizontal="left" vertical="center" wrapText="1"/>
      <protection hidden="1"/>
    </xf>
    <xf numFmtId="0" fontId="23" fillId="4" borderId="100" xfId="1" applyFont="1" applyFill="1" applyBorder="1" applyAlignment="1" applyProtection="1">
      <alignment horizontal="center" vertical="center" wrapText="1"/>
      <protection hidden="1"/>
    </xf>
    <xf numFmtId="0" fontId="23" fillId="4" borderId="101" xfId="1" applyFont="1" applyFill="1" applyBorder="1" applyAlignment="1" applyProtection="1">
      <alignment horizontal="center" vertical="center" wrapText="1"/>
      <protection hidden="1"/>
    </xf>
    <xf numFmtId="0" fontId="23" fillId="4" borderId="102" xfId="1" applyFont="1" applyFill="1" applyBorder="1" applyAlignment="1" applyProtection="1">
      <alignment horizontal="center" vertical="center" wrapText="1"/>
      <protection hidden="1"/>
    </xf>
    <xf numFmtId="0" fontId="23" fillId="4" borderId="24" xfId="1" applyFont="1" applyFill="1" applyBorder="1" applyAlignment="1" applyProtection="1">
      <alignment horizontal="center" vertical="center" wrapText="1"/>
      <protection hidden="1"/>
    </xf>
    <xf numFmtId="0" fontId="14" fillId="0" borderId="0" xfId="0" applyFont="1" applyAlignment="1">
      <alignment horizontal="center" wrapText="1"/>
    </xf>
    <xf numFmtId="166" fontId="19" fillId="0" borderId="0" xfId="1" applyNumberFormat="1" applyFont="1" applyFill="1" applyBorder="1" applyAlignment="1" applyProtection="1">
      <alignment horizontal="left" vertical="center"/>
      <protection locked="0" hidden="1"/>
    </xf>
    <xf numFmtId="166" fontId="19" fillId="0" borderId="97" xfId="1" applyNumberFormat="1" applyFont="1" applyFill="1" applyBorder="1" applyAlignment="1" applyProtection="1">
      <alignment horizontal="left" vertical="center"/>
      <protection locked="0" hidden="1"/>
    </xf>
    <xf numFmtId="166" fontId="8" fillId="2" borderId="95" xfId="1" applyNumberFormat="1" applyFont="1" applyFill="1" applyBorder="1" applyAlignment="1" applyProtection="1">
      <alignment horizontal="left" vertical="center"/>
      <protection hidden="1"/>
    </xf>
    <xf numFmtId="166" fontId="8" fillId="2" borderId="96" xfId="1" applyNumberFormat="1" applyFont="1" applyFill="1" applyBorder="1" applyAlignment="1" applyProtection="1">
      <alignment horizontal="left" vertical="center"/>
      <protection hidden="1"/>
    </xf>
    <xf numFmtId="10" fontId="8" fillId="2" borderId="93" xfId="1" applyNumberFormat="1" applyFont="1" applyFill="1" applyBorder="1" applyAlignment="1" applyProtection="1">
      <alignment horizontal="left" vertical="center"/>
      <protection hidden="1"/>
    </xf>
    <xf numFmtId="10" fontId="8" fillId="2" borderId="94" xfId="1" applyNumberFormat="1" applyFont="1" applyFill="1" applyBorder="1" applyAlignment="1" applyProtection="1">
      <alignment horizontal="left" vertical="center"/>
      <protection hidden="1"/>
    </xf>
    <xf numFmtId="0" fontId="8" fillId="0" borderId="13" xfId="1" applyFont="1" applyFill="1" applyBorder="1" applyAlignment="1" applyProtection="1">
      <alignment horizontal="center" vertical="center" wrapText="1"/>
      <protection locked="0" hidden="1"/>
    </xf>
    <xf numFmtId="0" fontId="8" fillId="0" borderId="22" xfId="1" applyFont="1" applyFill="1" applyBorder="1" applyAlignment="1" applyProtection="1">
      <alignment horizontal="center" vertical="center" wrapText="1"/>
      <protection locked="0" hidden="1"/>
    </xf>
    <xf numFmtId="0" fontId="8" fillId="0" borderId="17" xfId="1" applyFont="1" applyFill="1" applyBorder="1" applyAlignment="1" applyProtection="1">
      <alignment horizontal="center" vertical="center" wrapText="1"/>
      <protection locked="0" hidden="1"/>
    </xf>
    <xf numFmtId="0" fontId="8" fillId="0" borderId="23" xfId="1" applyFont="1" applyFill="1" applyBorder="1" applyAlignment="1" applyProtection="1">
      <alignment horizontal="center" vertical="center" wrapText="1"/>
      <protection locked="0" hidden="1"/>
    </xf>
    <xf numFmtId="0" fontId="0" fillId="2" borderId="13" xfId="0" applyFill="1" applyBorder="1" applyAlignment="1">
      <alignment horizontal="center" vertical="center" wrapText="1"/>
    </xf>
    <xf numFmtId="0" fontId="0" fillId="2" borderId="22" xfId="0" applyFill="1" applyBorder="1" applyAlignment="1">
      <alignment horizontal="center" vertical="center" wrapText="1"/>
    </xf>
    <xf numFmtId="0" fontId="0" fillId="2" borderId="17" xfId="0" applyFill="1" applyBorder="1" applyAlignment="1">
      <alignment horizontal="center" vertical="center" wrapText="1"/>
    </xf>
    <xf numFmtId="0" fontId="0" fillId="2" borderId="23" xfId="0" applyFill="1" applyBorder="1" applyAlignment="1">
      <alignment horizontal="center" vertical="center" wrapText="1"/>
    </xf>
    <xf numFmtId="166" fontId="8" fillId="0" borderId="14" xfId="1" applyNumberFormat="1" applyFont="1" applyFill="1" applyBorder="1" applyAlignment="1" applyProtection="1">
      <alignment horizontal="center" vertical="center" wrapText="1"/>
      <protection locked="0" hidden="1"/>
    </xf>
    <xf numFmtId="0" fontId="8" fillId="0" borderId="24" xfId="1" applyFont="1" applyFill="1" applyBorder="1" applyAlignment="1" applyProtection="1">
      <alignment horizontal="center" vertical="center" wrapText="1"/>
      <protection locked="0" hidden="1"/>
    </xf>
    <xf numFmtId="14" fontId="20" fillId="2" borderId="12" xfId="1" applyNumberFormat="1" applyFont="1" applyFill="1" applyBorder="1" applyAlignment="1" applyProtection="1">
      <alignment horizontal="center" vertical="center" wrapText="1"/>
      <protection hidden="1"/>
    </xf>
    <xf numFmtId="14" fontId="20" fillId="2" borderId="16" xfId="1" applyNumberFormat="1" applyFont="1" applyFill="1" applyBorder="1" applyAlignment="1" applyProtection="1">
      <alignment horizontal="center" vertical="center" wrapText="1"/>
      <protection hidden="1"/>
    </xf>
  </cellXfs>
  <cellStyles count="4">
    <cellStyle name="Обычный" xfId="0" builtinId="0"/>
    <cellStyle name="Обычный 2" xfId="1"/>
    <cellStyle name="Процентный 2" xfId="2"/>
    <cellStyle name="Финансовый 2" xfId="3"/>
  </cellStyles>
  <dxfs count="0"/>
  <tableStyles count="0" defaultTableStyle="TableStyleMedium2" defaultPivotStyle="PivotStyleLight16"/>
  <colors>
    <mruColors>
      <color rgb="FFF68E38"/>
      <color rgb="FFF5801F"/>
      <color rgb="FFF8A764"/>
      <color rgb="FF42F62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zakon.rada.gov.ua/laws/show/2341-14" TargetMode="External"/><Relationship Id="rId1" Type="http://schemas.openxmlformats.org/officeDocument/2006/relationships/hyperlink" Target="mailto:bank@pravex.kiev.ua" TargetMode="Externa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mailto:bank@pravex.kiev.ua"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76"/>
  <sheetViews>
    <sheetView tabSelected="1" topLeftCell="A73" workbookViewId="0">
      <selection activeCell="A75" sqref="A75:XFD76"/>
    </sheetView>
  </sheetViews>
  <sheetFormatPr defaultRowHeight="14.5" x14ac:dyDescent="0.35"/>
  <cols>
    <col min="1" max="1" width="45.54296875" customWidth="1"/>
    <col min="2" max="2" width="6.54296875" customWidth="1"/>
    <col min="3" max="3" width="60.81640625" customWidth="1"/>
    <col min="4" max="4" width="10" bestFit="1" customWidth="1"/>
  </cols>
  <sheetData>
    <row r="1" spans="1:5" s="10" customFormat="1" ht="87" x14ac:dyDescent="0.35">
      <c r="C1" s="264" t="s">
        <v>553</v>
      </c>
    </row>
    <row r="2" spans="1:5" ht="15" thickBot="1" x14ac:dyDescent="0.4">
      <c r="A2" s="278" t="s">
        <v>0</v>
      </c>
      <c r="B2" s="279"/>
      <c r="C2" s="279"/>
    </row>
    <row r="3" spans="1:5" ht="15" customHeight="1" x14ac:dyDescent="0.35">
      <c r="A3" s="311" t="s">
        <v>1</v>
      </c>
      <c r="B3" s="316" t="s">
        <v>109</v>
      </c>
      <c r="C3" s="317"/>
    </row>
    <row r="4" spans="1:5" ht="15" thickBot="1" x14ac:dyDescent="0.4">
      <c r="A4" s="312"/>
      <c r="B4" s="318"/>
      <c r="C4" s="319"/>
    </row>
    <row r="5" spans="1:5" ht="15" thickBot="1" x14ac:dyDescent="0.4">
      <c r="A5" s="313"/>
      <c r="B5" s="280" t="s">
        <v>542</v>
      </c>
      <c r="C5" s="281"/>
      <c r="E5" s="262" t="s">
        <v>550</v>
      </c>
    </row>
    <row r="6" spans="1:5" ht="15" customHeight="1" x14ac:dyDescent="0.35">
      <c r="A6" s="311" t="s">
        <v>3</v>
      </c>
      <c r="B6" s="316" t="s">
        <v>4</v>
      </c>
      <c r="C6" s="317"/>
    </row>
    <row r="7" spans="1:5" x14ac:dyDescent="0.35">
      <c r="A7" s="312"/>
      <c r="B7" s="320" t="s">
        <v>5</v>
      </c>
      <c r="C7" s="321"/>
    </row>
    <row r="8" spans="1:5" ht="15" thickBot="1" x14ac:dyDescent="0.4">
      <c r="A8" s="313"/>
      <c r="B8" s="322" t="str">
        <f>IF(B5=Лист1!B2,Лист1!F2,IF(B5=Лист1!B3,Лист1!F3,IF(B5=Лист1!B4,Лист1!F4,IF(паспорт!B5=Лист1!B5,Лист1!F5,IF(B5=Лист1!B6,Лист1!F6,IF(паспорт!B5=Лист1!B7,Лист1!F7,IF(B5=Лист1!B8,Лист1!F8,IF(паспорт!B5=Лист1!B9,Лист1!F9,IF(паспорт!B5=Лист1!B10,Лист1!F10,IF(B5=Лист1!B11,Лист1!F11,IF(паспорт!B5=Лист1!B12,Лист1!F12,IF(паспорт!B5=Лист1!B13,Лист1!F13,IF(B5=Лист1!B14,Лист1!F14,IF(паспорт!B5=Лист1!B15,Лист1!F15,IF(паспорт!B5=Лист1!B16,Лист1!F16,IF(паспорт!B5=Лист1!B17,Лист1!F17,IF(B5=Лист1!B18,Лист1!F18,IF(паспорт!B5=Лист1!B19,Лист1!F19,IF(паспорт!B5=Лист1!B20,Лист1!F20,IF(паспорт!B5=Лист1!B21,Лист1!F21,IF(B5=Лист1!B22,Лист1!F22,IF(паспорт!B5=Лист1!B23,Лист1!F23,IF(паспорт!B5=Лист1!B24,Лист1!F24,IF(паспорт!B5=Лист1!B25,Лист1!F25,IF(B5=Лист1!B26,Лист1!F26,IF(паспорт!B5=Лист1!B27,Лист1!F27,IF(паспорт!B5=Лист1!B28,Лист1!F28,IF(паспорт!B5=Лист1!B29,Лист1!F29,IF(B5=Лист1!B30,Лист1!F30,IF(паспорт!B5=Лист1!B31,Лист1!F31,IF(паспорт!B5=Лист1!B32,Лист1!F32,IF(паспорт!B5=Лист1!B33,Лист1!F33,IF(паспорт!B5=Лист1!B34,Лист1!F34,IF(B5=Лист1!B35,Лист1!F35,IF(паспорт!B5=Лист1!B36,Лист1!F36,IF(паспорт!B5=Лист1!B37,Лист1!F37,IF(паспорт!B5=Лист1!B38,Лист1!F38,IF(паспорт!B5=Лист1!B39,Лист1!F39,IF(B5=Лист1!B40,Лист1!F40,IF(паспорт!B5=Лист1!B41,Лист1!F41,IF(паспорт!B5=Лист1!B42,Лист1!F42,IF(паспорт!B5=Лист1!B43,Лист1!F43,IF(B5=Лист1!B44,Лист1!F44,IF(паспорт!B5=Лист1!B45,Лист1!F45,Лист1!F46))))))))))))))))))))))))))))))))))))))))))))</f>
        <v>14000 м. Чернігів 
пр-т. Миру 17</v>
      </c>
      <c r="C8" s="323"/>
    </row>
    <row r="9" spans="1:5" x14ac:dyDescent="0.35">
      <c r="A9" s="314" t="s">
        <v>6</v>
      </c>
      <c r="B9" s="324" t="s">
        <v>7</v>
      </c>
      <c r="C9" s="325"/>
    </row>
    <row r="10" spans="1:5" ht="15" thickBot="1" x14ac:dyDescent="0.4">
      <c r="A10" s="315"/>
      <c r="B10" s="326" t="s">
        <v>110</v>
      </c>
      <c r="C10" s="327"/>
    </row>
    <row r="11" spans="1:5" ht="15" thickBot="1" x14ac:dyDescent="0.4">
      <c r="A11" s="21" t="s">
        <v>8</v>
      </c>
      <c r="B11" s="280" t="s">
        <v>9</v>
      </c>
      <c r="C11" s="281"/>
    </row>
    <row r="12" spans="1:5" ht="15" thickBot="1" x14ac:dyDescent="0.4">
      <c r="A12" s="21" t="s">
        <v>10</v>
      </c>
      <c r="B12" s="280" t="s">
        <v>11</v>
      </c>
      <c r="C12" s="281"/>
    </row>
    <row r="13" spans="1:5" ht="15" thickBot="1" x14ac:dyDescent="0.4">
      <c r="A13" s="21" t="s">
        <v>12</v>
      </c>
      <c r="B13" s="280" t="s">
        <v>13</v>
      </c>
      <c r="C13" s="281"/>
    </row>
    <row r="14" spans="1:5" ht="15.75" customHeight="1" thickBot="1" x14ac:dyDescent="0.4">
      <c r="A14" s="282" t="s">
        <v>14</v>
      </c>
      <c r="B14" s="283"/>
      <c r="C14" s="284"/>
    </row>
    <row r="15" spans="1:5" s="10" customFormat="1" ht="15.75" customHeight="1" thickBot="1" x14ac:dyDescent="0.4">
      <c r="A15" s="177" t="s">
        <v>145</v>
      </c>
      <c r="B15" s="305" t="s">
        <v>146</v>
      </c>
      <c r="C15" s="306"/>
    </row>
    <row r="16" spans="1:5" s="10" customFormat="1" ht="15.75" customHeight="1" thickBot="1" x14ac:dyDescent="0.4">
      <c r="A16" s="177" t="s">
        <v>147</v>
      </c>
      <c r="B16" s="307"/>
      <c r="C16" s="308"/>
    </row>
    <row r="17" spans="1:5" s="10" customFormat="1" ht="15.75" customHeight="1" thickBot="1" x14ac:dyDescent="0.4">
      <c r="A17" s="177" t="s">
        <v>8</v>
      </c>
      <c r="B17" s="307"/>
      <c r="C17" s="308"/>
    </row>
    <row r="18" spans="1:5" s="10" customFormat="1" ht="15.75" customHeight="1" thickBot="1" x14ac:dyDescent="0.4">
      <c r="A18" s="177" t="s">
        <v>10</v>
      </c>
      <c r="B18" s="307"/>
      <c r="C18" s="308"/>
    </row>
    <row r="19" spans="1:5" s="10" customFormat="1" ht="15.75" customHeight="1" thickBot="1" x14ac:dyDescent="0.4">
      <c r="A19" s="177" t="s">
        <v>148</v>
      </c>
      <c r="B19" s="309"/>
      <c r="C19" s="310"/>
    </row>
    <row r="20" spans="1:5" ht="15.75" customHeight="1" thickBot="1" x14ac:dyDescent="0.4">
      <c r="A20" s="282" t="s">
        <v>15</v>
      </c>
      <c r="B20" s="283"/>
      <c r="C20" s="284"/>
    </row>
    <row r="21" spans="1:5" ht="15" thickBot="1" x14ac:dyDescent="0.4">
      <c r="A21" s="21" t="s">
        <v>16</v>
      </c>
      <c r="B21" s="280" t="s">
        <v>79</v>
      </c>
      <c r="C21" s="281"/>
    </row>
    <row r="22" spans="1:5" ht="15" thickBot="1" x14ac:dyDescent="0.4">
      <c r="A22" s="21" t="s">
        <v>17</v>
      </c>
      <c r="B22" s="295">
        <f>графік!F7</f>
        <v>4000000</v>
      </c>
      <c r="C22" s="296"/>
    </row>
    <row r="23" spans="1:5" ht="15" thickBot="1" x14ac:dyDescent="0.4">
      <c r="A23" s="21" t="s">
        <v>149</v>
      </c>
      <c r="B23" s="271" t="str">
        <f>CONCATENATE(E23,D23)</f>
        <v>240 міс.</v>
      </c>
      <c r="C23" s="273"/>
      <c r="D23" s="80" t="s">
        <v>150</v>
      </c>
      <c r="E23" s="80">
        <f>графік!F8</f>
        <v>240</v>
      </c>
    </row>
    <row r="24" spans="1:5" s="10" customFormat="1" ht="15" thickBot="1" x14ac:dyDescent="0.4">
      <c r="A24" s="160" t="s">
        <v>18</v>
      </c>
      <c r="B24" s="274" t="s">
        <v>135</v>
      </c>
      <c r="C24" s="275"/>
    </row>
    <row r="25" spans="1:5" ht="27" customHeight="1" thickBot="1" x14ac:dyDescent="0.4">
      <c r="A25" s="149" t="s">
        <v>19</v>
      </c>
      <c r="B25" s="280" t="s">
        <v>113</v>
      </c>
      <c r="C25" s="281"/>
    </row>
    <row r="26" spans="1:5" ht="15" thickBot="1" x14ac:dyDescent="0.4">
      <c r="A26" s="20" t="s">
        <v>20</v>
      </c>
      <c r="B26" s="280" t="s">
        <v>136</v>
      </c>
      <c r="C26" s="281"/>
    </row>
    <row r="27" spans="1:5" ht="38.25" customHeight="1" thickBot="1" x14ac:dyDescent="0.4">
      <c r="A27" s="20" t="s">
        <v>21</v>
      </c>
      <c r="B27" s="280" t="s">
        <v>142</v>
      </c>
      <c r="C27" s="281"/>
    </row>
    <row r="28" spans="1:5" ht="20.25" customHeight="1" x14ac:dyDescent="0.35">
      <c r="A28" s="311" t="s">
        <v>23</v>
      </c>
      <c r="B28" s="304">
        <v>0.3</v>
      </c>
      <c r="C28" s="275"/>
    </row>
    <row r="29" spans="1:5" ht="15" thickBot="1" x14ac:dyDescent="0.4">
      <c r="A29" s="312"/>
      <c r="B29" s="276"/>
      <c r="C29" s="277"/>
    </row>
    <row r="30" spans="1:5" ht="19.5" customHeight="1" x14ac:dyDescent="0.35">
      <c r="A30" s="299" t="s">
        <v>187</v>
      </c>
      <c r="B30" s="300"/>
      <c r="C30" s="301"/>
    </row>
    <row r="31" spans="1:5" ht="19.5" customHeight="1" thickBot="1" x14ac:dyDescent="0.4">
      <c r="A31" s="161" t="s">
        <v>25</v>
      </c>
      <c r="B31" s="302">
        <f>графік!F9</f>
        <v>0.1399</v>
      </c>
      <c r="C31" s="303"/>
      <c r="D31" s="162"/>
    </row>
    <row r="32" spans="1:5" ht="21.75" customHeight="1" thickBot="1" x14ac:dyDescent="0.4">
      <c r="A32" s="20" t="s">
        <v>26</v>
      </c>
      <c r="B32" s="276" t="s">
        <v>134</v>
      </c>
      <c r="C32" s="277"/>
    </row>
    <row r="33" spans="1:5" ht="31.5" customHeight="1" thickBot="1" x14ac:dyDescent="0.4">
      <c r="A33" s="20" t="s">
        <v>27</v>
      </c>
      <c r="B33" s="280" t="s">
        <v>137</v>
      </c>
      <c r="C33" s="281"/>
    </row>
    <row r="34" spans="1:5" ht="23.5" thickBot="1" x14ac:dyDescent="0.4">
      <c r="A34" s="20" t="s">
        <v>28</v>
      </c>
      <c r="B34" s="280" t="s">
        <v>29</v>
      </c>
      <c r="C34" s="281"/>
    </row>
    <row r="35" spans="1:5" ht="15" thickBot="1" x14ac:dyDescent="0.4">
      <c r="A35" s="20" t="s">
        <v>108</v>
      </c>
      <c r="B35" s="293">
        <f>графік!P3</f>
        <v>0.01</v>
      </c>
      <c r="C35" s="294"/>
    </row>
    <row r="36" spans="1:5" ht="15" thickBot="1" x14ac:dyDescent="0.4">
      <c r="A36" s="20" t="s">
        <v>30</v>
      </c>
      <c r="B36" s="280" t="s">
        <v>22</v>
      </c>
      <c r="C36" s="281"/>
    </row>
    <row r="37" spans="1:5" ht="26.25" customHeight="1" thickBot="1" x14ac:dyDescent="0.4">
      <c r="A37" s="152" t="s">
        <v>31</v>
      </c>
      <c r="B37" s="295" t="s">
        <v>22</v>
      </c>
      <c r="C37" s="281"/>
    </row>
    <row r="38" spans="1:5" ht="15" hidden="1" thickBot="1" x14ac:dyDescent="0.4">
      <c r="A38" s="1"/>
      <c r="B38" s="2"/>
    </row>
    <row r="39" spans="1:5" s="10" customFormat="1" ht="23.5" thickBot="1" x14ac:dyDescent="0.4">
      <c r="A39" s="178" t="s">
        <v>151</v>
      </c>
      <c r="B39" s="286" t="s">
        <v>152</v>
      </c>
      <c r="C39" s="287"/>
    </row>
    <row r="40" spans="1:5" s="10" customFormat="1" ht="23.5" thickBot="1" x14ac:dyDescent="0.4">
      <c r="A40" s="178" t="s">
        <v>153</v>
      </c>
      <c r="B40" s="286" t="s">
        <v>154</v>
      </c>
      <c r="C40" s="287"/>
    </row>
    <row r="41" spans="1:5" ht="15" thickBot="1" x14ac:dyDescent="0.4">
      <c r="A41" s="1" t="s">
        <v>32</v>
      </c>
      <c r="B41" s="295">
        <f ca="1">B42-B22</f>
        <v>5444213.3300000001</v>
      </c>
      <c r="C41" s="296"/>
    </row>
    <row r="42" spans="1:5" ht="35" thickBot="1" x14ac:dyDescent="0.4">
      <c r="A42" s="1" t="s">
        <v>33</v>
      </c>
      <c r="B42" s="295">
        <f ca="1">SUM('дод 1 до дог кред'!P30:P270)</f>
        <v>9444213.3300000001</v>
      </c>
      <c r="C42" s="296"/>
    </row>
    <row r="43" spans="1:5" ht="15" thickBot="1" x14ac:dyDescent="0.4">
      <c r="A43" s="145" t="s">
        <v>34</v>
      </c>
      <c r="B43" s="288">
        <f ca="1">SUM(графік!P24:P265)</f>
        <v>0.15020998120307927</v>
      </c>
      <c r="C43" s="289"/>
    </row>
    <row r="44" spans="1:5" ht="48" customHeight="1" thickBot="1" x14ac:dyDescent="0.4">
      <c r="A44" s="290" t="s">
        <v>35</v>
      </c>
      <c r="B44" s="291"/>
      <c r="C44" s="292"/>
    </row>
    <row r="45" spans="1:5" ht="24" customHeight="1" thickBot="1" x14ac:dyDescent="0.4">
      <c r="A45" s="290" t="s">
        <v>36</v>
      </c>
      <c r="B45" s="291"/>
      <c r="C45" s="292"/>
    </row>
    <row r="46" spans="1:5" ht="24" customHeight="1" thickBot="1" x14ac:dyDescent="0.4">
      <c r="A46" s="290" t="s">
        <v>37</v>
      </c>
      <c r="B46" s="291"/>
      <c r="C46" s="292"/>
    </row>
    <row r="47" spans="1:5" s="10" customFormat="1" ht="24" customHeight="1" thickBot="1" x14ac:dyDescent="0.4">
      <c r="A47" s="179" t="s">
        <v>158</v>
      </c>
      <c r="B47" s="271" t="s">
        <v>29</v>
      </c>
      <c r="C47" s="273"/>
    </row>
    <row r="48" spans="1:5" s="10" customFormat="1" ht="24" customHeight="1" thickBot="1" x14ac:dyDescent="0.4">
      <c r="A48" s="180" t="s">
        <v>185</v>
      </c>
      <c r="B48" s="297" t="str">
        <f>IF(D48=0,E48,CONCATENATE(E48,D48))</f>
        <v>так, 10000</v>
      </c>
      <c r="C48" s="298"/>
      <c r="D48" s="181">
        <f>графік!I24</f>
        <v>10000</v>
      </c>
      <c r="E48" s="80" t="str">
        <f>IF(D48&gt;0,"так, ","ні")</f>
        <v xml:space="preserve">так, </v>
      </c>
    </row>
    <row r="49" spans="1:5" s="10" customFormat="1" ht="24" customHeight="1" thickBot="1" x14ac:dyDescent="0.4">
      <c r="A49" s="180" t="s">
        <v>159</v>
      </c>
      <c r="B49" s="297" t="str">
        <f>IF(D49=0,E49,CONCATENATE(E49,D49))</f>
        <v>так, 2000</v>
      </c>
      <c r="C49" s="298"/>
      <c r="D49" s="181">
        <f>графік!J24</f>
        <v>2000</v>
      </c>
      <c r="E49" s="80" t="str">
        <f>IF(D49&gt;0,"так, ","ні")</f>
        <v xml:space="preserve">так, </v>
      </c>
    </row>
    <row r="50" spans="1:5" s="10" customFormat="1" ht="24" customHeight="1" thickBot="1" x14ac:dyDescent="0.4">
      <c r="A50" s="180" t="s">
        <v>160</v>
      </c>
      <c r="B50" s="297" t="str">
        <f>IF(D50=0,E50,CONCATENATE(E50,D50))</f>
        <v>так, 342000</v>
      </c>
      <c r="C50" s="298"/>
      <c r="D50" s="181">
        <f>графік!P9+графік!P11</f>
        <v>342000</v>
      </c>
      <c r="E50" s="80" t="str">
        <f>IF(D50&gt;0,"так, ","ні")</f>
        <v xml:space="preserve">так, </v>
      </c>
    </row>
    <row r="51" spans="1:5" s="10" customFormat="1" ht="24" customHeight="1" thickBot="1" x14ac:dyDescent="0.4">
      <c r="A51" s="180" t="s">
        <v>161</v>
      </c>
      <c r="B51" s="297" t="str">
        <f>IF(D51=0,E51,CONCATENATE(E51,D51))</f>
        <v>ні</v>
      </c>
      <c r="C51" s="298"/>
      <c r="D51" s="181">
        <f>графік!L24</f>
        <v>0</v>
      </c>
      <c r="E51" s="80" t="str">
        <f>IF(D51&gt;0,"так, ","ні")</f>
        <v>ні</v>
      </c>
    </row>
    <row r="52" spans="1:5" ht="15" thickBot="1" x14ac:dyDescent="0.4">
      <c r="A52" s="282" t="s">
        <v>38</v>
      </c>
      <c r="B52" s="283"/>
      <c r="C52" s="284"/>
    </row>
    <row r="53" spans="1:5" ht="75" customHeight="1" thickBot="1" x14ac:dyDescent="0.4">
      <c r="A53" s="152" t="s">
        <v>39</v>
      </c>
      <c r="B53" s="271" t="s">
        <v>157</v>
      </c>
      <c r="C53" s="273"/>
    </row>
    <row r="54" spans="1:5" ht="15" thickBot="1" x14ac:dyDescent="0.4">
      <c r="A54" s="282" t="s">
        <v>41</v>
      </c>
      <c r="B54" s="283"/>
      <c r="C54" s="284"/>
    </row>
    <row r="55" spans="1:5" ht="23.5" thickBot="1" x14ac:dyDescent="0.4">
      <c r="A55" s="1" t="s">
        <v>44</v>
      </c>
      <c r="B55" s="271" t="s">
        <v>155</v>
      </c>
      <c r="C55" s="273"/>
    </row>
    <row r="56" spans="1:5" ht="15" thickBot="1" x14ac:dyDescent="0.4">
      <c r="A56" s="1" t="s">
        <v>45</v>
      </c>
      <c r="B56" s="280" t="s">
        <v>46</v>
      </c>
      <c r="C56" s="281"/>
    </row>
    <row r="57" spans="1:5" s="10" customFormat="1" ht="15" thickBot="1" x14ac:dyDescent="0.4">
      <c r="A57" s="178" t="s">
        <v>156</v>
      </c>
      <c r="B57" s="286" t="s">
        <v>22</v>
      </c>
      <c r="C57" s="287"/>
    </row>
    <row r="58" spans="1:5" ht="23.5" thickBot="1" x14ac:dyDescent="0.4">
      <c r="A58" s="1" t="s">
        <v>143</v>
      </c>
      <c r="B58" s="280" t="s">
        <v>83</v>
      </c>
      <c r="C58" s="281"/>
    </row>
    <row r="59" spans="1:5" ht="15" thickBot="1" x14ac:dyDescent="0.4">
      <c r="A59" s="269" t="s">
        <v>47</v>
      </c>
      <c r="B59" s="280" t="s">
        <v>22</v>
      </c>
      <c r="C59" s="281"/>
    </row>
    <row r="60" spans="1:5" s="10" customFormat="1" ht="25.5" customHeight="1" thickBot="1" x14ac:dyDescent="0.4">
      <c r="A60" s="269" t="s">
        <v>557</v>
      </c>
      <c r="B60" s="335" t="s">
        <v>558</v>
      </c>
      <c r="C60" s="336"/>
      <c r="D60" s="80"/>
      <c r="E60" s="80"/>
    </row>
    <row r="61" spans="1:5" s="10" customFormat="1" ht="25.5" customHeight="1" thickBot="1" x14ac:dyDescent="0.4">
      <c r="A61" s="335" t="s">
        <v>559</v>
      </c>
      <c r="B61" s="337"/>
      <c r="C61" s="336"/>
      <c r="D61" s="80"/>
      <c r="E61" s="80"/>
    </row>
    <row r="62" spans="1:5" ht="15" thickBot="1" x14ac:dyDescent="0.4">
      <c r="A62" s="282" t="s">
        <v>48</v>
      </c>
      <c r="B62" s="283"/>
      <c r="C62" s="284"/>
    </row>
    <row r="63" spans="1:5" ht="36" customHeight="1" thickBot="1" x14ac:dyDescent="0.4">
      <c r="A63" s="280" t="s">
        <v>49</v>
      </c>
      <c r="B63" s="285"/>
      <c r="C63" s="281"/>
    </row>
    <row r="64" spans="1:5" ht="46.5" thickBot="1" x14ac:dyDescent="0.4">
      <c r="A64" s="152" t="s">
        <v>50</v>
      </c>
      <c r="B64" s="280" t="s">
        <v>22</v>
      </c>
      <c r="C64" s="281"/>
    </row>
    <row r="65" spans="1:5" ht="36" customHeight="1" thickBot="1" x14ac:dyDescent="0.4">
      <c r="A65" s="280" t="s">
        <v>51</v>
      </c>
      <c r="B65" s="285"/>
      <c r="C65" s="281"/>
    </row>
    <row r="66" spans="1:5" ht="36" customHeight="1" thickBot="1" x14ac:dyDescent="0.4">
      <c r="A66" s="280" t="s">
        <v>52</v>
      </c>
      <c r="B66" s="285"/>
      <c r="C66" s="281"/>
      <c r="D66" s="263">
        <f ca="1">TODAY()</f>
        <v>44389</v>
      </c>
      <c r="E66" s="80" t="s">
        <v>551</v>
      </c>
    </row>
    <row r="67" spans="1:5" ht="15" customHeight="1" x14ac:dyDescent="0.35">
      <c r="A67" s="329" t="str">
        <f ca="1">CONCATENATE(E66,TEXT(D66,"dd.mm.yyyy"))</f>
        <v>Дата надання інформації: 12.07.2021</v>
      </c>
      <c r="B67" s="331" t="str">
        <f ca="1">CONCATENATE(E67,TEXT(D67,"dd.mm.yyyy"))</f>
        <v>Ця інформація зберігає чинність та є актуальною до 11.07.2041</v>
      </c>
      <c r="C67" s="332"/>
      <c r="D67" s="263">
        <f ca="1">EDATE(D66,графік!F8)-1</f>
        <v>51693</v>
      </c>
      <c r="E67" s="328" t="s">
        <v>552</v>
      </c>
    </row>
    <row r="68" spans="1:5" ht="15" thickBot="1" x14ac:dyDescent="0.4">
      <c r="A68" s="330"/>
      <c r="B68" s="333"/>
      <c r="C68" s="334"/>
      <c r="D68" s="80"/>
      <c r="E68" s="328"/>
    </row>
    <row r="69" spans="1:5" x14ac:dyDescent="0.35">
      <c r="A69" s="148"/>
      <c r="B69" s="274" t="s">
        <v>56</v>
      </c>
      <c r="C69" s="275"/>
    </row>
    <row r="70" spans="1:5" ht="15" thickBot="1" x14ac:dyDescent="0.4">
      <c r="A70" s="4" t="s">
        <v>55</v>
      </c>
      <c r="B70" s="276"/>
      <c r="C70" s="277"/>
    </row>
    <row r="71" spans="1:5" ht="24" customHeight="1" thickBot="1" x14ac:dyDescent="0.4">
      <c r="A71" s="280" t="s">
        <v>57</v>
      </c>
      <c r="B71" s="285"/>
      <c r="C71" s="281"/>
    </row>
    <row r="72" spans="1:5" ht="48" customHeight="1" thickBot="1" x14ac:dyDescent="0.4">
      <c r="A72" s="280" t="s">
        <v>58</v>
      </c>
      <c r="B72" s="285"/>
      <c r="C72" s="281"/>
    </row>
    <row r="73" spans="1:5" x14ac:dyDescent="0.35">
      <c r="A73" s="3"/>
      <c r="B73" s="274" t="s">
        <v>60</v>
      </c>
      <c r="C73" s="275"/>
    </row>
    <row r="74" spans="1:5" ht="15" thickBot="1" x14ac:dyDescent="0.4">
      <c r="A74" s="4" t="s">
        <v>59</v>
      </c>
      <c r="B74" s="276"/>
      <c r="C74" s="277"/>
    </row>
    <row r="75" spans="1:5" ht="58" customHeight="1" thickBot="1" x14ac:dyDescent="0.4">
      <c r="A75" s="271" t="s">
        <v>560</v>
      </c>
      <c r="B75" s="272"/>
      <c r="C75" s="273"/>
    </row>
    <row r="76" spans="1:5" ht="28.5" customHeight="1" thickBot="1" x14ac:dyDescent="0.4">
      <c r="A76" s="271" t="s">
        <v>561</v>
      </c>
      <c r="B76" s="272"/>
      <c r="C76" s="273"/>
    </row>
  </sheetData>
  <mergeCells count="72">
    <mergeCell ref="E67:E68"/>
    <mergeCell ref="A71:C71"/>
    <mergeCell ref="A72:C72"/>
    <mergeCell ref="B53:C53"/>
    <mergeCell ref="A54:C54"/>
    <mergeCell ref="A67:A68"/>
    <mergeCell ref="A65:C65"/>
    <mergeCell ref="A66:C66"/>
    <mergeCell ref="B67:C68"/>
    <mergeCell ref="B60:C60"/>
    <mergeCell ref="A61:C61"/>
    <mergeCell ref="A3:A5"/>
    <mergeCell ref="A6:A8"/>
    <mergeCell ref="A9:A10"/>
    <mergeCell ref="A28:A29"/>
    <mergeCell ref="B69:C70"/>
    <mergeCell ref="B3:C3"/>
    <mergeCell ref="B4:C4"/>
    <mergeCell ref="B5:C5"/>
    <mergeCell ref="B6:C6"/>
    <mergeCell ref="B7:C7"/>
    <mergeCell ref="B8:C8"/>
    <mergeCell ref="B9:C9"/>
    <mergeCell ref="B10:C10"/>
    <mergeCell ref="B11:C11"/>
    <mergeCell ref="B12:C12"/>
    <mergeCell ref="B13:C13"/>
    <mergeCell ref="A14:C14"/>
    <mergeCell ref="A20:C20"/>
    <mergeCell ref="B21:C21"/>
    <mergeCell ref="B22:C22"/>
    <mergeCell ref="B23:C23"/>
    <mergeCell ref="B15:C19"/>
    <mergeCell ref="B24:C24"/>
    <mergeCell ref="B25:C25"/>
    <mergeCell ref="B26:C26"/>
    <mergeCell ref="B27:C27"/>
    <mergeCell ref="B28:C29"/>
    <mergeCell ref="A30:C30"/>
    <mergeCell ref="B32:C32"/>
    <mergeCell ref="B33:C33"/>
    <mergeCell ref="B34:C34"/>
    <mergeCell ref="B31:C31"/>
    <mergeCell ref="A52:C52"/>
    <mergeCell ref="B35:C35"/>
    <mergeCell ref="B36:C36"/>
    <mergeCell ref="B37:C37"/>
    <mergeCell ref="B41:C41"/>
    <mergeCell ref="B42:C42"/>
    <mergeCell ref="B39:C39"/>
    <mergeCell ref="B40:C40"/>
    <mergeCell ref="B47:C47"/>
    <mergeCell ref="B48:C48"/>
    <mergeCell ref="B49:C49"/>
    <mergeCell ref="B50:C50"/>
    <mergeCell ref="B51:C51"/>
    <mergeCell ref="A75:C75"/>
    <mergeCell ref="A76:C76"/>
    <mergeCell ref="B73:C74"/>
    <mergeCell ref="A2:C2"/>
    <mergeCell ref="B58:C58"/>
    <mergeCell ref="B59:C59"/>
    <mergeCell ref="A62:C62"/>
    <mergeCell ref="A63:C63"/>
    <mergeCell ref="B64:C64"/>
    <mergeCell ref="B57:C57"/>
    <mergeCell ref="B55:C55"/>
    <mergeCell ref="B56:C56"/>
    <mergeCell ref="B43:C43"/>
    <mergeCell ref="A44:C44"/>
    <mergeCell ref="A45:C45"/>
    <mergeCell ref="A46:C46"/>
  </mergeCells>
  <hyperlinks>
    <hyperlink ref="B12" r:id="rId1" display="mailto:bank@pravex.kiev.ua"/>
    <hyperlink ref="A76" r:id="rId2" location="n1190" display="n1190"/>
  </hyperlinks>
  <pageMargins left="0.7" right="0.7" top="0.75" bottom="0.75" header="0.3" footer="0.3"/>
  <pageSetup paperSize="9" scale="71" fitToHeight="0" orientation="portrait"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Лист1!$B$2:$B$46</xm:f>
          </x14:formula1>
          <xm:sqref>B5:C5</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B280"/>
  <sheetViews>
    <sheetView topLeftCell="F1" zoomScale="90" zoomScaleNormal="90" workbookViewId="0">
      <selection activeCell="H3" sqref="H3:M3"/>
    </sheetView>
  </sheetViews>
  <sheetFormatPr defaultRowHeight="14.5" x14ac:dyDescent="0.35"/>
  <cols>
    <col min="1" max="1" width="4.26953125" customWidth="1"/>
    <col min="2" max="2" width="24.81640625" hidden="1" customWidth="1"/>
    <col min="3" max="3" width="30.453125" style="10" customWidth="1"/>
    <col min="4" max="4" width="14" customWidth="1"/>
    <col min="5" max="5" width="14.26953125" customWidth="1"/>
    <col min="6" max="6" width="14.7265625" customWidth="1"/>
    <col min="7" max="7" width="13.26953125" customWidth="1"/>
    <col min="8" max="8" width="20.54296875" customWidth="1"/>
    <col min="9" max="9" width="15.1796875" style="10" customWidth="1"/>
    <col min="10" max="10" width="17.26953125" style="10" customWidth="1"/>
    <col min="11" max="11" width="13.81640625" style="10" customWidth="1"/>
    <col min="12" max="12" width="17.1796875" style="10" customWidth="1"/>
    <col min="13" max="13" width="35.26953125" customWidth="1"/>
    <col min="14" max="14" width="15.7265625" style="10" customWidth="1"/>
    <col min="15" max="15" width="16" style="10" customWidth="1"/>
    <col min="16" max="16" width="12.26953125" customWidth="1"/>
    <col min="17" max="17" width="13.54296875" customWidth="1"/>
    <col min="18" max="18" width="13.54296875" style="10" hidden="1" customWidth="1"/>
    <col min="19" max="21" width="9.1796875" hidden="1" customWidth="1"/>
    <col min="22" max="22" width="10.81640625" hidden="1" customWidth="1"/>
    <col min="23" max="24" width="9.1796875" hidden="1" customWidth="1"/>
    <col min="25" max="25" width="12.453125" hidden="1" customWidth="1"/>
    <col min="26" max="26" width="20.54296875" hidden="1" customWidth="1"/>
    <col min="27" max="28" width="9.1796875" hidden="1" customWidth="1"/>
  </cols>
  <sheetData>
    <row r="1" spans="1:28" s="7" customFormat="1" x14ac:dyDescent="0.35">
      <c r="A1" s="345" t="s">
        <v>107</v>
      </c>
      <c r="B1" s="345"/>
      <c r="C1" s="345"/>
      <c r="D1" s="345"/>
      <c r="E1" s="345"/>
      <c r="F1" s="345"/>
      <c r="G1" s="345"/>
      <c r="H1" s="345"/>
      <c r="I1" s="345"/>
      <c r="J1" s="345"/>
      <c r="K1" s="345"/>
      <c r="L1" s="345"/>
      <c r="M1" s="345"/>
      <c r="N1" s="345"/>
      <c r="O1" s="345"/>
      <c r="P1" s="345"/>
      <c r="Q1" s="345"/>
      <c r="R1" s="175"/>
      <c r="X1" s="10"/>
      <c r="Y1" s="10" t="s">
        <v>177</v>
      </c>
      <c r="Z1" s="10" t="s">
        <v>178</v>
      </c>
    </row>
    <row r="2" spans="1:28" s="6" customFormat="1" x14ac:dyDescent="0.35">
      <c r="A2" s="13"/>
      <c r="B2" s="13"/>
      <c r="C2" s="15"/>
      <c r="D2" s="13"/>
      <c r="E2" s="13"/>
      <c r="F2" s="15"/>
      <c r="G2" s="12"/>
      <c r="H2" s="13"/>
      <c r="I2" s="13"/>
      <c r="J2" s="13"/>
      <c r="K2" s="13"/>
      <c r="L2" s="13"/>
      <c r="M2" s="13"/>
      <c r="N2" s="13"/>
      <c r="O2" s="13"/>
      <c r="P2" s="13"/>
      <c r="Q2" s="13"/>
      <c r="R2" s="13"/>
      <c r="X2" s="10">
        <v>1</v>
      </c>
      <c r="Y2" s="207">
        <f>O8+O10</f>
        <v>17100</v>
      </c>
      <c r="Z2" s="207">
        <f>Y2-O8</f>
        <v>0</v>
      </c>
    </row>
    <row r="3" spans="1:28" x14ac:dyDescent="0.35">
      <c r="A3" s="13"/>
      <c r="B3" s="12" t="s">
        <v>61</v>
      </c>
      <c r="C3" s="233" t="s">
        <v>61</v>
      </c>
      <c r="D3" s="234">
        <f ca="1">F3</f>
        <v>44389</v>
      </c>
      <c r="E3" s="235"/>
      <c r="F3" s="236">
        <f ca="1">TODAY()</f>
        <v>44389</v>
      </c>
      <c r="G3" s="14"/>
      <c r="H3" s="349" t="s">
        <v>139</v>
      </c>
      <c r="I3" s="349"/>
      <c r="J3" s="349"/>
      <c r="K3" s="349"/>
      <c r="L3" s="349"/>
      <c r="M3" s="349"/>
      <c r="N3" s="350">
        <v>0.01</v>
      </c>
      <c r="O3" s="350"/>
      <c r="P3" s="193">
        <f>N3</f>
        <v>0.01</v>
      </c>
      <c r="Q3" s="13"/>
      <c r="R3" s="13"/>
      <c r="X3" s="208">
        <v>2</v>
      </c>
      <c r="Y3" s="209">
        <f>IF($F$8&gt;12,K37,0)</f>
        <v>17100</v>
      </c>
      <c r="Z3" s="207">
        <f>IF(Y3&gt;0,$Z$2,0)</f>
        <v>0</v>
      </c>
    </row>
    <row r="4" spans="1:28" x14ac:dyDescent="0.35">
      <c r="A4" s="13"/>
      <c r="B4" s="12" t="s">
        <v>66</v>
      </c>
      <c r="C4" s="237" t="s">
        <v>138</v>
      </c>
      <c r="D4" s="171">
        <f t="shared" ref="D4:D9" si="0">F4</f>
        <v>5700000</v>
      </c>
      <c r="E4" s="169"/>
      <c r="F4" s="238">
        <v>5700000</v>
      </c>
      <c r="G4" s="15"/>
      <c r="H4" s="351" t="s">
        <v>77</v>
      </c>
      <c r="I4" s="351"/>
      <c r="J4" s="351"/>
      <c r="K4" s="351"/>
      <c r="L4" s="351"/>
      <c r="M4" s="351"/>
      <c r="N4" s="352">
        <f>N3*F7</f>
        <v>40000</v>
      </c>
      <c r="O4" s="352"/>
      <c r="P4" s="194">
        <f>N4</f>
        <v>40000</v>
      </c>
      <c r="Q4" s="13"/>
      <c r="R4" s="13"/>
      <c r="X4" s="208">
        <v>3</v>
      </c>
      <c r="Y4" s="209">
        <f>IF($F$8&gt;24,K49,0)</f>
        <v>17100</v>
      </c>
      <c r="Z4" s="207">
        <f t="shared" ref="Z4:Z21" si="1">IF(Y4&gt;0,$Z$2,0)</f>
        <v>0</v>
      </c>
    </row>
    <row r="5" spans="1:28" ht="15" customHeight="1" x14ac:dyDescent="0.35">
      <c r="A5" s="13"/>
      <c r="B5" s="12" t="s">
        <v>65</v>
      </c>
      <c r="C5" s="237" t="s">
        <v>65</v>
      </c>
      <c r="D5" s="171">
        <f t="shared" si="0"/>
        <v>1700000</v>
      </c>
      <c r="E5" s="169"/>
      <c r="F5" s="238">
        <v>1700000</v>
      </c>
      <c r="G5" s="16"/>
      <c r="H5" s="195" t="s">
        <v>130</v>
      </c>
      <c r="I5" s="196"/>
      <c r="J5" s="196"/>
      <c r="K5" s="196"/>
      <c r="L5" s="196"/>
      <c r="M5" s="196"/>
      <c r="N5" s="344">
        <v>0</v>
      </c>
      <c r="O5" s="344"/>
      <c r="P5" s="194">
        <f>N5</f>
        <v>0</v>
      </c>
      <c r="Q5" s="13"/>
      <c r="R5" s="13"/>
      <c r="X5" s="208">
        <v>4</v>
      </c>
      <c r="Y5" s="209">
        <f>IF($F$8&gt;36,K61,0)</f>
        <v>17100</v>
      </c>
      <c r="Z5" s="207">
        <f t="shared" si="1"/>
        <v>0</v>
      </c>
    </row>
    <row r="6" spans="1:28" s="7" customFormat="1" x14ac:dyDescent="0.35">
      <c r="A6" s="13"/>
      <c r="B6" s="12" t="s">
        <v>67</v>
      </c>
      <c r="C6" s="237" t="s">
        <v>67</v>
      </c>
      <c r="D6" s="172">
        <f t="shared" si="0"/>
        <v>0.2982456140350877</v>
      </c>
      <c r="E6" s="169"/>
      <c r="F6" s="239">
        <f>F5/F4</f>
        <v>0.2982456140350877</v>
      </c>
      <c r="G6" s="17"/>
      <c r="H6" s="197" t="s">
        <v>162</v>
      </c>
      <c r="I6" s="353" t="s">
        <v>168</v>
      </c>
      <c r="J6" s="353"/>
      <c r="K6" s="353"/>
      <c r="L6" s="353"/>
      <c r="M6" s="353"/>
      <c r="N6" s="353"/>
      <c r="O6" s="353"/>
      <c r="P6" s="198"/>
      <c r="Q6" s="13"/>
      <c r="R6" s="13"/>
      <c r="X6" s="208">
        <v>5</v>
      </c>
      <c r="Y6" s="209">
        <f>IF($F$8&gt;48,K73,0)</f>
        <v>17100</v>
      </c>
      <c r="Z6" s="207">
        <f t="shared" si="1"/>
        <v>0</v>
      </c>
    </row>
    <row r="7" spans="1:28" x14ac:dyDescent="0.35">
      <c r="A7" s="13"/>
      <c r="B7" s="12" t="s">
        <v>64</v>
      </c>
      <c r="C7" s="237" t="s">
        <v>64</v>
      </c>
      <c r="D7" s="171">
        <f t="shared" si="0"/>
        <v>4000000</v>
      </c>
      <c r="E7" s="169"/>
      <c r="F7" s="240">
        <f>F4-F5</f>
        <v>4000000</v>
      </c>
      <c r="G7" s="17"/>
      <c r="H7" s="199"/>
      <c r="I7" s="200" t="s">
        <v>169</v>
      </c>
      <c r="J7" s="201"/>
      <c r="K7" s="201"/>
      <c r="L7" s="201"/>
      <c r="M7" s="270" t="s">
        <v>554</v>
      </c>
      <c r="N7" s="342">
        <v>10000</v>
      </c>
      <c r="O7" s="343"/>
      <c r="P7" s="194">
        <f>N7</f>
        <v>10000</v>
      </c>
      <c r="Q7" s="164"/>
      <c r="R7" s="164"/>
      <c r="X7" s="210">
        <v>6</v>
      </c>
      <c r="Y7" s="209">
        <f>IF($F$8&gt;60,K85,0)</f>
        <v>17100</v>
      </c>
      <c r="Z7" s="207">
        <f t="shared" si="1"/>
        <v>0</v>
      </c>
    </row>
    <row r="8" spans="1:28" x14ac:dyDescent="0.35">
      <c r="A8" s="13"/>
      <c r="B8" s="12" t="s">
        <v>63</v>
      </c>
      <c r="C8" s="237" t="s">
        <v>63</v>
      </c>
      <c r="D8" s="171">
        <f t="shared" si="0"/>
        <v>240</v>
      </c>
      <c r="E8" s="169"/>
      <c r="F8" s="241">
        <v>240</v>
      </c>
      <c r="G8" s="214">
        <f>F8/12</f>
        <v>20</v>
      </c>
      <c r="H8" s="199"/>
      <c r="I8" s="200" t="s">
        <v>170</v>
      </c>
      <c r="J8" s="201"/>
      <c r="K8" s="201"/>
      <c r="L8" s="201"/>
      <c r="M8" s="270" t="s">
        <v>555</v>
      </c>
      <c r="N8" s="266">
        <v>3.0000000000000001E-3</v>
      </c>
      <c r="O8" s="265">
        <f>N8*F4</f>
        <v>17100</v>
      </c>
      <c r="P8" s="194">
        <f>O8</f>
        <v>17100</v>
      </c>
      <c r="Q8" s="165"/>
      <c r="R8" s="165"/>
      <c r="T8" t="s">
        <v>105</v>
      </c>
      <c r="X8" s="208">
        <v>7</v>
      </c>
      <c r="Y8" s="209">
        <f>IF($F$8&gt;72,K97,0)</f>
        <v>17100</v>
      </c>
      <c r="Z8" s="207">
        <f t="shared" si="1"/>
        <v>0</v>
      </c>
      <c r="AA8" s="10" t="s">
        <v>84</v>
      </c>
      <c r="AB8" s="10">
        <v>1700</v>
      </c>
    </row>
    <row r="9" spans="1:28" x14ac:dyDescent="0.35">
      <c r="A9" s="13"/>
      <c r="B9" s="12" t="s">
        <v>62</v>
      </c>
      <c r="C9" s="237" t="s">
        <v>62</v>
      </c>
      <c r="D9" s="173">
        <f t="shared" si="0"/>
        <v>0.1399</v>
      </c>
      <c r="E9" s="169"/>
      <c r="F9" s="239">
        <v>0.1399</v>
      </c>
      <c r="G9" s="25">
        <f>F12+F13</f>
        <v>0.18770000000000001</v>
      </c>
      <c r="H9" s="199"/>
      <c r="I9" s="340" t="s">
        <v>171</v>
      </c>
      <c r="J9" s="341"/>
      <c r="K9" s="341"/>
      <c r="L9" s="341"/>
      <c r="M9" s="341"/>
      <c r="N9" s="342">
        <f>Y22-Z22</f>
        <v>342000</v>
      </c>
      <c r="O9" s="343"/>
      <c r="P9" s="194">
        <f>N9</f>
        <v>342000</v>
      </c>
      <c r="Q9" s="164"/>
      <c r="R9" s="164"/>
      <c r="T9" t="s">
        <v>106</v>
      </c>
      <c r="X9" s="208">
        <v>8</v>
      </c>
      <c r="Y9" s="209">
        <f>IF($F$8&gt;84,K109,0)</f>
        <v>17100</v>
      </c>
      <c r="Z9" s="207">
        <f t="shared" si="1"/>
        <v>0</v>
      </c>
    </row>
    <row r="10" spans="1:28" ht="17.25" customHeight="1" x14ac:dyDescent="0.35">
      <c r="A10" s="13"/>
      <c r="B10" s="13"/>
      <c r="C10" s="237" t="s">
        <v>186</v>
      </c>
      <c r="D10" s="168">
        <f ca="1">EDATE(F3,F8)</f>
        <v>51694</v>
      </c>
      <c r="E10" s="169"/>
      <c r="F10" s="242">
        <f ca="1">EDATE(F3,F8)</f>
        <v>51694</v>
      </c>
      <c r="G10" s="18"/>
      <c r="H10" s="199"/>
      <c r="I10" s="340" t="s">
        <v>172</v>
      </c>
      <c r="J10" s="341"/>
      <c r="K10" s="341"/>
      <c r="L10" s="341"/>
      <c r="M10" s="341"/>
      <c r="N10" s="266">
        <v>0</v>
      </c>
      <c r="O10" s="265">
        <f>N10*F7</f>
        <v>0</v>
      </c>
      <c r="P10" s="194">
        <f>O10</f>
        <v>0</v>
      </c>
      <c r="Q10" s="166"/>
      <c r="R10" s="166"/>
      <c r="S10" s="11"/>
      <c r="X10" s="208">
        <v>9</v>
      </c>
      <c r="Y10" s="209">
        <f>IF($F$8&gt;96,K121,0)</f>
        <v>17100</v>
      </c>
      <c r="Z10" s="207">
        <f t="shared" si="1"/>
        <v>0</v>
      </c>
      <c r="AB10" s="10">
        <f>F4/AB8</f>
        <v>3352.9411764705883</v>
      </c>
    </row>
    <row r="11" spans="1:28" s="10" customFormat="1" ht="21" customHeight="1" x14ac:dyDescent="0.35">
      <c r="A11" s="13"/>
      <c r="B11" s="13"/>
      <c r="C11" s="243" t="s">
        <v>82</v>
      </c>
      <c r="D11" s="244">
        <f ca="1">EDATE(D3,60)</f>
        <v>46215</v>
      </c>
      <c r="E11" s="245"/>
      <c r="F11" s="246">
        <f ca="1">EDATE(D3,60)</f>
        <v>46215</v>
      </c>
      <c r="G11" s="134"/>
      <c r="H11" s="199"/>
      <c r="I11" s="340" t="s">
        <v>173</v>
      </c>
      <c r="J11" s="341"/>
      <c r="K11" s="341"/>
      <c r="L11" s="341"/>
      <c r="M11" s="341"/>
      <c r="N11" s="342">
        <f>Z22</f>
        <v>0</v>
      </c>
      <c r="O11" s="343"/>
      <c r="P11" s="194">
        <f>N11</f>
        <v>0</v>
      </c>
      <c r="Q11" s="166"/>
      <c r="R11" s="166"/>
      <c r="S11" s="11"/>
      <c r="X11" s="208">
        <v>10</v>
      </c>
      <c r="Y11" s="209">
        <f>IF($F$8&gt;108,K133,0)</f>
        <v>17100</v>
      </c>
      <c r="Z11" s="207">
        <f t="shared" si="1"/>
        <v>0</v>
      </c>
    </row>
    <row r="12" spans="1:28" s="8" customFormat="1" ht="29.25" customHeight="1" x14ac:dyDescent="0.35">
      <c r="A12" s="13"/>
      <c r="B12" s="13"/>
      <c r="C12" s="231" t="s">
        <v>144</v>
      </c>
      <c r="D12" s="232"/>
      <c r="E12" s="164"/>
      <c r="F12" s="232">
        <v>0.15770000000000001</v>
      </c>
      <c r="G12" s="134"/>
      <c r="H12" s="199"/>
      <c r="I12" s="200" t="s">
        <v>174</v>
      </c>
      <c r="J12" s="201"/>
      <c r="K12" s="201"/>
      <c r="L12" s="201"/>
      <c r="M12" s="270" t="s">
        <v>554</v>
      </c>
      <c r="N12" s="342">
        <v>2000</v>
      </c>
      <c r="O12" s="343"/>
      <c r="P12" s="194">
        <f>N12</f>
        <v>2000</v>
      </c>
      <c r="Q12" s="163"/>
      <c r="R12" s="166"/>
      <c r="S12" s="11"/>
      <c r="X12" s="208">
        <v>11</v>
      </c>
      <c r="Y12" s="209">
        <f>IF($F$8&gt;120,K145,0)</f>
        <v>17100</v>
      </c>
      <c r="Z12" s="207">
        <f t="shared" si="1"/>
        <v>0</v>
      </c>
    </row>
    <row r="13" spans="1:28" s="10" customFormat="1" ht="15.75" customHeight="1" x14ac:dyDescent="0.35">
      <c r="A13" s="91"/>
      <c r="B13" s="13"/>
      <c r="C13" s="231" t="s">
        <v>81</v>
      </c>
      <c r="D13" s="164"/>
      <c r="E13" s="164"/>
      <c r="F13" s="232">
        <v>0.03</v>
      </c>
      <c r="G13" s="96"/>
      <c r="H13" s="199"/>
      <c r="I13" s="200" t="s">
        <v>166</v>
      </c>
      <c r="J13" s="201"/>
      <c r="K13" s="201"/>
      <c r="L13" s="201"/>
      <c r="M13" s="201"/>
      <c r="N13" s="342">
        <v>0</v>
      </c>
      <c r="O13" s="343"/>
      <c r="P13" s="194">
        <f>N13</f>
        <v>0</v>
      </c>
      <c r="Q13" s="19"/>
      <c r="R13" s="19"/>
      <c r="S13" s="9"/>
      <c r="X13" s="208">
        <v>12</v>
      </c>
      <c r="Y13" s="209">
        <f>IF($F$8&gt;132,K157,0)</f>
        <v>17100</v>
      </c>
      <c r="Z13" s="207">
        <f t="shared" si="1"/>
        <v>0</v>
      </c>
    </row>
    <row r="14" spans="1:28" s="10" customFormat="1" x14ac:dyDescent="0.35">
      <c r="A14" s="13"/>
      <c r="B14" s="13"/>
      <c r="C14" s="247" t="s">
        <v>82</v>
      </c>
      <c r="D14" s="235"/>
      <c r="E14" s="235"/>
      <c r="F14" s="236">
        <f ca="1">EDATE(F3,60)</f>
        <v>46215</v>
      </c>
      <c r="G14" s="19"/>
      <c r="H14" s="202" t="s">
        <v>175</v>
      </c>
      <c r="I14" s="203"/>
      <c r="J14" s="203"/>
      <c r="K14" s="203"/>
      <c r="L14" s="204"/>
      <c r="M14" s="205" t="s">
        <v>556</v>
      </c>
      <c r="N14" s="344">
        <v>0</v>
      </c>
      <c r="O14" s="344"/>
      <c r="P14" s="194">
        <f>N14</f>
        <v>0</v>
      </c>
      <c r="Q14" s="19"/>
      <c r="R14" s="19"/>
      <c r="S14" s="9"/>
      <c r="X14" s="208">
        <v>13</v>
      </c>
      <c r="Y14" s="209">
        <f>IF($F$8&gt;144,K169,0)</f>
        <v>17100</v>
      </c>
      <c r="Z14" s="207">
        <f t="shared" si="1"/>
        <v>0</v>
      </c>
    </row>
    <row r="15" spans="1:28" ht="29" x14ac:dyDescent="0.35">
      <c r="A15" s="13"/>
      <c r="B15" s="13"/>
      <c r="C15" s="248" t="s">
        <v>180</v>
      </c>
      <c r="D15" s="169"/>
      <c r="E15" s="169"/>
      <c r="F15" s="267">
        <v>8.4699999999999998E-2</v>
      </c>
      <c r="G15" s="18"/>
      <c r="H15" s="182"/>
      <c r="I15" s="182"/>
      <c r="J15" s="182"/>
      <c r="K15" s="182"/>
      <c r="L15" s="182"/>
      <c r="M15" s="18"/>
      <c r="N15" s="18"/>
      <c r="O15" s="18"/>
      <c r="P15" s="76"/>
      <c r="Q15" s="18"/>
      <c r="R15" s="18"/>
      <c r="S15" s="11"/>
      <c r="X15" s="208">
        <v>14</v>
      </c>
      <c r="Y15" s="209">
        <f>IF($F$8&gt;156,K181,0)</f>
        <v>17100</v>
      </c>
      <c r="Z15" s="207">
        <f t="shared" si="1"/>
        <v>0</v>
      </c>
      <c r="AB15" t="str">
        <f>IF(AB10&lt;165,"3%",IF(AB10&gt;290,"5%","4%"))</f>
        <v>5%</v>
      </c>
    </row>
    <row r="16" spans="1:28" s="10" customFormat="1" x14ac:dyDescent="0.35">
      <c r="A16" s="13"/>
      <c r="B16" s="13"/>
      <c r="C16" s="249" t="s">
        <v>81</v>
      </c>
      <c r="D16" s="245"/>
      <c r="E16" s="245"/>
      <c r="F16" s="268">
        <v>0.03</v>
      </c>
      <c r="G16" s="18"/>
      <c r="H16" s="182"/>
      <c r="I16" s="182"/>
      <c r="J16" s="182"/>
      <c r="K16" s="182"/>
      <c r="L16" s="182"/>
      <c r="M16" s="18"/>
      <c r="N16" s="18"/>
      <c r="O16" s="18"/>
      <c r="P16" s="76"/>
      <c r="Q16" s="18"/>
      <c r="R16" s="18"/>
      <c r="S16" s="11"/>
      <c r="X16" s="208">
        <v>15</v>
      </c>
      <c r="Y16" s="209">
        <f>IF($F$8&gt;168,K193,0)</f>
        <v>17100</v>
      </c>
      <c r="Z16" s="207">
        <f t="shared" si="1"/>
        <v>0</v>
      </c>
    </row>
    <row r="17" spans="1:26" s="10" customFormat="1" hidden="1" x14ac:dyDescent="0.35">
      <c r="A17" s="13"/>
      <c r="B17" s="13"/>
      <c r="C17" s="219" t="s">
        <v>181</v>
      </c>
      <c r="D17" s="25">
        <f>F17</f>
        <v>0.1147</v>
      </c>
      <c r="E17" s="15"/>
      <c r="F17" s="220">
        <f>F15+F16</f>
        <v>0.1147</v>
      </c>
      <c r="G17" s="18"/>
      <c r="H17" s="182"/>
      <c r="I17" s="182"/>
      <c r="J17" s="182"/>
      <c r="K17" s="182"/>
      <c r="L17" s="182"/>
      <c r="M17" s="18"/>
      <c r="N17" s="18"/>
      <c r="O17" s="18"/>
      <c r="P17" s="76"/>
      <c r="Q17" s="18"/>
      <c r="R17" s="18"/>
      <c r="S17" s="11"/>
      <c r="X17" s="208">
        <v>16</v>
      </c>
      <c r="Y17" s="209">
        <f>IF($F$8&gt;180,K205,0)</f>
        <v>17100</v>
      </c>
      <c r="Z17" s="207">
        <f t="shared" si="1"/>
        <v>0</v>
      </c>
    </row>
    <row r="18" spans="1:26" s="10" customFormat="1" hidden="1" x14ac:dyDescent="0.35">
      <c r="A18" s="13"/>
      <c r="B18" s="13"/>
      <c r="C18" s="221"/>
      <c r="D18" s="15"/>
      <c r="E18" s="15"/>
      <c r="F18" s="222">
        <f>-PMT(F17/12,(F8-60),(F7-(SUM(F25:F84))))</f>
        <v>34988.495943972972</v>
      </c>
      <c r="G18" s="18"/>
      <c r="H18" s="182"/>
      <c r="I18" s="182"/>
      <c r="J18" s="182"/>
      <c r="K18" s="182"/>
      <c r="L18" s="182"/>
      <c r="M18" s="18"/>
      <c r="N18" s="18"/>
      <c r="O18" s="18"/>
      <c r="P18" s="76"/>
      <c r="Q18" s="18"/>
      <c r="R18" s="18"/>
      <c r="S18" s="11"/>
      <c r="X18" s="208">
        <v>17</v>
      </c>
      <c r="Y18" s="209">
        <f>IF($F$8&gt;192,K217,0)</f>
        <v>17100</v>
      </c>
      <c r="Z18" s="207">
        <f t="shared" si="1"/>
        <v>0</v>
      </c>
    </row>
    <row r="19" spans="1:26" s="10" customFormat="1" hidden="1" x14ac:dyDescent="0.35">
      <c r="A19" s="13"/>
      <c r="B19" s="13"/>
      <c r="C19" s="221"/>
      <c r="D19" s="15"/>
      <c r="E19" s="170">
        <f ca="1">EDATE(F3,F8)</f>
        <v>51694</v>
      </c>
      <c r="F19" s="222">
        <v>0</v>
      </c>
      <c r="G19" s="18"/>
      <c r="H19" s="182"/>
      <c r="I19" s="182"/>
      <c r="J19" s="182"/>
      <c r="K19" s="182"/>
      <c r="L19" s="182"/>
      <c r="M19" s="18"/>
      <c r="N19" s="18"/>
      <c r="O19" s="18"/>
      <c r="P19" s="76"/>
      <c r="Q19" s="18"/>
      <c r="R19" s="18"/>
      <c r="S19" s="11"/>
      <c r="X19" s="208">
        <v>18</v>
      </c>
      <c r="Y19" s="209">
        <f>IF($F$8&gt;204,K229,0)</f>
        <v>17100</v>
      </c>
      <c r="Z19" s="207">
        <f t="shared" si="1"/>
        <v>0</v>
      </c>
    </row>
    <row r="20" spans="1:26" s="10" customFormat="1" hidden="1" x14ac:dyDescent="0.35">
      <c r="A20" s="13"/>
      <c r="B20" s="13"/>
      <c r="C20" s="223"/>
      <c r="D20" s="167"/>
      <c r="E20" s="167"/>
      <c r="F20" s="224">
        <f>F18+F19</f>
        <v>34988.495943972972</v>
      </c>
      <c r="G20" s="18"/>
      <c r="H20" s="182"/>
      <c r="I20" s="182"/>
      <c r="J20" s="182"/>
      <c r="K20" s="182"/>
      <c r="L20" s="182"/>
      <c r="M20" s="18"/>
      <c r="N20" s="18"/>
      <c r="O20" s="18"/>
      <c r="P20" s="76"/>
      <c r="Q20" s="18"/>
      <c r="R20" s="18"/>
      <c r="S20" s="11"/>
      <c r="X20" s="208">
        <v>19</v>
      </c>
      <c r="Y20" s="209">
        <f>IF($F$8&gt;216,K241,0)</f>
        <v>17100</v>
      </c>
      <c r="Z20" s="207">
        <f t="shared" si="1"/>
        <v>0</v>
      </c>
    </row>
    <row r="21" spans="1:26" s="8" customFormat="1" ht="18.75" customHeight="1" x14ac:dyDescent="0.35">
      <c r="A21" s="15"/>
      <c r="B21" s="13"/>
      <c r="C21" s="15"/>
      <c r="D21" s="15"/>
      <c r="E21" s="13"/>
      <c r="F21" s="13"/>
      <c r="G21" s="96"/>
      <c r="H21" s="96"/>
      <c r="I21" s="85"/>
      <c r="J21" s="85"/>
      <c r="K21" s="85"/>
      <c r="L21" s="85"/>
      <c r="M21" s="96"/>
      <c r="N21" s="96"/>
      <c r="O21" s="96"/>
      <c r="P21" s="96"/>
      <c r="Q21" s="19"/>
      <c r="R21" s="19"/>
      <c r="S21" s="9"/>
      <c r="X21" s="208">
        <v>20</v>
      </c>
      <c r="Y21" s="209">
        <f>IF($F$8&gt;228,K253,0)</f>
        <v>17100</v>
      </c>
      <c r="Z21" s="207">
        <f t="shared" si="1"/>
        <v>0</v>
      </c>
    </row>
    <row r="22" spans="1:26" s="8" customFormat="1" ht="38.25" customHeight="1" x14ac:dyDescent="0.35">
      <c r="A22" s="184" t="s">
        <v>68</v>
      </c>
      <c r="B22" s="185" t="s">
        <v>69</v>
      </c>
      <c r="C22" s="190" t="s">
        <v>69</v>
      </c>
      <c r="D22" s="192" t="s">
        <v>70</v>
      </c>
      <c r="E22" s="185" t="s">
        <v>71</v>
      </c>
      <c r="F22" s="190" t="s">
        <v>73</v>
      </c>
      <c r="G22" s="185" t="s">
        <v>74</v>
      </c>
      <c r="H22" s="190" t="s">
        <v>75</v>
      </c>
      <c r="I22" s="346" t="s">
        <v>162</v>
      </c>
      <c r="J22" s="347"/>
      <c r="K22" s="347"/>
      <c r="L22" s="348"/>
      <c r="M22" s="184" t="s">
        <v>76</v>
      </c>
      <c r="N22" s="338" t="s">
        <v>167</v>
      </c>
      <c r="O22" s="338" t="s">
        <v>176</v>
      </c>
      <c r="P22" s="190" t="s">
        <v>123</v>
      </c>
      <c r="Q22" s="189" t="s">
        <v>122</v>
      </c>
      <c r="R22" s="338" t="s">
        <v>179</v>
      </c>
      <c r="S22" s="9"/>
      <c r="X22" s="10"/>
      <c r="Y22" s="207">
        <f>SUM(Y2:Y21)</f>
        <v>342000</v>
      </c>
      <c r="Z22" s="207">
        <f>SUM(Z2:Z21)</f>
        <v>0</v>
      </c>
    </row>
    <row r="23" spans="1:26" s="10" customFormat="1" ht="38.25" customHeight="1" x14ac:dyDescent="0.35">
      <c r="A23" s="186"/>
      <c r="B23" s="187"/>
      <c r="C23" s="191"/>
      <c r="D23" s="187"/>
      <c r="E23" s="187"/>
      <c r="F23" s="191"/>
      <c r="G23" s="187"/>
      <c r="H23" s="191"/>
      <c r="I23" s="183" t="s">
        <v>163</v>
      </c>
      <c r="J23" s="183" t="s">
        <v>164</v>
      </c>
      <c r="K23" s="183" t="s">
        <v>165</v>
      </c>
      <c r="L23" s="183" t="s">
        <v>166</v>
      </c>
      <c r="M23" s="186"/>
      <c r="N23" s="339"/>
      <c r="O23" s="339"/>
      <c r="P23" s="191"/>
      <c r="Q23" s="188"/>
      <c r="R23" s="339"/>
      <c r="S23" s="9"/>
      <c r="X23" s="208"/>
      <c r="Y23" s="209"/>
      <c r="Z23" s="207"/>
    </row>
    <row r="24" spans="1:26" s="10" customFormat="1" ht="12" customHeight="1" x14ac:dyDescent="0.35">
      <c r="A24" s="27"/>
      <c r="B24" s="28">
        <f ca="1">D3</f>
        <v>44389</v>
      </c>
      <c r="C24" s="28">
        <f t="shared" ref="C24" ca="1" si="2">IF(A24&gt;$D$8,"",B24)</f>
        <v>44389</v>
      </c>
      <c r="D24" s="27"/>
      <c r="E24" s="29">
        <f>IF(Q8="кредит",D7+P8,D7)</f>
        <v>4000000</v>
      </c>
      <c r="F24" s="27"/>
      <c r="G24" s="27"/>
      <c r="H24" s="71">
        <f>-E24+I24+J24+K24+L24+M24+N24+O24</f>
        <v>-3930900</v>
      </c>
      <c r="I24" s="206">
        <f>P7</f>
        <v>10000</v>
      </c>
      <c r="J24" s="206">
        <f>P12</f>
        <v>2000</v>
      </c>
      <c r="K24" s="206">
        <f>O8+O10</f>
        <v>17100</v>
      </c>
      <c r="L24" s="206">
        <f>P13</f>
        <v>0</v>
      </c>
      <c r="M24" s="29">
        <f>N4</f>
        <v>40000</v>
      </c>
      <c r="N24" s="29">
        <f>P14</f>
        <v>0</v>
      </c>
      <c r="O24" s="29">
        <f>P5</f>
        <v>0</v>
      </c>
      <c r="P24" s="215"/>
      <c r="Q24" s="216"/>
      <c r="R24" s="29">
        <f>H24</f>
        <v>-3930900</v>
      </c>
      <c r="S24" s="26"/>
      <c r="T24" s="22">
        <f ca="1">T25</f>
        <v>365</v>
      </c>
      <c r="U24" s="22"/>
      <c r="V24" s="22"/>
      <c r="W24" s="22"/>
      <c r="X24" s="208"/>
      <c r="Y24" s="209"/>
      <c r="Z24" s="207"/>
    </row>
    <row r="25" spans="1:26" x14ac:dyDescent="0.35">
      <c r="A25" s="32">
        <v>1</v>
      </c>
      <c r="B25" s="28">
        <f ca="1">EDATE($B$24,A25)</f>
        <v>44420</v>
      </c>
      <c r="C25" s="28">
        <f ca="1">IF(A25&gt;$F$8,"",B25)</f>
        <v>44420</v>
      </c>
      <c r="D25" s="32">
        <f t="shared" ref="D25:D36" ca="1" si="3">B25-B24</f>
        <v>31</v>
      </c>
      <c r="E25" s="29">
        <f>E24-F25</f>
        <v>3983333.3333333335</v>
      </c>
      <c r="F25" s="29">
        <f>$E$24/$D$8</f>
        <v>16666.666666666668</v>
      </c>
      <c r="G25" s="29">
        <f ca="1">IF(T25&lt;&gt;T24,ROUND(SUM(V25*$F$9*E24/T25,W25*$F$9*E24/T24),2),ROUND(E24*$F$9*D25/T24,2))</f>
        <v>47527.67</v>
      </c>
      <c r="H25" s="29">
        <f ca="1">F25+G25</f>
        <v>64194.33666666667</v>
      </c>
      <c r="I25" s="211"/>
      <c r="J25" s="211"/>
      <c r="K25" s="211"/>
      <c r="L25" s="211"/>
      <c r="M25" s="32"/>
      <c r="N25" s="32"/>
      <c r="O25" s="32"/>
      <c r="P25" s="217" t="str">
        <f>IF(A24=$D$8,XIRR(H$24:H24,C$24:C24),"")</f>
        <v/>
      </c>
      <c r="Q25" s="218"/>
      <c r="R25" s="29">
        <f ca="1">SUM(H25:Q25)</f>
        <v>64194.33666666667</v>
      </c>
      <c r="S25" s="22">
        <f ca="1">IF(C25="","",YEAR(C25))</f>
        <v>2021</v>
      </c>
      <c r="T25" s="22">
        <f ca="1">IF(OR(S25=2024,S25=2028,S25=2016,S25=2020,S25=2024,S25=2028,S25=2032,S25=2036,S25=2040),366,365)</f>
        <v>365</v>
      </c>
      <c r="U25" s="22">
        <f ca="1">IF(C25="","",DAY(C25))</f>
        <v>12</v>
      </c>
      <c r="V25" s="23">
        <f ca="1">U25-1</f>
        <v>11</v>
      </c>
      <c r="W25" s="24">
        <f ca="1">D25-V25</f>
        <v>20</v>
      </c>
      <c r="X25" s="208"/>
      <c r="Y25" s="209"/>
      <c r="Z25" s="207"/>
    </row>
    <row r="26" spans="1:26" x14ac:dyDescent="0.35">
      <c r="A26" s="32">
        <f>IF(A25&lt;$D$8,A25+1,"")</f>
        <v>2</v>
      </c>
      <c r="B26" s="28">
        <f t="shared" ref="B26:B89" ca="1" si="4">EDATE($B$24,A26)</f>
        <v>44451</v>
      </c>
      <c r="C26" s="28">
        <f t="shared" ref="C26:C89" ca="1" si="5">IF(B26=$D$10,B26-1,(IF(B26&gt;$D$10," ",B26)))</f>
        <v>44451</v>
      </c>
      <c r="D26" s="32">
        <f t="shared" ca="1" si="3"/>
        <v>31</v>
      </c>
      <c r="E26" s="29">
        <f>E25-F26</f>
        <v>3966666.6633333336</v>
      </c>
      <c r="F26" s="29">
        <f>ROUND($E$24/$D$8,2)</f>
        <v>16666.669999999998</v>
      </c>
      <c r="G26" s="29">
        <f ca="1">IF(A25=$D$8,ROUND(SUM($G$25:G25),2),IF(A26&gt;$F$8,"",IF(T26&lt;&gt;T25,ROUND(SUM(V26*$F$9*E25/T26,W26*$F$9*E25/T25),2),ROUND(E25*$F$9*D26/T25,2))))</f>
        <v>47329.64</v>
      </c>
      <c r="H26" s="29">
        <f ca="1">IF(A25=$D$8,SUM(H7:H25),IF(A25&gt;$D$8,"",F26+G26))</f>
        <v>63996.31</v>
      </c>
      <c r="I26" s="212"/>
      <c r="J26" s="212"/>
      <c r="K26" s="212"/>
      <c r="L26" s="212"/>
      <c r="M26" s="32"/>
      <c r="N26" s="32"/>
      <c r="O26" s="32"/>
      <c r="P26" s="217" t="str">
        <f>IF(A25=$D$8,XIRR(R$24:R25,C$24:C25),"")</f>
        <v/>
      </c>
      <c r="Q26" s="218"/>
      <c r="R26" s="29">
        <f t="shared" ref="R26:R89" ca="1" si="6">SUM(H26:Q26)</f>
        <v>63996.31</v>
      </c>
      <c r="S26" s="22">
        <f t="shared" ref="S26:S89" ca="1" si="7">IF(C26="","",YEAR(C26))</f>
        <v>2021</v>
      </c>
      <c r="T26" s="22">
        <f t="shared" ref="T26:T89" ca="1" si="8">IF(OR(S26=2024,S26=2028,S26=2016,S26=2020,S26=2024,S26=2028,S26=2032,S26=2036,S26=2040),366,365)</f>
        <v>365</v>
      </c>
      <c r="U26" s="22">
        <f t="shared" ref="U26:U84" ca="1" si="9">IF(C26="","",DAY(C26))</f>
        <v>12</v>
      </c>
      <c r="V26" s="23">
        <f t="shared" ref="V26:V84" ca="1" si="10">U26-1</f>
        <v>11</v>
      </c>
      <c r="W26" s="24">
        <f t="shared" ref="W26:W84" ca="1" si="11">D26-V26</f>
        <v>20</v>
      </c>
      <c r="X26" s="208"/>
      <c r="Y26" s="209"/>
      <c r="Z26" s="207"/>
    </row>
    <row r="27" spans="1:26" x14ac:dyDescent="0.35">
      <c r="A27" s="32">
        <f t="shared" ref="A27:A90" si="12">IF(A26&lt;$D$8,A26+1,"")</f>
        <v>3</v>
      </c>
      <c r="B27" s="28">
        <f t="shared" ca="1" si="4"/>
        <v>44481</v>
      </c>
      <c r="C27" s="28">
        <f t="shared" ca="1" si="5"/>
        <v>44481</v>
      </c>
      <c r="D27" s="32">
        <f t="shared" ca="1" si="3"/>
        <v>30</v>
      </c>
      <c r="E27" s="29">
        <f t="shared" ref="E27:E36" si="13">E26-F27</f>
        <v>3949999.9933333336</v>
      </c>
      <c r="F27" s="29">
        <f>IF(AND(A26="",A28=""),"",IF(A27="",ROUND(SUM($F$25:F26),2),IF(A27=$D$8,$E$24-ROUND(SUM($F$25:F26),2),ROUND($E$24/$D$8,2))))</f>
        <v>16666.669999999998</v>
      </c>
      <c r="G27" s="29">
        <f ca="1">IF(A26=$D$8,ROUND(SUM($G$25:G26),2),IF(A27&gt;$F$8,"",IF(T27&lt;&gt;T26,ROUND(SUM(V27*$F$9*E26/T27,W27*$F$9*E26/T26),2),ROUND(E26*$F$9*D27/T26,2))))</f>
        <v>45611.23</v>
      </c>
      <c r="H27" s="29">
        <f ca="1">IF(A26=$D$8,SUM(H8:H26),IF(A26&gt;$D$8,"",F27+G27))</f>
        <v>62277.9</v>
      </c>
      <c r="I27" s="212"/>
      <c r="J27" s="212"/>
      <c r="K27" s="212"/>
      <c r="L27" s="212"/>
      <c r="M27" s="32"/>
      <c r="N27" s="32"/>
      <c r="O27" s="32"/>
      <c r="P27" s="217" t="str">
        <f>IF(A26=$D$8,XIRR(R$24:R26,C$24:C26),"")</f>
        <v/>
      </c>
      <c r="Q27" s="212" t="str">
        <f>IF(A26=$D$8,G27+M27+F27+I27+J27+K27+L27+N27+O27,"")</f>
        <v/>
      </c>
      <c r="R27" s="29">
        <f t="shared" ca="1" si="6"/>
        <v>62277.9</v>
      </c>
      <c r="S27" s="22">
        <f t="shared" ca="1" si="7"/>
        <v>2021</v>
      </c>
      <c r="T27" s="22">
        <f t="shared" ca="1" si="8"/>
        <v>365</v>
      </c>
      <c r="U27" s="22">
        <f t="shared" ca="1" si="9"/>
        <v>12</v>
      </c>
      <c r="V27" s="23">
        <f t="shared" ca="1" si="10"/>
        <v>11</v>
      </c>
      <c r="W27" s="24">
        <f t="shared" ca="1" si="11"/>
        <v>19</v>
      </c>
      <c r="X27" s="10"/>
      <c r="Y27" s="207"/>
      <c r="Z27" s="207"/>
    </row>
    <row r="28" spans="1:26" x14ac:dyDescent="0.35">
      <c r="A28" s="32">
        <f t="shared" si="12"/>
        <v>4</v>
      </c>
      <c r="B28" s="28">
        <f t="shared" ca="1" si="4"/>
        <v>44512</v>
      </c>
      <c r="C28" s="28">
        <f t="shared" ca="1" si="5"/>
        <v>44512</v>
      </c>
      <c r="D28" s="32">
        <f t="shared" ca="1" si="3"/>
        <v>31</v>
      </c>
      <c r="E28" s="29">
        <f t="shared" si="13"/>
        <v>3933333.3233333337</v>
      </c>
      <c r="F28" s="29">
        <f>IF(AND(A27="",A29=""),"",IF(A28="",ROUND(SUM($F$25:F27),2),IF(A28=$D$8,$E$24-ROUND(SUM($F$25:F27),2),ROUND($E$24/$D$8,2))))</f>
        <v>16666.669999999998</v>
      </c>
      <c r="G28" s="29">
        <f ca="1">IF(A27=$D$8,ROUND(SUM($G$25:G27),2),IF(A28&gt;$F$8,"",IF(T28&lt;&gt;T27,ROUND(SUM(V28*$F$9*E27/T28,W28*$F$9*E27/T27),2),ROUND(E27*$F$9*D28/T27,2))))</f>
        <v>46933.58</v>
      </c>
      <c r="H28" s="29">
        <f ca="1">IF(A27=$D$8,SUM(H9:H27),IF(A27&gt;$D$8,"",F28+G28))</f>
        <v>63600.25</v>
      </c>
      <c r="I28" s="212"/>
      <c r="J28" s="212"/>
      <c r="K28" s="212"/>
      <c r="L28" s="212"/>
      <c r="M28" s="29" t="str">
        <f>IF(A27=$D$8,$M$24,"")</f>
        <v/>
      </c>
      <c r="N28" s="29"/>
      <c r="O28" s="29"/>
      <c r="P28" s="217" t="str">
        <f>IF(A27=$D$8,XIRR(R$24:R27,C$24:C27),"")</f>
        <v/>
      </c>
      <c r="Q28" s="212" t="str">
        <f t="shared" ref="Q28:Q91" si="14">IF(A27=$D$8,G28+M28+F28+I28+J28+K28+L28+N28+O28,"")</f>
        <v/>
      </c>
      <c r="R28" s="29">
        <f t="shared" ca="1" si="6"/>
        <v>63600.25</v>
      </c>
      <c r="S28" s="22">
        <f t="shared" ca="1" si="7"/>
        <v>2021</v>
      </c>
      <c r="T28" s="22">
        <f t="shared" ca="1" si="8"/>
        <v>365</v>
      </c>
      <c r="U28" s="22">
        <f t="shared" ca="1" si="9"/>
        <v>12</v>
      </c>
      <c r="V28" s="23">
        <f t="shared" ca="1" si="10"/>
        <v>11</v>
      </c>
      <c r="W28" s="24">
        <f t="shared" ca="1" si="11"/>
        <v>20</v>
      </c>
    </row>
    <row r="29" spans="1:26" x14ac:dyDescent="0.35">
      <c r="A29" s="32">
        <f t="shared" si="12"/>
        <v>5</v>
      </c>
      <c r="B29" s="28">
        <f t="shared" ca="1" si="4"/>
        <v>44542</v>
      </c>
      <c r="C29" s="28">
        <f t="shared" ca="1" si="5"/>
        <v>44542</v>
      </c>
      <c r="D29" s="32">
        <f t="shared" ca="1" si="3"/>
        <v>30</v>
      </c>
      <c r="E29" s="29">
        <f t="shared" si="13"/>
        <v>3916666.6533333338</v>
      </c>
      <c r="F29" s="29">
        <f>IF(AND(A28="",A30=""),"",IF(A29="",ROUND(SUM($F$25:F28),2),IF(A29=$D$8,$E$24-ROUND(SUM($F$25:F28),2),ROUND($E$24/$D$8,2))))</f>
        <v>16666.669999999998</v>
      </c>
      <c r="G29" s="29">
        <f ca="1">IF(A28=$D$8,ROUND(SUM($G$25:G28),2),IF(A29&gt;$F$8,"",IF(T29&lt;&gt;T28,ROUND(SUM(V29*$F$9*E28/T29,W29*$F$9*E28/T28),2),ROUND(E28*$F$9*D29/T28,2))))</f>
        <v>45227.95</v>
      </c>
      <c r="H29" s="29">
        <f ca="1">IF(A28=$D$8,SUM(H10:H28),IF(A28&gt;$D$8,"",F29+G29))</f>
        <v>61894.619999999995</v>
      </c>
      <c r="I29" s="212" t="str">
        <f>IF(A29="",$I$24,"")</f>
        <v/>
      </c>
      <c r="J29" s="212" t="str">
        <f>IF(A29="",$J$24,"")</f>
        <v/>
      </c>
      <c r="K29" s="212"/>
      <c r="L29" s="212" t="str">
        <f>IF(A29="",$L$29,"")</f>
        <v/>
      </c>
      <c r="M29" s="29" t="str">
        <f>IF(A28=$D$8,$M$24,"")</f>
        <v/>
      </c>
      <c r="N29" s="29" t="str">
        <f>IF(A28=$D$8,$N$24,"")</f>
        <v/>
      </c>
      <c r="O29" s="29"/>
      <c r="P29" s="217" t="str">
        <f>IF(A28=$D$8,XIRR(R$24:R28,C$24:C28),"")</f>
        <v/>
      </c>
      <c r="Q29" s="212" t="str">
        <f t="shared" si="14"/>
        <v/>
      </c>
      <c r="R29" s="29">
        <f t="shared" ca="1" si="6"/>
        <v>61894.619999999995</v>
      </c>
      <c r="S29" s="22">
        <f t="shared" ca="1" si="7"/>
        <v>2021</v>
      </c>
      <c r="T29" s="22">
        <f t="shared" ca="1" si="8"/>
        <v>365</v>
      </c>
      <c r="U29" s="22">
        <f t="shared" ca="1" si="9"/>
        <v>12</v>
      </c>
      <c r="V29" s="23">
        <f t="shared" ca="1" si="10"/>
        <v>11</v>
      </c>
      <c r="W29" s="24">
        <f t="shared" ca="1" si="11"/>
        <v>19</v>
      </c>
    </row>
    <row r="30" spans="1:26" x14ac:dyDescent="0.35">
      <c r="A30" s="32">
        <f t="shared" si="12"/>
        <v>6</v>
      </c>
      <c r="B30" s="28">
        <f t="shared" ca="1" si="4"/>
        <v>44573</v>
      </c>
      <c r="C30" s="28">
        <f t="shared" ca="1" si="5"/>
        <v>44573</v>
      </c>
      <c r="D30" s="32">
        <f t="shared" ca="1" si="3"/>
        <v>31</v>
      </c>
      <c r="E30" s="29">
        <f t="shared" si="13"/>
        <v>3899999.9833333339</v>
      </c>
      <c r="F30" s="29">
        <f>IF(AND(A29="",A31=""),"",IF(A30="",ROUND(SUM($F$25:F29),2),IF(A30=$D$8,$E$24-ROUND(SUM($F$25:F29),2),ROUND($E$24/$D$8,2))))</f>
        <v>16666.669999999998</v>
      </c>
      <c r="G30" s="29">
        <f ca="1">IF(A29=$D$8,ROUND(SUM($G$25:G29),2),IF(A30&gt;$F$8,"",IF(T30&lt;&gt;T29,ROUND(SUM(V30*$F$9*E29/T30,W30*$F$9*E29/T29),2),ROUND(E29*$F$9*D30/T29,2))))</f>
        <v>46537.51</v>
      </c>
      <c r="H30" s="29">
        <f ca="1">IF(A29=$D$8,SUM(H12:H29),IF(A29&gt;$D$8,"",F30+G30))</f>
        <v>63204.18</v>
      </c>
      <c r="I30" s="212" t="str">
        <f t="shared" ref="I30:I37" si="15">IF(A30="",$I$24,"")</f>
        <v/>
      </c>
      <c r="J30" s="212" t="str">
        <f t="shared" ref="J30:J37" si="16">IF(A30="",$J$24,"")</f>
        <v/>
      </c>
      <c r="K30" s="212"/>
      <c r="L30" s="212" t="str">
        <f>IF(A30="",$L$24,"")</f>
        <v/>
      </c>
      <c r="M30" s="29" t="str">
        <f>IF(A29=$D$8,$M$24,"")</f>
        <v/>
      </c>
      <c r="N30" s="29" t="str">
        <f t="shared" ref="N30:N93" si="17">IF(A29=$D$8,$N$24,"")</f>
        <v/>
      </c>
      <c r="O30" s="29"/>
      <c r="P30" s="217" t="str">
        <f>IF(A29=$D$8,XIRR(R$24:R29,C$24:C29),"")</f>
        <v/>
      </c>
      <c r="Q30" s="212" t="str">
        <f t="shared" si="14"/>
        <v/>
      </c>
      <c r="R30" s="29">
        <f t="shared" ca="1" si="6"/>
        <v>63204.18</v>
      </c>
      <c r="S30" s="22">
        <f t="shared" ca="1" si="7"/>
        <v>2022</v>
      </c>
      <c r="T30" s="22">
        <f t="shared" ca="1" si="8"/>
        <v>365</v>
      </c>
      <c r="U30" s="22">
        <f t="shared" ca="1" si="9"/>
        <v>12</v>
      </c>
      <c r="V30" s="23">
        <f t="shared" ca="1" si="10"/>
        <v>11</v>
      </c>
      <c r="W30" s="24">
        <f t="shared" ca="1" si="11"/>
        <v>20</v>
      </c>
    </row>
    <row r="31" spans="1:26" x14ac:dyDescent="0.35">
      <c r="A31" s="32">
        <f t="shared" si="12"/>
        <v>7</v>
      </c>
      <c r="B31" s="28">
        <f t="shared" ca="1" si="4"/>
        <v>44604</v>
      </c>
      <c r="C31" s="28">
        <f t="shared" ca="1" si="5"/>
        <v>44604</v>
      </c>
      <c r="D31" s="32">
        <f t="shared" ca="1" si="3"/>
        <v>31</v>
      </c>
      <c r="E31" s="29">
        <f t="shared" si="13"/>
        <v>3883333.3133333339</v>
      </c>
      <c r="F31" s="29">
        <f>IF(AND(A30="",A32=""),"",IF(A31="",ROUND(SUM($F$25:F30),2),IF(A31=$D$8,$E$24-ROUND(SUM($F$25:F30),2),ROUND($E$24/$D$8,2))))</f>
        <v>16666.669999999998</v>
      </c>
      <c r="G31" s="29">
        <f ca="1">IF(A30=$D$8,ROUND(SUM($G$25:G30),2),IF(A31&gt;$F$8,"",IF(T31&lt;&gt;T30,ROUND(SUM(V31*$F$9*E30/T31,W31*$F$9*E30/T30),2),ROUND(E30*$F$9*D31/T30,2))))</f>
        <v>46339.48</v>
      </c>
      <c r="H31" s="29">
        <f ca="1">IF(A30=$D$8,SUM(H13:H30),IF(A30&gt;$D$8,"",F31+G31))</f>
        <v>63006.15</v>
      </c>
      <c r="I31" s="212" t="str">
        <f t="shared" si="15"/>
        <v/>
      </c>
      <c r="J31" s="212" t="str">
        <f t="shared" si="16"/>
        <v/>
      </c>
      <c r="K31" s="212"/>
      <c r="L31" s="212" t="str">
        <f t="shared" ref="L31:L37" si="18">IF(A31="",$L$24,"")</f>
        <v/>
      </c>
      <c r="M31" s="29"/>
      <c r="N31" s="29" t="str">
        <f t="shared" si="17"/>
        <v/>
      </c>
      <c r="O31" s="29"/>
      <c r="P31" s="217" t="str">
        <f>IF(A30=$D$8,XIRR(R$24:R30,C$24:C30),"")</f>
        <v/>
      </c>
      <c r="Q31" s="212" t="str">
        <f t="shared" si="14"/>
        <v/>
      </c>
      <c r="R31" s="29">
        <f t="shared" ca="1" si="6"/>
        <v>63006.15</v>
      </c>
      <c r="S31" s="22">
        <f t="shared" ca="1" si="7"/>
        <v>2022</v>
      </c>
      <c r="T31" s="22">
        <f t="shared" ca="1" si="8"/>
        <v>365</v>
      </c>
      <c r="U31" s="22">
        <f t="shared" ca="1" si="9"/>
        <v>12</v>
      </c>
      <c r="V31" s="23">
        <f t="shared" ca="1" si="10"/>
        <v>11</v>
      </c>
      <c r="W31" s="24">
        <f t="shared" ca="1" si="11"/>
        <v>20</v>
      </c>
    </row>
    <row r="32" spans="1:26" x14ac:dyDescent="0.35">
      <c r="A32" s="32">
        <f t="shared" si="12"/>
        <v>8</v>
      </c>
      <c r="B32" s="28">
        <f t="shared" ca="1" si="4"/>
        <v>44632</v>
      </c>
      <c r="C32" s="28">
        <f t="shared" ca="1" si="5"/>
        <v>44632</v>
      </c>
      <c r="D32" s="32">
        <f t="shared" ca="1" si="3"/>
        <v>28</v>
      </c>
      <c r="E32" s="29">
        <f t="shared" si="13"/>
        <v>3866666.643333334</v>
      </c>
      <c r="F32" s="29">
        <f>IF(AND(A31="",A33=""),"",IF(A32="",ROUND(SUM($F$25:F31),2),IF(A32=$D$8,$E$24-ROUND(SUM($F$25:F31),2),ROUND($E$24/$D$8,2))))</f>
        <v>16666.669999999998</v>
      </c>
      <c r="G32" s="29">
        <f ca="1">IF(A31=$D$8,ROUND(SUM($G$25:G31),2),IF(A32&gt;$F$8,"",IF(T32&lt;&gt;T31,ROUND(SUM(V32*$F$9*E31/T32,W32*$F$9*E31/T31),2),ROUND(E31*$F$9*D32/T31,2))))</f>
        <v>41676.15</v>
      </c>
      <c r="H32" s="29">
        <f ca="1">IF(A31=$D$8,SUM(H14:H31),IF(A31&gt;$D$8,"",F32+G32))</f>
        <v>58342.82</v>
      </c>
      <c r="I32" s="212" t="str">
        <f t="shared" si="15"/>
        <v/>
      </c>
      <c r="J32" s="212" t="str">
        <f t="shared" si="16"/>
        <v/>
      </c>
      <c r="K32" s="212"/>
      <c r="L32" s="212" t="str">
        <f t="shared" si="18"/>
        <v/>
      </c>
      <c r="M32" s="29" t="str">
        <f t="shared" ref="M32:M95" si="19">IF(A31=$D$8,$M$24,"")</f>
        <v/>
      </c>
      <c r="N32" s="29" t="str">
        <f t="shared" si="17"/>
        <v/>
      </c>
      <c r="O32" s="29"/>
      <c r="P32" s="217" t="str">
        <f>IF(A31=$D$8,XIRR(R$24:R31,C$24:C31),"")</f>
        <v/>
      </c>
      <c r="Q32" s="212" t="str">
        <f t="shared" si="14"/>
        <v/>
      </c>
      <c r="R32" s="29">
        <f t="shared" ca="1" si="6"/>
        <v>58342.82</v>
      </c>
      <c r="S32" s="22">
        <f t="shared" ca="1" si="7"/>
        <v>2022</v>
      </c>
      <c r="T32" s="22">
        <f t="shared" ca="1" si="8"/>
        <v>365</v>
      </c>
      <c r="U32" s="22">
        <f t="shared" ca="1" si="9"/>
        <v>12</v>
      </c>
      <c r="V32" s="23">
        <f t="shared" ca="1" si="10"/>
        <v>11</v>
      </c>
      <c r="W32" s="24">
        <f t="shared" ca="1" si="11"/>
        <v>17</v>
      </c>
    </row>
    <row r="33" spans="1:23" x14ac:dyDescent="0.35">
      <c r="A33" s="32">
        <f t="shared" si="12"/>
        <v>9</v>
      </c>
      <c r="B33" s="28">
        <f t="shared" ca="1" si="4"/>
        <v>44663</v>
      </c>
      <c r="C33" s="28">
        <f t="shared" ca="1" si="5"/>
        <v>44663</v>
      </c>
      <c r="D33" s="32">
        <f t="shared" ca="1" si="3"/>
        <v>31</v>
      </c>
      <c r="E33" s="29">
        <f t="shared" si="13"/>
        <v>3849999.9733333341</v>
      </c>
      <c r="F33" s="29">
        <f>IF(AND(A32="",A34=""),"",IF(A33="",ROUND(SUM($F$25:F32),2),IF(A33=$D$8,$E$24-ROUND(SUM($F$25:F32),2),ROUND($E$24/$D$8,2))))</f>
        <v>16666.669999999998</v>
      </c>
      <c r="G33" s="29">
        <f ca="1">IF(A32=$D$8,ROUND(SUM($G$25:G32),2),IF(A33&gt;$F$8,"",IF(T33&lt;&gt;T32,ROUND(SUM(V33*$F$9*E32/T33,W33*$F$9*E32/T32),2),ROUND(E32*$F$9*D33/T32,2))))</f>
        <v>45943.42</v>
      </c>
      <c r="H33" s="29">
        <f ca="1">IF(A32=$D$8,SUM(H15:H32),IF(A32&gt;$D$8,"",F33+G33))</f>
        <v>62610.09</v>
      </c>
      <c r="I33" s="212" t="str">
        <f t="shared" si="15"/>
        <v/>
      </c>
      <c r="J33" s="212" t="str">
        <f t="shared" si="16"/>
        <v/>
      </c>
      <c r="K33" s="212"/>
      <c r="L33" s="212" t="str">
        <f t="shared" si="18"/>
        <v/>
      </c>
      <c r="M33" s="29" t="str">
        <f t="shared" si="19"/>
        <v/>
      </c>
      <c r="N33" s="29" t="str">
        <f t="shared" si="17"/>
        <v/>
      </c>
      <c r="O33" s="29"/>
      <c r="P33" s="217" t="str">
        <f>IF(A32=$D$8,XIRR(R$24:R32,C$24:C32),"")</f>
        <v/>
      </c>
      <c r="Q33" s="212" t="str">
        <f t="shared" si="14"/>
        <v/>
      </c>
      <c r="R33" s="29">
        <f t="shared" ca="1" si="6"/>
        <v>62610.09</v>
      </c>
      <c r="S33" s="22">
        <f t="shared" ca="1" si="7"/>
        <v>2022</v>
      </c>
      <c r="T33" s="22">
        <f t="shared" ca="1" si="8"/>
        <v>365</v>
      </c>
      <c r="U33" s="22">
        <f t="shared" ca="1" si="9"/>
        <v>12</v>
      </c>
      <c r="V33" s="23">
        <f t="shared" ca="1" si="10"/>
        <v>11</v>
      </c>
      <c r="W33" s="24">
        <f t="shared" ca="1" si="11"/>
        <v>20</v>
      </c>
    </row>
    <row r="34" spans="1:23" x14ac:dyDescent="0.35">
      <c r="A34" s="32">
        <f t="shared" si="12"/>
        <v>10</v>
      </c>
      <c r="B34" s="28">
        <f t="shared" ca="1" si="4"/>
        <v>44693</v>
      </c>
      <c r="C34" s="28">
        <f t="shared" ca="1" si="5"/>
        <v>44693</v>
      </c>
      <c r="D34" s="32">
        <f t="shared" ca="1" si="3"/>
        <v>30</v>
      </c>
      <c r="E34" s="29">
        <f t="shared" si="13"/>
        <v>3833333.3033333342</v>
      </c>
      <c r="F34" s="29">
        <f>IF(AND(A33="",A35=""),"",IF(A34="",ROUND(SUM($F$25:F33),2),IF(A34=$D$8,$E$24-ROUND(SUM($F$25:F33),2),ROUND($E$24/$D$8,2))))</f>
        <v>16666.669999999998</v>
      </c>
      <c r="G34" s="29">
        <f ca="1">IF(A33=$D$8,ROUND(SUM($G$25:G33),2),IF(A34&gt;$F$8,"",IF(T34&lt;&gt;T33,ROUND(SUM(V34*$F$9*E33/T34,W34*$F$9*E33/T33),2),ROUND(E33*$F$9*D34/T33,2))))</f>
        <v>44269.73</v>
      </c>
      <c r="H34" s="29">
        <f ca="1">IF(A33=$D$8,SUM(H21:H33),IF(A33&gt;$D$8,"",F34+G34))</f>
        <v>60936.4</v>
      </c>
      <c r="I34" s="212" t="str">
        <f t="shared" si="15"/>
        <v/>
      </c>
      <c r="J34" s="212" t="str">
        <f t="shared" si="16"/>
        <v/>
      </c>
      <c r="K34" s="212"/>
      <c r="L34" s="212" t="str">
        <f t="shared" si="18"/>
        <v/>
      </c>
      <c r="M34" s="29" t="str">
        <f t="shared" si="19"/>
        <v/>
      </c>
      <c r="N34" s="29" t="str">
        <f t="shared" si="17"/>
        <v/>
      </c>
      <c r="O34" s="29"/>
      <c r="P34" s="217" t="str">
        <f>IF(A33=$D$8,XIRR(R$24:R33,C$24:C33),"")</f>
        <v/>
      </c>
      <c r="Q34" s="212" t="str">
        <f t="shared" si="14"/>
        <v/>
      </c>
      <c r="R34" s="29">
        <f t="shared" ca="1" si="6"/>
        <v>60936.4</v>
      </c>
      <c r="S34" s="22">
        <f t="shared" ca="1" si="7"/>
        <v>2022</v>
      </c>
      <c r="T34" s="22">
        <f t="shared" ca="1" si="8"/>
        <v>365</v>
      </c>
      <c r="U34" s="22">
        <f t="shared" ca="1" si="9"/>
        <v>12</v>
      </c>
      <c r="V34" s="23">
        <f t="shared" ca="1" si="10"/>
        <v>11</v>
      </c>
      <c r="W34" s="24">
        <f t="shared" ca="1" si="11"/>
        <v>19</v>
      </c>
    </row>
    <row r="35" spans="1:23" x14ac:dyDescent="0.35">
      <c r="A35" s="32">
        <f t="shared" si="12"/>
        <v>11</v>
      </c>
      <c r="B35" s="28">
        <f t="shared" ca="1" si="4"/>
        <v>44724</v>
      </c>
      <c r="C35" s="28">
        <f t="shared" ca="1" si="5"/>
        <v>44724</v>
      </c>
      <c r="D35" s="32">
        <f t="shared" ca="1" si="3"/>
        <v>31</v>
      </c>
      <c r="E35" s="29">
        <f t="shared" si="13"/>
        <v>3816666.6333333342</v>
      </c>
      <c r="F35" s="29">
        <f>IF(AND(A34="",A36=""),"",IF(A35="",ROUND(SUM($F$25:F34),2),IF(A35=$D$8,$E$24-ROUND(SUM($F$25:F34),2),ROUND($E$24/$D$8,2))))</f>
        <v>16666.669999999998</v>
      </c>
      <c r="G35" s="29">
        <f ca="1">IF(A34=$D$8,ROUND(SUM($G$25:G34),2),IF(A35&gt;$F$8,"",IF(T35&lt;&gt;T34,ROUND(SUM(V35*$F$9*E34/T35,W35*$F$9*E34/T34),2),ROUND(E34*$F$9*D35/T34,2))))</f>
        <v>45547.35</v>
      </c>
      <c r="H35" s="29">
        <f ca="1">IF(A34=$D$8,SUM(H22:H34),IF(A34&gt;$D$8,"",F35+G35))</f>
        <v>62214.02</v>
      </c>
      <c r="I35" s="212" t="str">
        <f t="shared" si="15"/>
        <v/>
      </c>
      <c r="J35" s="212" t="str">
        <f t="shared" si="16"/>
        <v/>
      </c>
      <c r="K35" s="212"/>
      <c r="L35" s="212" t="str">
        <f t="shared" si="18"/>
        <v/>
      </c>
      <c r="M35" s="29" t="str">
        <f t="shared" si="19"/>
        <v/>
      </c>
      <c r="N35" s="29" t="str">
        <f t="shared" si="17"/>
        <v/>
      </c>
      <c r="O35" s="29"/>
      <c r="P35" s="217" t="str">
        <f>IF(A34=$D$8,XIRR(R$24:R34,C$24:C34),"")</f>
        <v/>
      </c>
      <c r="Q35" s="212" t="str">
        <f t="shared" si="14"/>
        <v/>
      </c>
      <c r="R35" s="29">
        <f t="shared" ca="1" si="6"/>
        <v>62214.02</v>
      </c>
      <c r="S35" s="22">
        <f t="shared" ca="1" si="7"/>
        <v>2022</v>
      </c>
      <c r="T35" s="22">
        <f t="shared" ca="1" si="8"/>
        <v>365</v>
      </c>
      <c r="U35" s="22">
        <f t="shared" ca="1" si="9"/>
        <v>12</v>
      </c>
      <c r="V35" s="23">
        <f t="shared" ca="1" si="10"/>
        <v>11</v>
      </c>
      <c r="W35" s="24">
        <f t="shared" ca="1" si="11"/>
        <v>20</v>
      </c>
    </row>
    <row r="36" spans="1:23" x14ac:dyDescent="0.35">
      <c r="A36" s="32">
        <f t="shared" si="12"/>
        <v>12</v>
      </c>
      <c r="B36" s="28">
        <f t="shared" ca="1" si="4"/>
        <v>44754</v>
      </c>
      <c r="C36" s="28">
        <f t="shared" ca="1" si="5"/>
        <v>44754</v>
      </c>
      <c r="D36" s="32">
        <f t="shared" ca="1" si="3"/>
        <v>30</v>
      </c>
      <c r="E36" s="29">
        <f t="shared" si="13"/>
        <v>3799999.9633333343</v>
      </c>
      <c r="F36" s="29">
        <f>IF(AND(A35="",A37=""),"",IF(A36="",ROUND(SUM($F$25:F35),2),IF(A36=$D$8,$E$24-ROUND(SUM($F$25:F35),2),ROUND($E$24/$D$8,2))))</f>
        <v>16666.669999999998</v>
      </c>
      <c r="G36" s="29">
        <f ca="1">IF(A35=$D$8,ROUND(SUM($G$25:G35),2),IF(A36&gt;$F$8,"",IF(T36&lt;&gt;T35,ROUND(SUM(V36*$F$9*E35/T36,W36*$F$9*E35/T35),2),ROUND(E35*$F$9*D36/T35,2))))</f>
        <v>43886.44</v>
      </c>
      <c r="H36" s="29">
        <f t="shared" ref="H36" ca="1" si="20">IF(A35=$D$8,SUM(H24:H35),IF(A35&gt;$D$8,"",F36+G36))</f>
        <v>60553.11</v>
      </c>
      <c r="I36" s="212" t="str">
        <f t="shared" si="15"/>
        <v/>
      </c>
      <c r="J36" s="212" t="str">
        <f t="shared" si="16"/>
        <v/>
      </c>
      <c r="K36" s="212"/>
      <c r="L36" s="212" t="str">
        <f t="shared" si="18"/>
        <v/>
      </c>
      <c r="M36" s="29" t="str">
        <f t="shared" si="19"/>
        <v/>
      </c>
      <c r="N36" s="29" t="str">
        <f t="shared" si="17"/>
        <v/>
      </c>
      <c r="O36" s="29"/>
      <c r="P36" s="217" t="str">
        <f>IF(A35=$D$8,XIRR(R$24:R35,C$24:C35),"")</f>
        <v/>
      </c>
      <c r="Q36" s="212" t="str">
        <f t="shared" si="14"/>
        <v/>
      </c>
      <c r="R36" s="29">
        <f t="shared" ca="1" si="6"/>
        <v>60553.11</v>
      </c>
      <c r="S36" s="22">
        <f t="shared" ca="1" si="7"/>
        <v>2022</v>
      </c>
      <c r="T36" s="22">
        <f t="shared" ca="1" si="8"/>
        <v>365</v>
      </c>
      <c r="U36" s="22">
        <f t="shared" ca="1" si="9"/>
        <v>12</v>
      </c>
      <c r="V36" s="23">
        <f t="shared" ca="1" si="10"/>
        <v>11</v>
      </c>
      <c r="W36" s="24">
        <f t="shared" ca="1" si="11"/>
        <v>19</v>
      </c>
    </row>
    <row r="37" spans="1:23" x14ac:dyDescent="0.35">
      <c r="A37" s="32">
        <f t="shared" si="12"/>
        <v>13</v>
      </c>
      <c r="B37" s="28">
        <f t="shared" ca="1" si="4"/>
        <v>44785</v>
      </c>
      <c r="C37" s="28">
        <f t="shared" ca="1" si="5"/>
        <v>44785</v>
      </c>
      <c r="D37" s="32">
        <f ca="1">IF(A37&gt;$D$8,"",C37-C36)</f>
        <v>31</v>
      </c>
      <c r="E37" s="29">
        <f>IF(A37&gt;$D$8,"",E36-F37)</f>
        <v>3783333.2933333344</v>
      </c>
      <c r="F37" s="29">
        <f>IF(AND(A36="",A38=""),"",IF(A37="",ROUND(SUM($F$25:F36),2),IF(A37=$D$8,$E$24-ROUND(SUM($F$25:F36),2),ROUND($E$24/$D$8,2))))</f>
        <v>16666.669999999998</v>
      </c>
      <c r="G37" s="29">
        <f ca="1">IF(A36=$D$8,ROUND(SUM($G$25:G36),2),IF(A37&gt;$F$8,"",IF(T37&lt;&gt;T36,ROUND(SUM(V37*$F$9*E36/T37,W37*$F$9*E36/T36),2),ROUND(E36*$F$9*D37/T36,2))))</f>
        <v>45151.29</v>
      </c>
      <c r="H37" s="29">
        <f ca="1">IF(A36=$D$8,SUM(H25:H36),IF(A36&gt;$D$8,"",F37+G37))</f>
        <v>61817.96</v>
      </c>
      <c r="I37" s="212" t="str">
        <f t="shared" si="15"/>
        <v/>
      </c>
      <c r="J37" s="212" t="str">
        <f t="shared" si="16"/>
        <v/>
      </c>
      <c r="K37" s="212">
        <f>IF(F8&gt;12,(O8+O10),IF($A$36=$F$8,K24,""))</f>
        <v>17100</v>
      </c>
      <c r="L37" s="212" t="str">
        <f t="shared" si="18"/>
        <v/>
      </c>
      <c r="M37" s="29" t="str">
        <f t="shared" si="19"/>
        <v/>
      </c>
      <c r="N37" s="29" t="str">
        <f t="shared" si="17"/>
        <v/>
      </c>
      <c r="O37" s="29"/>
      <c r="P37" s="217" t="str">
        <f>IF(A36=$D$8,XIRR(R$24:R36,C$24:C36),"")</f>
        <v/>
      </c>
      <c r="Q37" s="212" t="str">
        <f t="shared" si="14"/>
        <v/>
      </c>
      <c r="R37" s="29">
        <f t="shared" ca="1" si="6"/>
        <v>78917.959999999992</v>
      </c>
      <c r="S37" s="22">
        <f t="shared" ca="1" si="7"/>
        <v>2022</v>
      </c>
      <c r="T37" s="22">
        <f t="shared" ca="1" si="8"/>
        <v>365</v>
      </c>
      <c r="U37" s="22">
        <f t="shared" ca="1" si="9"/>
        <v>12</v>
      </c>
      <c r="V37" s="23">
        <f t="shared" ca="1" si="10"/>
        <v>11</v>
      </c>
      <c r="W37" s="24">
        <f t="shared" ca="1" si="11"/>
        <v>20</v>
      </c>
    </row>
    <row r="38" spans="1:23" x14ac:dyDescent="0.35">
      <c r="A38" s="32">
        <f t="shared" si="12"/>
        <v>14</v>
      </c>
      <c r="B38" s="28">
        <f t="shared" ca="1" si="4"/>
        <v>44816</v>
      </c>
      <c r="C38" s="28">
        <f t="shared" ca="1" si="5"/>
        <v>44816</v>
      </c>
      <c r="D38" s="32">
        <f t="shared" ref="D38:D101" ca="1" si="21">IF(A38&gt;$D$8,"",C38-C37)</f>
        <v>31</v>
      </c>
      <c r="E38" s="29">
        <f t="shared" ref="E38:E101" si="22">IF(A38&gt;$D$8,"",E37-F38)</f>
        <v>3766666.6233333345</v>
      </c>
      <c r="F38" s="29">
        <f>IF(AND(A37="",A39=""),"",IF(A38="",ROUND(SUM($F$25:F37),2),IF(A38=$D$8,$E$24-ROUND(SUM($F$25:F37),2),ROUND($E$24/$D$8,2))))</f>
        <v>16666.669999999998</v>
      </c>
      <c r="G38" s="29">
        <f ca="1">IF(A37=$D$8,ROUND(SUM($G$25:G37),2),IF(A38&gt;$F$8,"",IF(T38&lt;&gt;T37,ROUND(SUM(V38*$F$9*E37/T38,W38*$F$9*E37/T37),2),ROUND(E37*$F$9*D38/T37,2))))</f>
        <v>44953.26</v>
      </c>
      <c r="H38" s="29">
        <f ca="1">IF(A37=$D$8,SUM($H$25:H37),IF(A37&gt;$D$8,"",F38+G38))</f>
        <v>61619.93</v>
      </c>
      <c r="I38" s="212" t="str">
        <f t="shared" ref="I38:I101" si="23">IF(A37=$F$8,$I$24,"")</f>
        <v/>
      </c>
      <c r="J38" s="212" t="str">
        <f t="shared" ref="J38:J101" si="24">IF(A37=$F$8,$J$24,"")</f>
        <v/>
      </c>
      <c r="K38" s="212"/>
      <c r="L38" s="212" t="str">
        <f t="shared" ref="L38:L101" si="25">IF(A37=$F$8,$L$24,"")</f>
        <v/>
      </c>
      <c r="M38" s="29" t="str">
        <f t="shared" si="19"/>
        <v/>
      </c>
      <c r="N38" s="29" t="str">
        <f t="shared" si="17"/>
        <v/>
      </c>
      <c r="O38" s="29"/>
      <c r="P38" s="217" t="str">
        <f>IF(A37=$D$8,XIRR(R$24:R37,C$24:C37),"")</f>
        <v/>
      </c>
      <c r="Q38" s="212" t="str">
        <f t="shared" si="14"/>
        <v/>
      </c>
      <c r="R38" s="29">
        <f t="shared" ca="1" si="6"/>
        <v>61619.93</v>
      </c>
      <c r="S38" s="22">
        <f t="shared" ca="1" si="7"/>
        <v>2022</v>
      </c>
      <c r="T38" s="22">
        <f t="shared" ca="1" si="8"/>
        <v>365</v>
      </c>
      <c r="U38" s="22">
        <f t="shared" ca="1" si="9"/>
        <v>12</v>
      </c>
      <c r="V38" s="23">
        <f t="shared" ca="1" si="10"/>
        <v>11</v>
      </c>
      <c r="W38" s="24">
        <f t="shared" ca="1" si="11"/>
        <v>20</v>
      </c>
    </row>
    <row r="39" spans="1:23" x14ac:dyDescent="0.35">
      <c r="A39" s="32">
        <f t="shared" si="12"/>
        <v>15</v>
      </c>
      <c r="B39" s="28">
        <f t="shared" ca="1" si="4"/>
        <v>44846</v>
      </c>
      <c r="C39" s="28">
        <f t="shared" ca="1" si="5"/>
        <v>44846</v>
      </c>
      <c r="D39" s="32">
        <f t="shared" ca="1" si="21"/>
        <v>30</v>
      </c>
      <c r="E39" s="29">
        <f t="shared" si="22"/>
        <v>3749999.9533333345</v>
      </c>
      <c r="F39" s="29">
        <f>IF(AND(A38="",A40=""),"",IF(A39="",ROUND(SUM($F$25:F38),2),IF(A39=$D$8,$E$24-ROUND(SUM($F$25:F38),2),ROUND($E$24/$D$8,2))))</f>
        <v>16666.669999999998</v>
      </c>
      <c r="G39" s="29">
        <f ca="1">IF(A38=$D$8,ROUND(SUM($G$25:G38),2),IF(A39&gt;$F$8,"",IF(T39&lt;&gt;T38,ROUND(SUM(V39*$F$9*E38/T39,W39*$F$9*E38/T38),2),ROUND(E38*$F$9*D39/T38,2))))</f>
        <v>43311.51</v>
      </c>
      <c r="H39" s="29">
        <f ca="1">IF(A38=$D$8,SUM($H$25:H38),IF(A38&gt;$D$8,"",F39+G39))</f>
        <v>59978.18</v>
      </c>
      <c r="I39" s="212" t="str">
        <f t="shared" si="23"/>
        <v/>
      </c>
      <c r="J39" s="212" t="str">
        <f t="shared" si="24"/>
        <v/>
      </c>
      <c r="K39" s="212"/>
      <c r="L39" s="212" t="str">
        <f t="shared" si="25"/>
        <v/>
      </c>
      <c r="M39" s="29" t="str">
        <f t="shared" si="19"/>
        <v/>
      </c>
      <c r="N39" s="29" t="str">
        <f t="shared" si="17"/>
        <v/>
      </c>
      <c r="O39" s="29"/>
      <c r="P39" s="217" t="str">
        <f>IF(A38=$D$8,XIRR(R$24:R38,C$24:C38),"")</f>
        <v/>
      </c>
      <c r="Q39" s="212" t="str">
        <f t="shared" si="14"/>
        <v/>
      </c>
      <c r="R39" s="29">
        <f t="shared" ca="1" si="6"/>
        <v>59978.18</v>
      </c>
      <c r="S39" s="22">
        <f t="shared" ca="1" si="7"/>
        <v>2022</v>
      </c>
      <c r="T39" s="22">
        <f t="shared" ca="1" si="8"/>
        <v>365</v>
      </c>
      <c r="U39" s="22">
        <f t="shared" ca="1" si="9"/>
        <v>12</v>
      </c>
      <c r="V39" s="23">
        <f t="shared" ca="1" si="10"/>
        <v>11</v>
      </c>
      <c r="W39" s="24">
        <f t="shared" ca="1" si="11"/>
        <v>19</v>
      </c>
    </row>
    <row r="40" spans="1:23" x14ac:dyDescent="0.35">
      <c r="A40" s="32">
        <f t="shared" si="12"/>
        <v>16</v>
      </c>
      <c r="B40" s="28">
        <f t="shared" ca="1" si="4"/>
        <v>44877</v>
      </c>
      <c r="C40" s="28">
        <f t="shared" ca="1" si="5"/>
        <v>44877</v>
      </c>
      <c r="D40" s="32">
        <f t="shared" ca="1" si="21"/>
        <v>31</v>
      </c>
      <c r="E40" s="29">
        <f t="shared" si="22"/>
        <v>3733333.2833333346</v>
      </c>
      <c r="F40" s="29">
        <f>IF(AND(A39="",A41=""),"",IF(A40="",ROUND(SUM($F$25:F39),2),IF(A40=$D$8,$E$24-ROUND(SUM($F$25:F39),2),ROUND($E$24/$D$8,2))))</f>
        <v>16666.669999999998</v>
      </c>
      <c r="G40" s="29">
        <f ca="1">IF(A39=$D$8,ROUND(SUM($G$25:G39),2),IF(A40&gt;$F$8,"",IF(T40&lt;&gt;T39,ROUND(SUM(V40*$F$9*E39/T40,W40*$F$9*E39/T39),2),ROUND(E39*$F$9*D40/T39,2))))</f>
        <v>44557.19</v>
      </c>
      <c r="H40" s="29">
        <f ca="1">IF(A39=$D$8,SUM($H$25:H39),IF(A39&gt;$D$8,"",F40+G40))</f>
        <v>61223.86</v>
      </c>
      <c r="I40" s="212" t="str">
        <f t="shared" si="23"/>
        <v/>
      </c>
      <c r="J40" s="212" t="str">
        <f t="shared" si="24"/>
        <v/>
      </c>
      <c r="K40" s="212"/>
      <c r="L40" s="212" t="str">
        <f t="shared" si="25"/>
        <v/>
      </c>
      <c r="M40" s="29" t="str">
        <f t="shared" si="19"/>
        <v/>
      </c>
      <c r="N40" s="29" t="str">
        <f t="shared" si="17"/>
        <v/>
      </c>
      <c r="O40" s="29"/>
      <c r="P40" s="217" t="str">
        <f>IF(A39=$D$8,XIRR(R$24:R39,C$24:C39),"")</f>
        <v/>
      </c>
      <c r="Q40" s="212" t="str">
        <f t="shared" si="14"/>
        <v/>
      </c>
      <c r="R40" s="29">
        <f t="shared" ca="1" si="6"/>
        <v>61223.86</v>
      </c>
      <c r="S40" s="22">
        <f t="shared" ca="1" si="7"/>
        <v>2022</v>
      </c>
      <c r="T40" s="22">
        <f t="shared" ca="1" si="8"/>
        <v>365</v>
      </c>
      <c r="U40" s="22">
        <f t="shared" ca="1" si="9"/>
        <v>12</v>
      </c>
      <c r="V40" s="23">
        <f t="shared" ca="1" si="10"/>
        <v>11</v>
      </c>
      <c r="W40" s="24">
        <f t="shared" ca="1" si="11"/>
        <v>20</v>
      </c>
    </row>
    <row r="41" spans="1:23" x14ac:dyDescent="0.35">
      <c r="A41" s="32">
        <f t="shared" si="12"/>
        <v>17</v>
      </c>
      <c r="B41" s="28">
        <f t="shared" ca="1" si="4"/>
        <v>44907</v>
      </c>
      <c r="C41" s="28">
        <f t="shared" ca="1" si="5"/>
        <v>44907</v>
      </c>
      <c r="D41" s="32">
        <f t="shared" ca="1" si="21"/>
        <v>30</v>
      </c>
      <c r="E41" s="29">
        <f t="shared" si="22"/>
        <v>3716666.6133333347</v>
      </c>
      <c r="F41" s="29">
        <f>IF(AND(A40="",A42=""),"",IF(A41="",ROUND(SUM($F$25:F40),2),IF(A41=$D$8,$E$24-ROUND(SUM($F$25:F40),2),ROUND($E$24/$D$8,2))))</f>
        <v>16666.669999999998</v>
      </c>
      <c r="G41" s="29">
        <f ca="1">IF(A40=$D$8,ROUND(SUM($G$25:G40),2),IF(A41&gt;$F$8,"",IF(T41&lt;&gt;T40,ROUND(SUM(V41*$F$9*E40/T41,W41*$F$9*E40/T40),2),ROUND(E40*$F$9*D41/T40,2))))</f>
        <v>42928.22</v>
      </c>
      <c r="H41" s="29">
        <f ca="1">IF(A40=$D$8,SUM($H$25:H40),IF(A40&gt;$D$8,"",F41+G41))</f>
        <v>59594.89</v>
      </c>
      <c r="I41" s="212" t="str">
        <f t="shared" si="23"/>
        <v/>
      </c>
      <c r="J41" s="212" t="str">
        <f t="shared" si="24"/>
        <v/>
      </c>
      <c r="K41" s="212"/>
      <c r="L41" s="212" t="str">
        <f t="shared" si="25"/>
        <v/>
      </c>
      <c r="M41" s="29" t="str">
        <f t="shared" si="19"/>
        <v/>
      </c>
      <c r="N41" s="29" t="str">
        <f t="shared" si="17"/>
        <v/>
      </c>
      <c r="O41" s="29"/>
      <c r="P41" s="217" t="str">
        <f>IF(A40=$D$8,XIRR(R$24:R40,C$24:C40),"")</f>
        <v/>
      </c>
      <c r="Q41" s="212" t="str">
        <f t="shared" si="14"/>
        <v/>
      </c>
      <c r="R41" s="29">
        <f t="shared" ca="1" si="6"/>
        <v>59594.89</v>
      </c>
      <c r="S41" s="22">
        <f t="shared" ca="1" si="7"/>
        <v>2022</v>
      </c>
      <c r="T41" s="22">
        <f t="shared" ca="1" si="8"/>
        <v>365</v>
      </c>
      <c r="U41" s="22">
        <f t="shared" ca="1" si="9"/>
        <v>12</v>
      </c>
      <c r="V41" s="23">
        <f t="shared" ca="1" si="10"/>
        <v>11</v>
      </c>
      <c r="W41" s="24">
        <f t="shared" ca="1" si="11"/>
        <v>19</v>
      </c>
    </row>
    <row r="42" spans="1:23" x14ac:dyDescent="0.35">
      <c r="A42" s="32">
        <f t="shared" si="12"/>
        <v>18</v>
      </c>
      <c r="B42" s="28">
        <f t="shared" ca="1" si="4"/>
        <v>44938</v>
      </c>
      <c r="C42" s="28">
        <f t="shared" ca="1" si="5"/>
        <v>44938</v>
      </c>
      <c r="D42" s="32">
        <f t="shared" ca="1" si="21"/>
        <v>31</v>
      </c>
      <c r="E42" s="29">
        <f t="shared" si="22"/>
        <v>3699999.9433333348</v>
      </c>
      <c r="F42" s="29">
        <f>IF(AND(A41="",A43=""),"",IF(A42="",ROUND(SUM($F$25:F41),2),IF(A42=$D$8,$E$24-ROUND(SUM($F$25:F41),2),ROUND($E$24/$D$8,2))))</f>
        <v>16666.669999999998</v>
      </c>
      <c r="G42" s="29">
        <f ca="1">IF(A41=$D$8,ROUND(SUM($G$25:G41),2),IF(A42&gt;$F$8,"",IF(T42&lt;&gt;T41,ROUND(SUM(V42*$F$9*E41/T42,W42*$F$9*E41/T41),2),ROUND(E41*$F$9*D42/T41,2))))</f>
        <v>44161.13</v>
      </c>
      <c r="H42" s="29">
        <f ca="1">IF(A41=$D$8,SUM($H$25:H41),IF(A41&gt;$D$8,"",F42+G42))</f>
        <v>60827.799999999996</v>
      </c>
      <c r="I42" s="212" t="str">
        <f t="shared" si="23"/>
        <v/>
      </c>
      <c r="J42" s="212" t="str">
        <f t="shared" si="24"/>
        <v/>
      </c>
      <c r="K42" s="212"/>
      <c r="L42" s="212" t="str">
        <f t="shared" si="25"/>
        <v/>
      </c>
      <c r="M42" s="29" t="str">
        <f t="shared" si="19"/>
        <v/>
      </c>
      <c r="N42" s="29" t="str">
        <f t="shared" si="17"/>
        <v/>
      </c>
      <c r="O42" s="29"/>
      <c r="P42" s="217" t="str">
        <f>IF(A41=$D$8,XIRR(R$24:R41,C$24:C41),"")</f>
        <v/>
      </c>
      <c r="Q42" s="212" t="str">
        <f t="shared" si="14"/>
        <v/>
      </c>
      <c r="R42" s="29">
        <f t="shared" ca="1" si="6"/>
        <v>60827.799999999996</v>
      </c>
      <c r="S42" s="22">
        <f t="shared" ca="1" si="7"/>
        <v>2023</v>
      </c>
      <c r="T42" s="22">
        <f t="shared" ca="1" si="8"/>
        <v>365</v>
      </c>
      <c r="U42" s="22">
        <f t="shared" ca="1" si="9"/>
        <v>12</v>
      </c>
      <c r="V42" s="23">
        <f t="shared" ca="1" si="10"/>
        <v>11</v>
      </c>
      <c r="W42" s="24">
        <f t="shared" ca="1" si="11"/>
        <v>20</v>
      </c>
    </row>
    <row r="43" spans="1:23" x14ac:dyDescent="0.35">
      <c r="A43" s="32">
        <f t="shared" si="12"/>
        <v>19</v>
      </c>
      <c r="B43" s="28">
        <f t="shared" ca="1" si="4"/>
        <v>44969</v>
      </c>
      <c r="C43" s="28">
        <f t="shared" ca="1" si="5"/>
        <v>44969</v>
      </c>
      <c r="D43" s="32">
        <f t="shared" ca="1" si="21"/>
        <v>31</v>
      </c>
      <c r="E43" s="29">
        <f t="shared" si="22"/>
        <v>3683333.2733333348</v>
      </c>
      <c r="F43" s="29">
        <f>IF(AND(A42="",A44=""),"",IF(A43="",ROUND(SUM($F$25:F42),2),IF(A43=$D$8,$E$24-ROUND(SUM($F$25:F42),2),ROUND($E$24/$D$8,2))))</f>
        <v>16666.669999999998</v>
      </c>
      <c r="G43" s="29">
        <f ca="1">IF(A42=$D$8,ROUND(SUM($G$25:G42),2),IF(A43&gt;$F$8,"",IF(T43&lt;&gt;T42,ROUND(SUM(V43*$F$9*E42/T43,W43*$F$9*E42/T42),2),ROUND(E42*$F$9*D43/T42,2))))</f>
        <v>43963.1</v>
      </c>
      <c r="H43" s="29">
        <f ca="1">IF(A42=$D$8,SUM($H$25:H42),IF(A42&gt;$D$8,"",F43+G43))</f>
        <v>60629.77</v>
      </c>
      <c r="I43" s="212" t="str">
        <f t="shared" si="23"/>
        <v/>
      </c>
      <c r="J43" s="212" t="str">
        <f t="shared" si="24"/>
        <v/>
      </c>
      <c r="K43" s="212"/>
      <c r="L43" s="212" t="str">
        <f t="shared" si="25"/>
        <v/>
      </c>
      <c r="M43" s="29" t="str">
        <f t="shared" si="19"/>
        <v/>
      </c>
      <c r="N43" s="29" t="str">
        <f t="shared" si="17"/>
        <v/>
      </c>
      <c r="O43" s="29"/>
      <c r="P43" s="217" t="str">
        <f>IF(A42=$D$8,XIRR(R$24:R42,C$24:C42),"")</f>
        <v/>
      </c>
      <c r="Q43" s="212" t="str">
        <f t="shared" si="14"/>
        <v/>
      </c>
      <c r="R43" s="29">
        <f t="shared" ca="1" si="6"/>
        <v>60629.77</v>
      </c>
      <c r="S43" s="22">
        <f t="shared" ca="1" si="7"/>
        <v>2023</v>
      </c>
      <c r="T43" s="22">
        <f t="shared" ca="1" si="8"/>
        <v>365</v>
      </c>
      <c r="U43" s="22">
        <f t="shared" ca="1" si="9"/>
        <v>12</v>
      </c>
      <c r="V43" s="23">
        <f t="shared" ca="1" si="10"/>
        <v>11</v>
      </c>
      <c r="W43" s="24">
        <f t="shared" ca="1" si="11"/>
        <v>20</v>
      </c>
    </row>
    <row r="44" spans="1:23" x14ac:dyDescent="0.35">
      <c r="A44" s="32">
        <f t="shared" si="12"/>
        <v>20</v>
      </c>
      <c r="B44" s="28">
        <f t="shared" ca="1" si="4"/>
        <v>44997</v>
      </c>
      <c r="C44" s="28">
        <f t="shared" ca="1" si="5"/>
        <v>44997</v>
      </c>
      <c r="D44" s="32">
        <f t="shared" ca="1" si="21"/>
        <v>28</v>
      </c>
      <c r="E44" s="29">
        <f t="shared" si="22"/>
        <v>3666666.6033333349</v>
      </c>
      <c r="F44" s="29">
        <f>IF(AND(A43="",A45=""),"",IF(A44="",ROUND(SUM($F$25:F43),2),IF(A44=$D$8,$E$24-ROUND(SUM($F$25:F43),2),ROUND($E$24/$D$8,2))))</f>
        <v>16666.669999999998</v>
      </c>
      <c r="G44" s="29">
        <f ca="1">IF(A43=$D$8,ROUND(SUM($G$25:G43),2),IF(A44&gt;$F$8,"",IF(T44&lt;&gt;T43,ROUND(SUM(V44*$F$9*E43/T44,W44*$F$9*E43/T43),2),ROUND(E43*$F$9*D44/T43,2))))</f>
        <v>39529.730000000003</v>
      </c>
      <c r="H44" s="29">
        <f ca="1">IF(A43=$D$8,SUM($H$25:H43),IF(A43&gt;$D$8,"",F44+G44))</f>
        <v>56196.4</v>
      </c>
      <c r="I44" s="212" t="str">
        <f t="shared" si="23"/>
        <v/>
      </c>
      <c r="J44" s="212" t="str">
        <f t="shared" si="24"/>
        <v/>
      </c>
      <c r="K44" s="212"/>
      <c r="L44" s="212" t="str">
        <f t="shared" si="25"/>
        <v/>
      </c>
      <c r="M44" s="29" t="str">
        <f t="shared" si="19"/>
        <v/>
      </c>
      <c r="N44" s="29" t="str">
        <f t="shared" si="17"/>
        <v/>
      </c>
      <c r="O44" s="29"/>
      <c r="P44" s="217" t="str">
        <f>IF(A43=$D$8,XIRR(R$24:R43,C$24:C43),"")</f>
        <v/>
      </c>
      <c r="Q44" s="212" t="str">
        <f t="shared" si="14"/>
        <v/>
      </c>
      <c r="R44" s="29">
        <f t="shared" ca="1" si="6"/>
        <v>56196.4</v>
      </c>
      <c r="S44" s="22">
        <f t="shared" ca="1" si="7"/>
        <v>2023</v>
      </c>
      <c r="T44" s="22">
        <f t="shared" ca="1" si="8"/>
        <v>365</v>
      </c>
      <c r="U44" s="22">
        <f t="shared" ca="1" si="9"/>
        <v>12</v>
      </c>
      <c r="V44" s="23">
        <f t="shared" ca="1" si="10"/>
        <v>11</v>
      </c>
      <c r="W44" s="24">
        <f t="shared" ca="1" si="11"/>
        <v>17</v>
      </c>
    </row>
    <row r="45" spans="1:23" x14ac:dyDescent="0.35">
      <c r="A45" s="32">
        <f t="shared" si="12"/>
        <v>21</v>
      </c>
      <c r="B45" s="28">
        <f t="shared" ca="1" si="4"/>
        <v>45028</v>
      </c>
      <c r="C45" s="28">
        <f t="shared" ca="1" si="5"/>
        <v>45028</v>
      </c>
      <c r="D45" s="32">
        <f t="shared" ca="1" si="21"/>
        <v>31</v>
      </c>
      <c r="E45" s="29">
        <f t="shared" si="22"/>
        <v>3649999.933333335</v>
      </c>
      <c r="F45" s="29">
        <f>IF(AND(A44="",A46=""),"",IF(A45="",ROUND(SUM($F$25:F44),2),IF(A45=$D$8,$E$24-ROUND(SUM($F$25:F44),2),ROUND($E$24/$D$8,2))))</f>
        <v>16666.669999999998</v>
      </c>
      <c r="G45" s="29">
        <f ca="1">IF(A44=$D$8,ROUND(SUM($G$25:G44),2),IF(A45&gt;$F$8,"",IF(T45&lt;&gt;T44,ROUND(SUM(V45*$F$9*E44/T45,W45*$F$9*E44/T44),2),ROUND(E44*$F$9*D45/T44,2))))</f>
        <v>43567.03</v>
      </c>
      <c r="H45" s="29">
        <f ca="1">IF(A44=$D$8,SUM($H$25:H44),IF(A44&gt;$D$8,"",F45+G45))</f>
        <v>60233.7</v>
      </c>
      <c r="I45" s="212" t="str">
        <f t="shared" si="23"/>
        <v/>
      </c>
      <c r="J45" s="212" t="str">
        <f t="shared" si="24"/>
        <v/>
      </c>
      <c r="K45" s="212"/>
      <c r="L45" s="212" t="str">
        <f t="shared" si="25"/>
        <v/>
      </c>
      <c r="M45" s="29" t="str">
        <f t="shared" si="19"/>
        <v/>
      </c>
      <c r="N45" s="29" t="str">
        <f t="shared" si="17"/>
        <v/>
      </c>
      <c r="O45" s="29"/>
      <c r="P45" s="217" t="str">
        <f>IF(A44=$D$8,XIRR(R$24:R44,C$24:C44),"")</f>
        <v/>
      </c>
      <c r="Q45" s="212" t="str">
        <f t="shared" si="14"/>
        <v/>
      </c>
      <c r="R45" s="29">
        <f t="shared" ca="1" si="6"/>
        <v>60233.7</v>
      </c>
      <c r="S45" s="22">
        <f t="shared" ca="1" si="7"/>
        <v>2023</v>
      </c>
      <c r="T45" s="22">
        <f t="shared" ca="1" si="8"/>
        <v>365</v>
      </c>
      <c r="U45" s="22">
        <f t="shared" ca="1" si="9"/>
        <v>12</v>
      </c>
      <c r="V45" s="23">
        <f t="shared" ca="1" si="10"/>
        <v>11</v>
      </c>
      <c r="W45" s="24">
        <f t="shared" ca="1" si="11"/>
        <v>20</v>
      </c>
    </row>
    <row r="46" spans="1:23" x14ac:dyDescent="0.35">
      <c r="A46" s="32">
        <f t="shared" si="12"/>
        <v>22</v>
      </c>
      <c r="B46" s="28">
        <f t="shared" ca="1" si="4"/>
        <v>45058</v>
      </c>
      <c r="C46" s="28">
        <f t="shared" ca="1" si="5"/>
        <v>45058</v>
      </c>
      <c r="D46" s="32">
        <f t="shared" ca="1" si="21"/>
        <v>30</v>
      </c>
      <c r="E46" s="29">
        <f t="shared" si="22"/>
        <v>3633333.2633333351</v>
      </c>
      <c r="F46" s="29">
        <f>IF(AND(A45="",A47=""),"",IF(A46="",ROUND(SUM($F$25:F45),2),IF(A46=$D$8,$E$24-ROUND(SUM($F$25:F45),2),ROUND($E$24/$D$8,2))))</f>
        <v>16666.669999999998</v>
      </c>
      <c r="G46" s="29">
        <f ca="1">IF(A45=$D$8,ROUND(SUM($G$25:G45),2),IF(A46&gt;$F$8,"",IF(T46&lt;&gt;T45,ROUND(SUM(V46*$F$9*E45/T46,W46*$F$9*E45/T45),2),ROUND(E45*$F$9*D46/T45,2))))</f>
        <v>41970</v>
      </c>
      <c r="H46" s="29">
        <f ca="1">IF(A45=$D$8,SUM($H$25:H45),IF(A45&gt;$D$8,"",F46+G46))</f>
        <v>58636.67</v>
      </c>
      <c r="I46" s="212" t="str">
        <f t="shared" si="23"/>
        <v/>
      </c>
      <c r="J46" s="212" t="str">
        <f t="shared" si="24"/>
        <v/>
      </c>
      <c r="K46" s="212"/>
      <c r="L46" s="212" t="str">
        <f t="shared" si="25"/>
        <v/>
      </c>
      <c r="M46" s="29" t="str">
        <f t="shared" si="19"/>
        <v/>
      </c>
      <c r="N46" s="29" t="str">
        <f t="shared" si="17"/>
        <v/>
      </c>
      <c r="O46" s="29"/>
      <c r="P46" s="217" t="str">
        <f>IF(A45=$D$8,XIRR(R$24:R45,C$24:C45),"")</f>
        <v/>
      </c>
      <c r="Q46" s="212" t="str">
        <f t="shared" si="14"/>
        <v/>
      </c>
      <c r="R46" s="29">
        <f t="shared" ca="1" si="6"/>
        <v>58636.67</v>
      </c>
      <c r="S46" s="22">
        <f t="shared" ca="1" si="7"/>
        <v>2023</v>
      </c>
      <c r="T46" s="22">
        <f t="shared" ca="1" si="8"/>
        <v>365</v>
      </c>
      <c r="U46" s="22">
        <f t="shared" ca="1" si="9"/>
        <v>12</v>
      </c>
      <c r="V46" s="23">
        <f t="shared" ca="1" si="10"/>
        <v>11</v>
      </c>
      <c r="W46" s="24">
        <f t="shared" ca="1" si="11"/>
        <v>19</v>
      </c>
    </row>
    <row r="47" spans="1:23" x14ac:dyDescent="0.35">
      <c r="A47" s="32">
        <f t="shared" si="12"/>
        <v>23</v>
      </c>
      <c r="B47" s="28">
        <f t="shared" ca="1" si="4"/>
        <v>45089</v>
      </c>
      <c r="C47" s="28">
        <f t="shared" ca="1" si="5"/>
        <v>45089</v>
      </c>
      <c r="D47" s="32">
        <f t="shared" ca="1" si="21"/>
        <v>31</v>
      </c>
      <c r="E47" s="29">
        <f t="shared" si="22"/>
        <v>3616666.5933333351</v>
      </c>
      <c r="F47" s="29">
        <f>IF(AND(A46="",A48=""),"",IF(A47="",ROUND(SUM($F$25:F46),2),IF(A47=$D$8,$E$24-ROUND(SUM($F$25:F46),2),ROUND($E$24/$D$8,2))))</f>
        <v>16666.669999999998</v>
      </c>
      <c r="G47" s="29">
        <f ca="1">IF(A46=$D$8,ROUND(SUM($G$25:G46),2),IF(A47&gt;$F$8,"",IF(T47&lt;&gt;T46,ROUND(SUM(V47*$F$9*E46/T47,W47*$F$9*E46/T46),2),ROUND(E46*$F$9*D47/T46,2))))</f>
        <v>43170.97</v>
      </c>
      <c r="H47" s="29">
        <f ca="1">IF(A46=$D$8,SUM($H$25:H46),IF(A46&gt;$D$8,"",F47+G47))</f>
        <v>59837.64</v>
      </c>
      <c r="I47" s="212" t="str">
        <f t="shared" si="23"/>
        <v/>
      </c>
      <c r="J47" s="212" t="str">
        <f t="shared" si="24"/>
        <v/>
      </c>
      <c r="K47" s="212"/>
      <c r="L47" s="212" t="str">
        <f t="shared" si="25"/>
        <v/>
      </c>
      <c r="M47" s="29" t="str">
        <f t="shared" si="19"/>
        <v/>
      </c>
      <c r="N47" s="29" t="str">
        <f t="shared" si="17"/>
        <v/>
      </c>
      <c r="O47" s="29"/>
      <c r="P47" s="217" t="str">
        <f>IF(A46=$D$8,XIRR(R$24:R46,C$24:C46),"")</f>
        <v/>
      </c>
      <c r="Q47" s="212" t="str">
        <f t="shared" si="14"/>
        <v/>
      </c>
      <c r="R47" s="29">
        <f t="shared" ca="1" si="6"/>
        <v>59837.64</v>
      </c>
      <c r="S47" s="22">
        <f t="shared" ca="1" si="7"/>
        <v>2023</v>
      </c>
      <c r="T47" s="22">
        <f t="shared" ca="1" si="8"/>
        <v>365</v>
      </c>
      <c r="U47" s="22">
        <f t="shared" ca="1" si="9"/>
        <v>12</v>
      </c>
      <c r="V47" s="23">
        <f t="shared" ca="1" si="10"/>
        <v>11</v>
      </c>
      <c r="W47" s="24">
        <f t="shared" ca="1" si="11"/>
        <v>20</v>
      </c>
    </row>
    <row r="48" spans="1:23" x14ac:dyDescent="0.35">
      <c r="A48" s="32">
        <f t="shared" si="12"/>
        <v>24</v>
      </c>
      <c r="B48" s="28">
        <f t="shared" ca="1" si="4"/>
        <v>45119</v>
      </c>
      <c r="C48" s="28">
        <f t="shared" ca="1" si="5"/>
        <v>45119</v>
      </c>
      <c r="D48" s="32">
        <f t="shared" ca="1" si="21"/>
        <v>30</v>
      </c>
      <c r="E48" s="29">
        <f t="shared" si="22"/>
        <v>3599999.9233333352</v>
      </c>
      <c r="F48" s="29">
        <f>IF(AND(A47="",A49=""),"",IF(A48="",ROUND(SUM($F$25:F47),2),IF(A48=$D$8,$E$24-ROUND(SUM($F$25:F47),2),ROUND($E$24/$D$8,2))))</f>
        <v>16666.669999999998</v>
      </c>
      <c r="G48" s="29">
        <f ca="1">IF(A47=$D$8,ROUND(SUM($G$25:G47),2),IF(A48&gt;$F$8,"",IF(T48&lt;&gt;T47,ROUND(SUM(V48*$F$9*E47/T48,W48*$F$9*E47/T47),2),ROUND(E47*$F$9*D48/T47,2))))</f>
        <v>41586.71</v>
      </c>
      <c r="H48" s="29">
        <f ca="1">IF(A47=$D$8,SUM($H$25:H47),IF(A47&gt;$D$8,"",F48+G48))</f>
        <v>58253.38</v>
      </c>
      <c r="I48" s="212" t="str">
        <f t="shared" si="23"/>
        <v/>
      </c>
      <c r="J48" s="212" t="str">
        <f t="shared" si="24"/>
        <v/>
      </c>
      <c r="K48" s="212"/>
      <c r="L48" s="212" t="str">
        <f t="shared" si="25"/>
        <v/>
      </c>
      <c r="M48" s="29" t="str">
        <f t="shared" si="19"/>
        <v/>
      </c>
      <c r="N48" s="29" t="str">
        <f t="shared" si="17"/>
        <v/>
      </c>
      <c r="O48" s="29"/>
      <c r="P48" s="217" t="str">
        <f>IF(A47=$D$8,XIRR(R$24:R47,C$24:C47),"")</f>
        <v/>
      </c>
      <c r="Q48" s="212" t="str">
        <f t="shared" si="14"/>
        <v/>
      </c>
      <c r="R48" s="29">
        <f t="shared" ca="1" si="6"/>
        <v>58253.38</v>
      </c>
      <c r="S48" s="22">
        <f t="shared" ca="1" si="7"/>
        <v>2023</v>
      </c>
      <c r="T48" s="22">
        <f t="shared" ca="1" si="8"/>
        <v>365</v>
      </c>
      <c r="U48" s="22">
        <f t="shared" ca="1" si="9"/>
        <v>12</v>
      </c>
      <c r="V48" s="23">
        <f t="shared" ca="1" si="10"/>
        <v>11</v>
      </c>
      <c r="W48" s="24">
        <f t="shared" ca="1" si="11"/>
        <v>19</v>
      </c>
    </row>
    <row r="49" spans="1:23" x14ac:dyDescent="0.35">
      <c r="A49" s="32">
        <f t="shared" si="12"/>
        <v>25</v>
      </c>
      <c r="B49" s="28">
        <f t="shared" ca="1" si="4"/>
        <v>45150</v>
      </c>
      <c r="C49" s="28">
        <f t="shared" ca="1" si="5"/>
        <v>45150</v>
      </c>
      <c r="D49" s="32">
        <f t="shared" ca="1" si="21"/>
        <v>31</v>
      </c>
      <c r="E49" s="29">
        <f t="shared" si="22"/>
        <v>3583333.2533333353</v>
      </c>
      <c r="F49" s="29">
        <f>IF(AND(A48="",A50=""),"",IF(A49="",ROUND(SUM($F$25:F48),2),IF(A49=$D$8,$E$24-ROUND(SUM($F$25:F48),2),ROUND($E$24/$D$8,2))))</f>
        <v>16666.669999999998</v>
      </c>
      <c r="G49" s="29">
        <f ca="1">IF(A48=$D$8,ROUND(SUM($G$25:G48),2),IF(A49&gt;$F$8,"",IF(T49&lt;&gt;T48,ROUND(SUM(V49*$F$9*E48/T49,W49*$F$9*E48/T48),2),ROUND(E48*$F$9*D49/T48,2))))</f>
        <v>42774.9</v>
      </c>
      <c r="H49" s="29">
        <f ca="1">IF(A48=$D$8,SUM($H$25:H48),IF(A48&gt;$D$8,"",F49+G49))</f>
        <v>59441.57</v>
      </c>
      <c r="I49" s="212" t="str">
        <f t="shared" si="23"/>
        <v/>
      </c>
      <c r="J49" s="212" t="str">
        <f t="shared" si="24"/>
        <v/>
      </c>
      <c r="K49" s="212">
        <f>IF($F$8&gt;24,($O$8+$O$10),IF($A$48=$F$8,$K$37+$K$24,""))</f>
        <v>17100</v>
      </c>
      <c r="L49" s="212" t="str">
        <f t="shared" si="25"/>
        <v/>
      </c>
      <c r="M49" s="29" t="str">
        <f t="shared" si="19"/>
        <v/>
      </c>
      <c r="N49" s="29" t="str">
        <f t="shared" si="17"/>
        <v/>
      </c>
      <c r="O49" s="29"/>
      <c r="P49" s="217" t="str">
        <f>IF(A48=$D$8,XIRR(R$24:R48,C$24:C48),"")</f>
        <v/>
      </c>
      <c r="Q49" s="212" t="str">
        <f t="shared" si="14"/>
        <v/>
      </c>
      <c r="R49" s="29">
        <f t="shared" ca="1" si="6"/>
        <v>76541.570000000007</v>
      </c>
      <c r="S49" s="22">
        <f t="shared" ca="1" si="7"/>
        <v>2023</v>
      </c>
      <c r="T49" s="22">
        <f t="shared" ca="1" si="8"/>
        <v>365</v>
      </c>
      <c r="U49" s="22">
        <f t="shared" ca="1" si="9"/>
        <v>12</v>
      </c>
      <c r="V49" s="23">
        <f t="shared" ca="1" si="10"/>
        <v>11</v>
      </c>
      <c r="W49" s="24">
        <f t="shared" ca="1" si="11"/>
        <v>20</v>
      </c>
    </row>
    <row r="50" spans="1:23" x14ac:dyDescent="0.35">
      <c r="A50" s="32">
        <f t="shared" si="12"/>
        <v>26</v>
      </c>
      <c r="B50" s="28">
        <f t="shared" ca="1" si="4"/>
        <v>45181</v>
      </c>
      <c r="C50" s="28">
        <f t="shared" ca="1" si="5"/>
        <v>45181</v>
      </c>
      <c r="D50" s="32">
        <f t="shared" ca="1" si="21"/>
        <v>31</v>
      </c>
      <c r="E50" s="29">
        <f t="shared" si="22"/>
        <v>3566666.5833333354</v>
      </c>
      <c r="F50" s="29">
        <f>IF(AND(A49="",A51=""),"",IF(A50="",ROUND(SUM($F$25:F49),2),IF(A50=$D$8,$E$24-ROUND(SUM($F$25:F49),2),ROUND($E$24/$D$8,2))))</f>
        <v>16666.669999999998</v>
      </c>
      <c r="G50" s="29">
        <f ca="1">IF(A49=$D$8,ROUND(SUM($G$25:G49),2),IF(A50&gt;$F$8,"",IF(T50&lt;&gt;T49,ROUND(SUM(V50*$F$9*E49/T50,W50*$F$9*E49/T49),2),ROUND(E49*$F$9*D50/T49,2))))</f>
        <v>42576.87</v>
      </c>
      <c r="H50" s="29">
        <f ca="1">IF(A49=$D$8,SUM($H$25:H49),IF(A49&gt;$D$8,"",F50+G50))</f>
        <v>59243.54</v>
      </c>
      <c r="I50" s="212" t="str">
        <f t="shared" si="23"/>
        <v/>
      </c>
      <c r="J50" s="212" t="str">
        <f t="shared" si="24"/>
        <v/>
      </c>
      <c r="K50" s="212"/>
      <c r="L50" s="212" t="str">
        <f t="shared" si="25"/>
        <v/>
      </c>
      <c r="M50" s="29" t="str">
        <f t="shared" si="19"/>
        <v/>
      </c>
      <c r="N50" s="29" t="str">
        <f t="shared" si="17"/>
        <v/>
      </c>
      <c r="O50" s="29"/>
      <c r="P50" s="217" t="str">
        <f>IF(A49=$D$8,XIRR(R$24:R49,C$24:C49),"")</f>
        <v/>
      </c>
      <c r="Q50" s="212" t="str">
        <f t="shared" si="14"/>
        <v/>
      </c>
      <c r="R50" s="29">
        <f t="shared" ca="1" si="6"/>
        <v>59243.54</v>
      </c>
      <c r="S50" s="22">
        <f t="shared" ca="1" si="7"/>
        <v>2023</v>
      </c>
      <c r="T50" s="22">
        <f t="shared" ca="1" si="8"/>
        <v>365</v>
      </c>
      <c r="U50" s="22">
        <f t="shared" ca="1" si="9"/>
        <v>12</v>
      </c>
      <c r="V50" s="23">
        <f t="shared" ca="1" si="10"/>
        <v>11</v>
      </c>
      <c r="W50" s="24">
        <f t="shared" ca="1" si="11"/>
        <v>20</v>
      </c>
    </row>
    <row r="51" spans="1:23" x14ac:dyDescent="0.35">
      <c r="A51" s="32">
        <f t="shared" si="12"/>
        <v>27</v>
      </c>
      <c r="B51" s="28">
        <f t="shared" ca="1" si="4"/>
        <v>45211</v>
      </c>
      <c r="C51" s="28">
        <f t="shared" ca="1" si="5"/>
        <v>45211</v>
      </c>
      <c r="D51" s="32">
        <f t="shared" ca="1" si="21"/>
        <v>30</v>
      </c>
      <c r="E51" s="29">
        <f t="shared" si="22"/>
        <v>3549999.9133333354</v>
      </c>
      <c r="F51" s="29">
        <f>IF(AND(A50="",A52=""),"",IF(A51="",ROUND(SUM($F$25:F50),2),IF(A51=$D$8,$E$24-ROUND(SUM($F$25:F50),2),ROUND($E$24/$D$8,2))))</f>
        <v>16666.669999999998</v>
      </c>
      <c r="G51" s="29">
        <f ca="1">IF(A50=$D$8,ROUND(SUM($G$25:G50),2),IF(A51&gt;$F$8,"",IF(T51&lt;&gt;T50,ROUND(SUM(V51*$F$9*E50/T51,W51*$F$9*E50/T50),2),ROUND(E50*$F$9*D51/T50,2))))</f>
        <v>41011.78</v>
      </c>
      <c r="H51" s="29">
        <f ca="1">IF(A50=$D$8,SUM($H$25:H50),IF(A50&gt;$D$8,"",F51+G51))</f>
        <v>57678.45</v>
      </c>
      <c r="I51" s="212" t="str">
        <f t="shared" si="23"/>
        <v/>
      </c>
      <c r="J51" s="212" t="str">
        <f t="shared" si="24"/>
        <v/>
      </c>
      <c r="K51" s="212"/>
      <c r="L51" s="212" t="str">
        <f t="shared" si="25"/>
        <v/>
      </c>
      <c r="M51" s="29" t="str">
        <f t="shared" si="19"/>
        <v/>
      </c>
      <c r="N51" s="29" t="str">
        <f t="shared" si="17"/>
        <v/>
      </c>
      <c r="O51" s="29"/>
      <c r="P51" s="217" t="str">
        <f>IF(A50=$D$8,XIRR(R$24:R50,C$24:C50),"")</f>
        <v/>
      </c>
      <c r="Q51" s="212" t="str">
        <f t="shared" si="14"/>
        <v/>
      </c>
      <c r="R51" s="29">
        <f t="shared" ca="1" si="6"/>
        <v>57678.45</v>
      </c>
      <c r="S51" s="22">
        <f t="shared" ca="1" si="7"/>
        <v>2023</v>
      </c>
      <c r="T51" s="22">
        <f t="shared" ca="1" si="8"/>
        <v>365</v>
      </c>
      <c r="U51" s="22">
        <f t="shared" ca="1" si="9"/>
        <v>12</v>
      </c>
      <c r="V51" s="23">
        <f t="shared" ca="1" si="10"/>
        <v>11</v>
      </c>
      <c r="W51" s="24">
        <f t="shared" ca="1" si="11"/>
        <v>19</v>
      </c>
    </row>
    <row r="52" spans="1:23" x14ac:dyDescent="0.35">
      <c r="A52" s="32">
        <f t="shared" si="12"/>
        <v>28</v>
      </c>
      <c r="B52" s="28">
        <f t="shared" ca="1" si="4"/>
        <v>45242</v>
      </c>
      <c r="C52" s="28">
        <f t="shared" ca="1" si="5"/>
        <v>45242</v>
      </c>
      <c r="D52" s="32">
        <f t="shared" ca="1" si="21"/>
        <v>31</v>
      </c>
      <c r="E52" s="29">
        <f t="shared" si="22"/>
        <v>3533333.2433333355</v>
      </c>
      <c r="F52" s="29">
        <f>IF(AND(A51="",A53=""),"",IF(A52="",ROUND(SUM($F$25:F51),2),IF(A52=$D$8,$E$24-ROUND(SUM($F$25:F51),2),ROUND($E$24/$D$8,2))))</f>
        <v>16666.669999999998</v>
      </c>
      <c r="G52" s="29">
        <f ca="1">IF(A51=$D$8,ROUND(SUM($G$25:G51),2),IF(A52&gt;$F$8,"",IF(T52&lt;&gt;T51,ROUND(SUM(V52*$F$9*E51/T52,W52*$F$9*E51/T51),2),ROUND(E51*$F$9*D52/T51,2))))</f>
        <v>42180.81</v>
      </c>
      <c r="H52" s="29">
        <f ca="1">IF(A51=$D$8,SUM($H$25:H51),IF(A51&gt;$D$8,"",F52+G52))</f>
        <v>58847.479999999996</v>
      </c>
      <c r="I52" s="212" t="str">
        <f t="shared" si="23"/>
        <v/>
      </c>
      <c r="J52" s="212" t="str">
        <f t="shared" si="24"/>
        <v/>
      </c>
      <c r="K52" s="212"/>
      <c r="L52" s="212" t="str">
        <f t="shared" si="25"/>
        <v/>
      </c>
      <c r="M52" s="29" t="str">
        <f t="shared" si="19"/>
        <v/>
      </c>
      <c r="N52" s="29" t="str">
        <f t="shared" si="17"/>
        <v/>
      </c>
      <c r="O52" s="29"/>
      <c r="P52" s="217" t="str">
        <f>IF(A51=$D$8,XIRR(R$24:R51,C$24:C51),"")</f>
        <v/>
      </c>
      <c r="Q52" s="212" t="str">
        <f t="shared" si="14"/>
        <v/>
      </c>
      <c r="R52" s="29">
        <f t="shared" ca="1" si="6"/>
        <v>58847.479999999996</v>
      </c>
      <c r="S52" s="22">
        <f t="shared" ca="1" si="7"/>
        <v>2023</v>
      </c>
      <c r="T52" s="22">
        <f t="shared" ca="1" si="8"/>
        <v>365</v>
      </c>
      <c r="U52" s="22">
        <f t="shared" ca="1" si="9"/>
        <v>12</v>
      </c>
      <c r="V52" s="23">
        <f t="shared" ca="1" si="10"/>
        <v>11</v>
      </c>
      <c r="W52" s="24">
        <f t="shared" ca="1" si="11"/>
        <v>20</v>
      </c>
    </row>
    <row r="53" spans="1:23" x14ac:dyDescent="0.35">
      <c r="A53" s="32">
        <f t="shared" si="12"/>
        <v>29</v>
      </c>
      <c r="B53" s="28">
        <f t="shared" ca="1" si="4"/>
        <v>45272</v>
      </c>
      <c r="C53" s="28">
        <f t="shared" ca="1" si="5"/>
        <v>45272</v>
      </c>
      <c r="D53" s="32">
        <f t="shared" ca="1" si="21"/>
        <v>30</v>
      </c>
      <c r="E53" s="29">
        <f t="shared" si="22"/>
        <v>3516666.5733333356</v>
      </c>
      <c r="F53" s="29">
        <f>IF(AND(A52="",A54=""),"",IF(A53="",ROUND(SUM($F$25:F52),2),IF(A53=$D$8,$E$24-ROUND(SUM($F$25:F52),2),ROUND($E$24/$D$8,2))))</f>
        <v>16666.669999999998</v>
      </c>
      <c r="G53" s="29">
        <f ca="1">IF(A52=$D$8,ROUND(SUM($G$25:G52),2),IF(A53&gt;$F$8,"",IF(T53&lt;&gt;T52,ROUND(SUM(V53*$F$9*E52/T53,W53*$F$9*E52/T52),2),ROUND(E52*$F$9*D53/T52,2))))</f>
        <v>40628.49</v>
      </c>
      <c r="H53" s="29">
        <f ca="1">IF(A52=$D$8,SUM($H$25:H52),IF(A52&gt;$D$8,"",F53+G53))</f>
        <v>57295.159999999996</v>
      </c>
      <c r="I53" s="212" t="str">
        <f t="shared" si="23"/>
        <v/>
      </c>
      <c r="J53" s="212" t="str">
        <f t="shared" si="24"/>
        <v/>
      </c>
      <c r="K53" s="212"/>
      <c r="L53" s="212" t="str">
        <f t="shared" si="25"/>
        <v/>
      </c>
      <c r="M53" s="29" t="str">
        <f t="shared" si="19"/>
        <v/>
      </c>
      <c r="N53" s="29" t="str">
        <f t="shared" si="17"/>
        <v/>
      </c>
      <c r="O53" s="29"/>
      <c r="P53" s="217" t="str">
        <f>IF(A52=$D$8,XIRR(R$24:R52,C$24:C52),"")</f>
        <v/>
      </c>
      <c r="Q53" s="212" t="str">
        <f t="shared" si="14"/>
        <v/>
      </c>
      <c r="R53" s="29">
        <f t="shared" ca="1" si="6"/>
        <v>57295.159999999996</v>
      </c>
      <c r="S53" s="22">
        <f t="shared" ca="1" si="7"/>
        <v>2023</v>
      </c>
      <c r="T53" s="22">
        <f t="shared" ca="1" si="8"/>
        <v>365</v>
      </c>
      <c r="U53" s="22">
        <f t="shared" ca="1" si="9"/>
        <v>12</v>
      </c>
      <c r="V53" s="23">
        <f t="shared" ca="1" si="10"/>
        <v>11</v>
      </c>
      <c r="W53" s="24">
        <f t="shared" ca="1" si="11"/>
        <v>19</v>
      </c>
    </row>
    <row r="54" spans="1:23" x14ac:dyDescent="0.35">
      <c r="A54" s="32">
        <f t="shared" si="12"/>
        <v>30</v>
      </c>
      <c r="B54" s="28">
        <f t="shared" ca="1" si="4"/>
        <v>45303</v>
      </c>
      <c r="C54" s="28">
        <f t="shared" ca="1" si="5"/>
        <v>45303</v>
      </c>
      <c r="D54" s="32">
        <f t="shared" ca="1" si="21"/>
        <v>31</v>
      </c>
      <c r="E54" s="29">
        <f t="shared" si="22"/>
        <v>3499999.9033333356</v>
      </c>
      <c r="F54" s="29">
        <f>IF(AND(A53="",A55=""),"",IF(A54="",ROUND(SUM($F$25:F53),2),IF(A54=$D$8,$E$24-ROUND(SUM($F$25:F53),2),ROUND($E$24/$D$8,2))))</f>
        <v>16666.669999999998</v>
      </c>
      <c r="G54" s="29">
        <f ca="1">IF(A53=$D$8,ROUND(SUM($G$25:G53),2),IF(A54&gt;$F$8,"",IF(T54&lt;&gt;T53,ROUND(SUM(V54*$F$9*E53/T54,W54*$F$9*E53/T53),2),ROUND(E53*$F$9*D54/T53,2))))</f>
        <v>41744.230000000003</v>
      </c>
      <c r="H54" s="29">
        <f ca="1">IF(A53=$D$8,SUM($H$25:H53),IF(A53&gt;$D$8,"",F54+G54))</f>
        <v>58410.9</v>
      </c>
      <c r="I54" s="212" t="str">
        <f t="shared" si="23"/>
        <v/>
      </c>
      <c r="J54" s="212" t="str">
        <f t="shared" si="24"/>
        <v/>
      </c>
      <c r="K54" s="212"/>
      <c r="L54" s="212" t="str">
        <f t="shared" si="25"/>
        <v/>
      </c>
      <c r="M54" s="29" t="str">
        <f t="shared" si="19"/>
        <v/>
      </c>
      <c r="N54" s="29" t="str">
        <f t="shared" si="17"/>
        <v/>
      </c>
      <c r="O54" s="29"/>
      <c r="P54" s="217" t="str">
        <f>IF(A53=$D$8,XIRR(R$24:R53,C$24:C53),"")</f>
        <v/>
      </c>
      <c r="Q54" s="212" t="str">
        <f t="shared" si="14"/>
        <v/>
      </c>
      <c r="R54" s="29">
        <f t="shared" ca="1" si="6"/>
        <v>58410.9</v>
      </c>
      <c r="S54" s="22">
        <f t="shared" ca="1" si="7"/>
        <v>2024</v>
      </c>
      <c r="T54" s="22">
        <f t="shared" ca="1" si="8"/>
        <v>366</v>
      </c>
      <c r="U54" s="22">
        <f t="shared" ca="1" si="9"/>
        <v>12</v>
      </c>
      <c r="V54" s="23">
        <f t="shared" ca="1" si="10"/>
        <v>11</v>
      </c>
      <c r="W54" s="24">
        <f t="shared" ca="1" si="11"/>
        <v>20</v>
      </c>
    </row>
    <row r="55" spans="1:23" x14ac:dyDescent="0.35">
      <c r="A55" s="32">
        <f t="shared" si="12"/>
        <v>31</v>
      </c>
      <c r="B55" s="28">
        <f t="shared" ca="1" si="4"/>
        <v>45334</v>
      </c>
      <c r="C55" s="28">
        <f t="shared" ca="1" si="5"/>
        <v>45334</v>
      </c>
      <c r="D55" s="32">
        <f t="shared" ca="1" si="21"/>
        <v>31</v>
      </c>
      <c r="E55" s="29">
        <f t="shared" si="22"/>
        <v>3483333.2333333357</v>
      </c>
      <c r="F55" s="29">
        <f>IF(AND(A54="",A56=""),"",IF(A55="",ROUND(SUM($F$25:F54),2),IF(A55=$D$8,$E$24-ROUND(SUM($F$25:F54),2),ROUND($E$24/$D$8,2))))</f>
        <v>16666.669999999998</v>
      </c>
      <c r="G55" s="29">
        <f ca="1">IF(A54=$D$8,ROUND(SUM($G$25:G54),2),IF(A55&gt;$F$8,"",IF(T55&lt;&gt;T54,ROUND(SUM(V55*$F$9*E54/T55,W55*$F$9*E54/T54),2),ROUND(E54*$F$9*D55/T54,2))))</f>
        <v>41473.089999999997</v>
      </c>
      <c r="H55" s="29">
        <f ca="1">IF(A54=$D$8,SUM($H$25:H54),IF(A54&gt;$D$8,"",F55+G55))</f>
        <v>58139.759999999995</v>
      </c>
      <c r="I55" s="212" t="str">
        <f t="shared" si="23"/>
        <v/>
      </c>
      <c r="J55" s="212" t="str">
        <f t="shared" si="24"/>
        <v/>
      </c>
      <c r="K55" s="212"/>
      <c r="L55" s="212" t="str">
        <f t="shared" si="25"/>
        <v/>
      </c>
      <c r="M55" s="29" t="str">
        <f t="shared" si="19"/>
        <v/>
      </c>
      <c r="N55" s="29" t="str">
        <f t="shared" si="17"/>
        <v/>
      </c>
      <c r="O55" s="29"/>
      <c r="P55" s="217" t="str">
        <f>IF(A54=$D$8,XIRR(R$24:R54,C$24:C54),"")</f>
        <v/>
      </c>
      <c r="Q55" s="212" t="str">
        <f t="shared" si="14"/>
        <v/>
      </c>
      <c r="R55" s="29">
        <f t="shared" ca="1" si="6"/>
        <v>58139.759999999995</v>
      </c>
      <c r="S55" s="22">
        <f t="shared" ca="1" si="7"/>
        <v>2024</v>
      </c>
      <c r="T55" s="22">
        <f t="shared" ca="1" si="8"/>
        <v>366</v>
      </c>
      <c r="U55" s="22">
        <f t="shared" ca="1" si="9"/>
        <v>12</v>
      </c>
      <c r="V55" s="23">
        <f t="shared" ca="1" si="10"/>
        <v>11</v>
      </c>
      <c r="W55" s="24">
        <f t="shared" ca="1" si="11"/>
        <v>20</v>
      </c>
    </row>
    <row r="56" spans="1:23" x14ac:dyDescent="0.35">
      <c r="A56" s="32">
        <f t="shared" si="12"/>
        <v>32</v>
      </c>
      <c r="B56" s="28">
        <f t="shared" ca="1" si="4"/>
        <v>45363</v>
      </c>
      <c r="C56" s="28">
        <f t="shared" ca="1" si="5"/>
        <v>45363</v>
      </c>
      <c r="D56" s="32">
        <f t="shared" ca="1" si="21"/>
        <v>29</v>
      </c>
      <c r="E56" s="29">
        <f t="shared" si="22"/>
        <v>3466666.5633333358</v>
      </c>
      <c r="F56" s="29">
        <f>IF(AND(A55="",A57=""),"",IF(A56="",ROUND(SUM($F$25:F55),2),IF(A56=$D$8,$E$24-ROUND(SUM($F$25:F55),2),ROUND($E$24/$D$8,2))))</f>
        <v>16666.669999999998</v>
      </c>
      <c r="G56" s="29">
        <f ca="1">IF(A55=$D$8,ROUND(SUM($G$25:G55),2),IF(A56&gt;$F$8,"",IF(T56&lt;&gt;T55,ROUND(SUM(V56*$F$9*E55/T56,W56*$F$9*E55/T55),2),ROUND(E55*$F$9*D56/T55,2))))</f>
        <v>38612.65</v>
      </c>
      <c r="H56" s="29">
        <f ca="1">IF(A55=$D$8,SUM($H$25:H55),IF(A55&gt;$D$8,"",F56+G56))</f>
        <v>55279.32</v>
      </c>
      <c r="I56" s="212" t="str">
        <f t="shared" si="23"/>
        <v/>
      </c>
      <c r="J56" s="212" t="str">
        <f t="shared" si="24"/>
        <v/>
      </c>
      <c r="K56" s="212"/>
      <c r="L56" s="212" t="str">
        <f t="shared" si="25"/>
        <v/>
      </c>
      <c r="M56" s="29" t="str">
        <f t="shared" si="19"/>
        <v/>
      </c>
      <c r="N56" s="29" t="str">
        <f t="shared" si="17"/>
        <v/>
      </c>
      <c r="O56" s="29"/>
      <c r="P56" s="217" t="str">
        <f>IF(A55=$D$8,XIRR(R$24:R55,C$24:C55),"")</f>
        <v/>
      </c>
      <c r="Q56" s="212" t="str">
        <f t="shared" si="14"/>
        <v/>
      </c>
      <c r="R56" s="29">
        <f t="shared" ca="1" si="6"/>
        <v>55279.32</v>
      </c>
      <c r="S56" s="22">
        <f t="shared" ca="1" si="7"/>
        <v>2024</v>
      </c>
      <c r="T56" s="22">
        <f t="shared" ca="1" si="8"/>
        <v>366</v>
      </c>
      <c r="U56" s="22">
        <f t="shared" ca="1" si="9"/>
        <v>12</v>
      </c>
      <c r="V56" s="23">
        <f t="shared" ca="1" si="10"/>
        <v>11</v>
      </c>
      <c r="W56" s="24">
        <f t="shared" ca="1" si="11"/>
        <v>18</v>
      </c>
    </row>
    <row r="57" spans="1:23" x14ac:dyDescent="0.35">
      <c r="A57" s="32">
        <f t="shared" si="12"/>
        <v>33</v>
      </c>
      <c r="B57" s="28">
        <f t="shared" ca="1" si="4"/>
        <v>45394</v>
      </c>
      <c r="C57" s="28">
        <f t="shared" ca="1" si="5"/>
        <v>45394</v>
      </c>
      <c r="D57" s="32">
        <f t="shared" ca="1" si="21"/>
        <v>31</v>
      </c>
      <c r="E57" s="29">
        <f t="shared" si="22"/>
        <v>3449999.8933333359</v>
      </c>
      <c r="F57" s="29">
        <f>IF(AND(A56="",A58=""),"",IF(A57="",ROUND(SUM($F$25:F56),2),IF(A57=$D$8,$E$24-ROUND(SUM($F$25:F56),2),ROUND($E$24/$D$8,2))))</f>
        <v>16666.669999999998</v>
      </c>
      <c r="G57" s="29">
        <f ca="1">IF(A56=$D$8,ROUND(SUM($G$25:G56),2),IF(A57&gt;$F$8,"",IF(T57&lt;&gt;T56,ROUND(SUM(V57*$F$9*E56/T57,W57*$F$9*E56/T56),2),ROUND(E56*$F$9*D57/T56,2))))</f>
        <v>41078.1</v>
      </c>
      <c r="H57" s="29">
        <f ca="1">IF(A56=$D$8,SUM($H$25:H56),IF(A56&gt;$D$8,"",F57+G57))</f>
        <v>57744.77</v>
      </c>
      <c r="I57" s="212" t="str">
        <f t="shared" si="23"/>
        <v/>
      </c>
      <c r="J57" s="212" t="str">
        <f t="shared" si="24"/>
        <v/>
      </c>
      <c r="K57" s="212"/>
      <c r="L57" s="212" t="str">
        <f t="shared" si="25"/>
        <v/>
      </c>
      <c r="M57" s="29" t="str">
        <f t="shared" si="19"/>
        <v/>
      </c>
      <c r="N57" s="29" t="str">
        <f t="shared" si="17"/>
        <v/>
      </c>
      <c r="O57" s="29"/>
      <c r="P57" s="217" t="str">
        <f>IF(A56=$D$8,XIRR(R$24:R56,C$24:C56),"")</f>
        <v/>
      </c>
      <c r="Q57" s="212" t="str">
        <f t="shared" si="14"/>
        <v/>
      </c>
      <c r="R57" s="29">
        <f t="shared" ca="1" si="6"/>
        <v>57744.77</v>
      </c>
      <c r="S57" s="22">
        <f t="shared" ca="1" si="7"/>
        <v>2024</v>
      </c>
      <c r="T57" s="22">
        <f t="shared" ca="1" si="8"/>
        <v>366</v>
      </c>
      <c r="U57" s="22">
        <f t="shared" ca="1" si="9"/>
        <v>12</v>
      </c>
      <c r="V57" s="23">
        <f t="shared" ca="1" si="10"/>
        <v>11</v>
      </c>
      <c r="W57" s="24">
        <f t="shared" ca="1" si="11"/>
        <v>20</v>
      </c>
    </row>
    <row r="58" spans="1:23" x14ac:dyDescent="0.35">
      <c r="A58" s="32">
        <f t="shared" si="12"/>
        <v>34</v>
      </c>
      <c r="B58" s="28">
        <f t="shared" ca="1" si="4"/>
        <v>45424</v>
      </c>
      <c r="C58" s="28">
        <f t="shared" ca="1" si="5"/>
        <v>45424</v>
      </c>
      <c r="D58" s="32">
        <f t="shared" ca="1" si="21"/>
        <v>30</v>
      </c>
      <c r="E58" s="29">
        <f t="shared" si="22"/>
        <v>3433333.2233333359</v>
      </c>
      <c r="F58" s="29">
        <f>IF(AND(A57="",A59=""),"",IF(A58="",ROUND(SUM($F$25:F57),2),IF(A58=$D$8,$E$24-ROUND(SUM($F$25:F57),2),ROUND($E$24/$D$8,2))))</f>
        <v>16666.669999999998</v>
      </c>
      <c r="G58" s="29">
        <f ca="1">IF(A57=$D$8,ROUND(SUM($G$25:G57),2),IF(A58&gt;$F$8,"",IF(T58&lt;&gt;T57,ROUND(SUM(V58*$F$9*E57/T58,W58*$F$9*E57/T57),2),ROUND(E57*$F$9*D58/T57,2))))</f>
        <v>39561.879999999997</v>
      </c>
      <c r="H58" s="29">
        <f ca="1">IF(A57=$D$8,SUM($H$25:H57),IF(A57&gt;$D$8,"",F58+G58))</f>
        <v>56228.549999999996</v>
      </c>
      <c r="I58" s="212" t="str">
        <f t="shared" si="23"/>
        <v/>
      </c>
      <c r="J58" s="212" t="str">
        <f t="shared" si="24"/>
        <v/>
      </c>
      <c r="K58" s="212"/>
      <c r="L58" s="212" t="str">
        <f t="shared" si="25"/>
        <v/>
      </c>
      <c r="M58" s="29" t="str">
        <f t="shared" si="19"/>
        <v/>
      </c>
      <c r="N58" s="29" t="str">
        <f t="shared" si="17"/>
        <v/>
      </c>
      <c r="O58" s="29"/>
      <c r="P58" s="217" t="str">
        <f>IF(A57=$D$8,XIRR(R$24:R57,C$24:C57),"")</f>
        <v/>
      </c>
      <c r="Q58" s="212" t="str">
        <f t="shared" si="14"/>
        <v/>
      </c>
      <c r="R58" s="29">
        <f t="shared" ca="1" si="6"/>
        <v>56228.549999999996</v>
      </c>
      <c r="S58" s="22">
        <f t="shared" ca="1" si="7"/>
        <v>2024</v>
      </c>
      <c r="T58" s="22">
        <f t="shared" ca="1" si="8"/>
        <v>366</v>
      </c>
      <c r="U58" s="22">
        <f t="shared" ca="1" si="9"/>
        <v>12</v>
      </c>
      <c r="V58" s="23">
        <f t="shared" ca="1" si="10"/>
        <v>11</v>
      </c>
      <c r="W58" s="24">
        <f t="shared" ca="1" si="11"/>
        <v>19</v>
      </c>
    </row>
    <row r="59" spans="1:23" x14ac:dyDescent="0.35">
      <c r="A59" s="32">
        <f t="shared" si="12"/>
        <v>35</v>
      </c>
      <c r="B59" s="28">
        <f t="shared" ca="1" si="4"/>
        <v>45455</v>
      </c>
      <c r="C59" s="28">
        <f t="shared" ca="1" si="5"/>
        <v>45455</v>
      </c>
      <c r="D59" s="32">
        <f t="shared" ca="1" si="21"/>
        <v>31</v>
      </c>
      <c r="E59" s="29">
        <f t="shared" si="22"/>
        <v>3416666.553333336</v>
      </c>
      <c r="F59" s="29">
        <f>IF(AND(A58="",A60=""),"",IF(A59="",ROUND(SUM($F$25:F58),2),IF(A59=$D$8,$E$24-ROUND(SUM($F$25:F58),2),ROUND($E$24/$D$8,2))))</f>
        <v>16666.669999999998</v>
      </c>
      <c r="G59" s="29">
        <f ca="1">IF(A58=$D$8,ROUND(SUM($G$25:G58),2),IF(A59&gt;$F$8,"",IF(T59&lt;&gt;T58,ROUND(SUM(V59*$F$9*E58/T59,W59*$F$9*E58/T58),2),ROUND(E58*$F$9*D59/T58,2))))</f>
        <v>40683.120000000003</v>
      </c>
      <c r="H59" s="29">
        <f ca="1">IF(A58=$D$8,SUM($H$25:H58),IF(A58&gt;$D$8,"",F59+G59))</f>
        <v>57349.79</v>
      </c>
      <c r="I59" s="212" t="str">
        <f t="shared" si="23"/>
        <v/>
      </c>
      <c r="J59" s="212" t="str">
        <f t="shared" si="24"/>
        <v/>
      </c>
      <c r="K59" s="212"/>
      <c r="L59" s="212" t="str">
        <f t="shared" si="25"/>
        <v/>
      </c>
      <c r="M59" s="29" t="str">
        <f t="shared" si="19"/>
        <v/>
      </c>
      <c r="N59" s="29" t="str">
        <f t="shared" si="17"/>
        <v/>
      </c>
      <c r="O59" s="29"/>
      <c r="P59" s="217" t="str">
        <f>IF(A58=$D$8,XIRR(R$24:R58,C$24:C58),"")</f>
        <v/>
      </c>
      <c r="Q59" s="212" t="str">
        <f t="shared" si="14"/>
        <v/>
      </c>
      <c r="R59" s="29">
        <f t="shared" ca="1" si="6"/>
        <v>57349.79</v>
      </c>
      <c r="S59" s="22">
        <f t="shared" ca="1" si="7"/>
        <v>2024</v>
      </c>
      <c r="T59" s="22">
        <f t="shared" ca="1" si="8"/>
        <v>366</v>
      </c>
      <c r="U59" s="22">
        <f t="shared" ca="1" si="9"/>
        <v>12</v>
      </c>
      <c r="V59" s="23">
        <f t="shared" ca="1" si="10"/>
        <v>11</v>
      </c>
      <c r="W59" s="24">
        <f t="shared" ca="1" si="11"/>
        <v>20</v>
      </c>
    </row>
    <row r="60" spans="1:23" x14ac:dyDescent="0.35">
      <c r="A60" s="32">
        <f t="shared" si="12"/>
        <v>36</v>
      </c>
      <c r="B60" s="28">
        <f t="shared" ca="1" si="4"/>
        <v>45485</v>
      </c>
      <c r="C60" s="28">
        <f t="shared" ca="1" si="5"/>
        <v>45485</v>
      </c>
      <c r="D60" s="32">
        <f t="shared" ca="1" si="21"/>
        <v>30</v>
      </c>
      <c r="E60" s="29">
        <f t="shared" si="22"/>
        <v>3399999.8833333361</v>
      </c>
      <c r="F60" s="29">
        <f>IF(AND(A59="",A61=""),"",IF(A60="",ROUND(SUM($F$25:F59),2),IF(A60=$D$8,$E$24-ROUND(SUM($F$25:F59),2),ROUND($E$24/$D$8,2))))</f>
        <v>16666.669999999998</v>
      </c>
      <c r="G60" s="29">
        <f ca="1">IF(A59=$D$8,ROUND(SUM($G$25:G59),2),IF(A60&gt;$F$8,"",IF(T60&lt;&gt;T59,ROUND(SUM(V60*$F$9*E59/T60,W60*$F$9*E59/T59),2),ROUND(E59*$F$9*D60/T59,2))))</f>
        <v>39179.64</v>
      </c>
      <c r="H60" s="29">
        <f ca="1">IF(A59=$D$8,SUM($H$25:H59),IF(A59&gt;$D$8,"",F60+G60))</f>
        <v>55846.31</v>
      </c>
      <c r="I60" s="212" t="str">
        <f t="shared" si="23"/>
        <v/>
      </c>
      <c r="J60" s="212" t="str">
        <f t="shared" si="24"/>
        <v/>
      </c>
      <c r="K60" s="212"/>
      <c r="L60" s="212" t="str">
        <f t="shared" si="25"/>
        <v/>
      </c>
      <c r="M60" s="29" t="str">
        <f t="shared" si="19"/>
        <v/>
      </c>
      <c r="N60" s="29" t="str">
        <f t="shared" si="17"/>
        <v/>
      </c>
      <c r="O60" s="29"/>
      <c r="P60" s="217" t="str">
        <f>IF(A59=$D$8,XIRR(R$24:R59,C$24:C59),"")</f>
        <v/>
      </c>
      <c r="Q60" s="212" t="str">
        <f t="shared" si="14"/>
        <v/>
      </c>
      <c r="R60" s="29">
        <f t="shared" ca="1" si="6"/>
        <v>55846.31</v>
      </c>
      <c r="S60" s="22">
        <f t="shared" ca="1" si="7"/>
        <v>2024</v>
      </c>
      <c r="T60" s="22">
        <f t="shared" ca="1" si="8"/>
        <v>366</v>
      </c>
      <c r="U60" s="22">
        <f t="shared" ca="1" si="9"/>
        <v>12</v>
      </c>
      <c r="V60" s="23">
        <f t="shared" ca="1" si="10"/>
        <v>11</v>
      </c>
      <c r="W60" s="24">
        <f t="shared" ca="1" si="11"/>
        <v>19</v>
      </c>
    </row>
    <row r="61" spans="1:23" x14ac:dyDescent="0.35">
      <c r="A61" s="32">
        <f t="shared" si="12"/>
        <v>37</v>
      </c>
      <c r="B61" s="28">
        <f t="shared" ca="1" si="4"/>
        <v>45516</v>
      </c>
      <c r="C61" s="28">
        <f t="shared" ca="1" si="5"/>
        <v>45516</v>
      </c>
      <c r="D61" s="32">
        <f t="shared" ca="1" si="21"/>
        <v>31</v>
      </c>
      <c r="E61" s="29">
        <f t="shared" si="22"/>
        <v>3383333.2133333362</v>
      </c>
      <c r="F61" s="29">
        <f>IF(AND(A60="",A62=""),"",IF(A61="",ROUND(SUM($F$25:F60),2),IF(A61=$D$8,$E$24-ROUND(SUM($F$25:F60),2),ROUND($E$24/$D$8,2))))</f>
        <v>16666.669999999998</v>
      </c>
      <c r="G61" s="29">
        <f ca="1">IF(A60=$D$8,ROUND(SUM($G$25:G60),2),IF(A61&gt;$F$8,"",IF(T61&lt;&gt;T60,ROUND(SUM(V61*$F$9*E60/T61,W61*$F$9*E60/T60),2),ROUND(E60*$F$9*D61/T60,2))))</f>
        <v>40288.14</v>
      </c>
      <c r="H61" s="29">
        <f ca="1">IF(A60=$D$8,SUM($H$25:H60),IF(A60&gt;$D$8,"",F61+G61))</f>
        <v>56954.81</v>
      </c>
      <c r="I61" s="212" t="str">
        <f t="shared" si="23"/>
        <v/>
      </c>
      <c r="J61" s="212" t="str">
        <f t="shared" si="24"/>
        <v/>
      </c>
      <c r="K61" s="212">
        <f>IF($F$8&gt;36,($O$8+$O$10),IF($A$60=$F$8,$K$37+$K$24+$K$49,""))</f>
        <v>17100</v>
      </c>
      <c r="L61" s="212" t="str">
        <f t="shared" si="25"/>
        <v/>
      </c>
      <c r="M61" s="29" t="str">
        <f t="shared" si="19"/>
        <v/>
      </c>
      <c r="N61" s="29" t="str">
        <f t="shared" si="17"/>
        <v/>
      </c>
      <c r="O61" s="29"/>
      <c r="P61" s="217" t="str">
        <f>IF(A60=$D$8,XIRR(R$24:R60,C$24:C60),"")</f>
        <v/>
      </c>
      <c r="Q61" s="212" t="str">
        <f t="shared" si="14"/>
        <v/>
      </c>
      <c r="R61" s="29">
        <f t="shared" ca="1" si="6"/>
        <v>74054.81</v>
      </c>
      <c r="S61" s="22">
        <f t="shared" ca="1" si="7"/>
        <v>2024</v>
      </c>
      <c r="T61" s="22">
        <f t="shared" ca="1" si="8"/>
        <v>366</v>
      </c>
      <c r="U61" s="22">
        <f t="shared" ca="1" si="9"/>
        <v>12</v>
      </c>
      <c r="V61" s="23">
        <f t="shared" ca="1" si="10"/>
        <v>11</v>
      </c>
      <c r="W61" s="24">
        <f t="shared" ca="1" si="11"/>
        <v>20</v>
      </c>
    </row>
    <row r="62" spans="1:23" x14ac:dyDescent="0.35">
      <c r="A62" s="32">
        <f t="shared" si="12"/>
        <v>38</v>
      </c>
      <c r="B62" s="28">
        <f t="shared" ca="1" si="4"/>
        <v>45547</v>
      </c>
      <c r="C62" s="28">
        <f t="shared" ca="1" si="5"/>
        <v>45547</v>
      </c>
      <c r="D62" s="32">
        <f t="shared" ca="1" si="21"/>
        <v>31</v>
      </c>
      <c r="E62" s="29">
        <f t="shared" si="22"/>
        <v>3366666.5433333362</v>
      </c>
      <c r="F62" s="29">
        <f>IF(AND(A61="",A63=""),"",IF(A62="",ROUND(SUM($F$25:F61),2),IF(A62=$D$8,$E$24-ROUND(SUM($F$25:F61),2),ROUND($E$24/$D$8,2))))</f>
        <v>16666.669999999998</v>
      </c>
      <c r="G62" s="29">
        <f ca="1">IF(A61=$D$8,ROUND(SUM($G$25:G61),2),IF(A62&gt;$F$8,"",IF(T62&lt;&gt;T61,ROUND(SUM(V62*$F$9*E61/T62,W62*$F$9*E61/T61),2),ROUND(E61*$F$9*D62/T61,2))))</f>
        <v>40090.65</v>
      </c>
      <c r="H62" s="29">
        <f ca="1">IF(A61=$D$8,SUM($H$25:H61),IF(A61&gt;$D$8,"",F62+G62))</f>
        <v>56757.32</v>
      </c>
      <c r="I62" s="212" t="str">
        <f t="shared" si="23"/>
        <v/>
      </c>
      <c r="J62" s="212" t="str">
        <f t="shared" si="24"/>
        <v/>
      </c>
      <c r="K62" s="212"/>
      <c r="L62" s="212" t="str">
        <f t="shared" si="25"/>
        <v/>
      </c>
      <c r="M62" s="29" t="str">
        <f t="shared" si="19"/>
        <v/>
      </c>
      <c r="N62" s="29" t="str">
        <f t="shared" si="17"/>
        <v/>
      </c>
      <c r="O62" s="29"/>
      <c r="P62" s="217" t="str">
        <f>IF(A61=$D$8,XIRR(R$24:R61,C$24:C61),"")</f>
        <v/>
      </c>
      <c r="Q62" s="212" t="str">
        <f t="shared" si="14"/>
        <v/>
      </c>
      <c r="R62" s="29">
        <f t="shared" ca="1" si="6"/>
        <v>56757.32</v>
      </c>
      <c r="S62" s="22">
        <f t="shared" ca="1" si="7"/>
        <v>2024</v>
      </c>
      <c r="T62" s="22">
        <f t="shared" ca="1" si="8"/>
        <v>366</v>
      </c>
      <c r="U62" s="22">
        <f t="shared" ca="1" si="9"/>
        <v>12</v>
      </c>
      <c r="V62" s="23">
        <f t="shared" ca="1" si="10"/>
        <v>11</v>
      </c>
      <c r="W62" s="24">
        <f t="shared" ca="1" si="11"/>
        <v>20</v>
      </c>
    </row>
    <row r="63" spans="1:23" x14ac:dyDescent="0.35">
      <c r="A63" s="32">
        <f t="shared" si="12"/>
        <v>39</v>
      </c>
      <c r="B63" s="28">
        <f t="shared" ca="1" si="4"/>
        <v>45577</v>
      </c>
      <c r="C63" s="28">
        <f t="shared" ca="1" si="5"/>
        <v>45577</v>
      </c>
      <c r="D63" s="32">
        <f t="shared" ca="1" si="21"/>
        <v>30</v>
      </c>
      <c r="E63" s="29">
        <f t="shared" si="22"/>
        <v>3349999.8733333363</v>
      </c>
      <c r="F63" s="29">
        <f>IF(AND(A62="",A64=""),"",IF(A63="",ROUND(SUM($F$25:F62),2),IF(A63=$D$8,$E$24-ROUND(SUM($F$25:F62),2),ROUND($E$24/$D$8,2))))</f>
        <v>16666.669999999998</v>
      </c>
      <c r="G63" s="29">
        <f ca="1">IF(A62=$D$8,ROUND(SUM($G$25:G62),2),IF(A63&gt;$F$8,"",IF(T63&lt;&gt;T62,ROUND(SUM(V63*$F$9*E62/T63,W63*$F$9*E62/T62),2),ROUND(E62*$F$9*D63/T62,2))))</f>
        <v>38606.28</v>
      </c>
      <c r="H63" s="29">
        <f ca="1">IF(A62=$D$8,SUM($H$25:H62),IF(A62&gt;$D$8,"",F63+G63))</f>
        <v>55272.95</v>
      </c>
      <c r="I63" s="212" t="str">
        <f t="shared" si="23"/>
        <v/>
      </c>
      <c r="J63" s="212" t="str">
        <f t="shared" si="24"/>
        <v/>
      </c>
      <c r="K63" s="212"/>
      <c r="L63" s="212" t="str">
        <f t="shared" si="25"/>
        <v/>
      </c>
      <c r="M63" s="29" t="str">
        <f t="shared" si="19"/>
        <v/>
      </c>
      <c r="N63" s="29" t="str">
        <f t="shared" si="17"/>
        <v/>
      </c>
      <c r="O63" s="29"/>
      <c r="P63" s="217" t="str">
        <f>IF(A62=$D$8,XIRR(R$24:R62,C$24:C62),"")</f>
        <v/>
      </c>
      <c r="Q63" s="212" t="str">
        <f t="shared" si="14"/>
        <v/>
      </c>
      <c r="R63" s="29">
        <f t="shared" ca="1" si="6"/>
        <v>55272.95</v>
      </c>
      <c r="S63" s="22">
        <f t="shared" ca="1" si="7"/>
        <v>2024</v>
      </c>
      <c r="T63" s="22">
        <f t="shared" ca="1" si="8"/>
        <v>366</v>
      </c>
      <c r="U63" s="22">
        <f t="shared" ca="1" si="9"/>
        <v>12</v>
      </c>
      <c r="V63" s="23">
        <f t="shared" ca="1" si="10"/>
        <v>11</v>
      </c>
      <c r="W63" s="24">
        <f t="shared" ca="1" si="11"/>
        <v>19</v>
      </c>
    </row>
    <row r="64" spans="1:23" x14ac:dyDescent="0.35">
      <c r="A64" s="32">
        <f t="shared" si="12"/>
        <v>40</v>
      </c>
      <c r="B64" s="28">
        <f t="shared" ca="1" si="4"/>
        <v>45608</v>
      </c>
      <c r="C64" s="28">
        <f t="shared" ca="1" si="5"/>
        <v>45608</v>
      </c>
      <c r="D64" s="32">
        <f t="shared" ca="1" si="21"/>
        <v>31</v>
      </c>
      <c r="E64" s="29">
        <f t="shared" si="22"/>
        <v>3333333.2033333364</v>
      </c>
      <c r="F64" s="29">
        <f>IF(AND(A63="",A65=""),"",IF(A64="",ROUND(SUM($F$25:F63),2),IF(A64=$D$8,$E$24-ROUND(SUM($F$25:F63),2),ROUND($E$24/$D$8,2))))</f>
        <v>16666.669999999998</v>
      </c>
      <c r="G64" s="29">
        <f ca="1">IF(A63=$D$8,ROUND(SUM($G$25:G63),2),IF(A64&gt;$F$8,"",IF(T64&lt;&gt;T63,ROUND(SUM(V64*$F$9*E63/T64,W64*$F$9*E63/T63),2),ROUND(E63*$F$9*D64/T63,2))))</f>
        <v>39695.67</v>
      </c>
      <c r="H64" s="29">
        <f ca="1">IF(A63=$D$8,SUM($H$25:H63),IF(A63&gt;$D$8,"",F64+G64))</f>
        <v>56362.34</v>
      </c>
      <c r="I64" s="212" t="str">
        <f t="shared" si="23"/>
        <v/>
      </c>
      <c r="J64" s="212" t="str">
        <f t="shared" si="24"/>
        <v/>
      </c>
      <c r="K64" s="212"/>
      <c r="L64" s="212" t="str">
        <f t="shared" si="25"/>
        <v/>
      </c>
      <c r="M64" s="29" t="str">
        <f t="shared" si="19"/>
        <v/>
      </c>
      <c r="N64" s="29" t="str">
        <f t="shared" si="17"/>
        <v/>
      </c>
      <c r="O64" s="29"/>
      <c r="P64" s="217" t="str">
        <f>IF(A63=$D$8,XIRR(R$24:R63,C$24:C63),"")</f>
        <v/>
      </c>
      <c r="Q64" s="212" t="str">
        <f t="shared" si="14"/>
        <v/>
      </c>
      <c r="R64" s="29">
        <f t="shared" ca="1" si="6"/>
        <v>56362.34</v>
      </c>
      <c r="S64" s="22">
        <f t="shared" ca="1" si="7"/>
        <v>2024</v>
      </c>
      <c r="T64" s="22">
        <f t="shared" ca="1" si="8"/>
        <v>366</v>
      </c>
      <c r="U64" s="22">
        <f t="shared" ca="1" si="9"/>
        <v>12</v>
      </c>
      <c r="V64" s="23">
        <f t="shared" ca="1" si="10"/>
        <v>11</v>
      </c>
      <c r="W64" s="24">
        <f t="shared" ca="1" si="11"/>
        <v>20</v>
      </c>
    </row>
    <row r="65" spans="1:23" x14ac:dyDescent="0.35">
      <c r="A65" s="32">
        <f t="shared" si="12"/>
        <v>41</v>
      </c>
      <c r="B65" s="28">
        <f t="shared" ca="1" si="4"/>
        <v>45638</v>
      </c>
      <c r="C65" s="28">
        <f t="shared" ca="1" si="5"/>
        <v>45638</v>
      </c>
      <c r="D65" s="32">
        <f t="shared" ca="1" si="21"/>
        <v>30</v>
      </c>
      <c r="E65" s="29">
        <f t="shared" si="22"/>
        <v>3316666.5333333365</v>
      </c>
      <c r="F65" s="29">
        <f>IF(AND(A64="",A66=""),"",IF(A65="",ROUND(SUM($F$25:F64),2),IF(A65=$D$8,$E$24-ROUND(SUM($F$25:F64),2),ROUND($E$24/$D$8,2))))</f>
        <v>16666.669999999998</v>
      </c>
      <c r="G65" s="29">
        <f ca="1">IF(A64=$D$8,ROUND(SUM($G$25:G64),2),IF(A65&gt;$F$8,"",IF(T65&lt;&gt;T64,ROUND(SUM(V65*$F$9*E64/T65,W65*$F$9*E64/T64),2),ROUND(E64*$F$9*D65/T64,2))))</f>
        <v>38224.04</v>
      </c>
      <c r="H65" s="29">
        <f ca="1">IF(A64=$D$8,SUM($H$25:H64),IF(A64&gt;$D$8,"",F65+G65))</f>
        <v>54890.71</v>
      </c>
      <c r="I65" s="212" t="str">
        <f t="shared" si="23"/>
        <v/>
      </c>
      <c r="J65" s="212" t="str">
        <f t="shared" si="24"/>
        <v/>
      </c>
      <c r="K65" s="212"/>
      <c r="L65" s="212" t="str">
        <f t="shared" si="25"/>
        <v/>
      </c>
      <c r="M65" s="29" t="str">
        <f t="shared" si="19"/>
        <v/>
      </c>
      <c r="N65" s="29" t="str">
        <f t="shared" si="17"/>
        <v/>
      </c>
      <c r="O65" s="29"/>
      <c r="P65" s="217" t="str">
        <f>IF(A64=$D$8,XIRR(R$24:R64,C$24:C64),"")</f>
        <v/>
      </c>
      <c r="Q65" s="212" t="str">
        <f t="shared" si="14"/>
        <v/>
      </c>
      <c r="R65" s="29">
        <f t="shared" ca="1" si="6"/>
        <v>54890.71</v>
      </c>
      <c r="S65" s="22">
        <f t="shared" ca="1" si="7"/>
        <v>2024</v>
      </c>
      <c r="T65" s="22">
        <f t="shared" ca="1" si="8"/>
        <v>366</v>
      </c>
      <c r="U65" s="22">
        <f t="shared" ca="1" si="9"/>
        <v>12</v>
      </c>
      <c r="V65" s="23">
        <f t="shared" ca="1" si="10"/>
        <v>11</v>
      </c>
      <c r="W65" s="24">
        <f t="shared" ca="1" si="11"/>
        <v>19</v>
      </c>
    </row>
    <row r="66" spans="1:23" x14ac:dyDescent="0.35">
      <c r="A66" s="32">
        <f t="shared" si="12"/>
        <v>42</v>
      </c>
      <c r="B66" s="28">
        <f t="shared" ca="1" si="4"/>
        <v>45669</v>
      </c>
      <c r="C66" s="28">
        <f t="shared" ca="1" si="5"/>
        <v>45669</v>
      </c>
      <c r="D66" s="32">
        <f t="shared" ca="1" si="21"/>
        <v>31</v>
      </c>
      <c r="E66" s="29">
        <f t="shared" si="22"/>
        <v>3299999.8633333365</v>
      </c>
      <c r="F66" s="29">
        <f>IF(AND(A65="",A67=""),"",IF(A66="",ROUND(SUM($F$25:F65),2),IF(A66=$D$8,$E$24-ROUND(SUM($F$25:F65),2),ROUND($E$24/$D$8,2))))</f>
        <v>16666.669999999998</v>
      </c>
      <c r="G66" s="29">
        <f ca="1">IF(A65=$D$8,ROUND(SUM($G$25:G65),2),IF(A66&gt;$F$8,"",IF(T66&lt;&gt;T65,ROUND(SUM(V66*$F$9*E65/T66,W66*$F$9*E65/T65),2),ROUND(E65*$F$9*D66/T65,2))))</f>
        <v>39338.89</v>
      </c>
      <c r="H66" s="29">
        <f ca="1">IF(A65=$D$8,SUM($H$25:H65),IF(A65&gt;$D$8,"",F66+G66))</f>
        <v>56005.56</v>
      </c>
      <c r="I66" s="212" t="str">
        <f t="shared" si="23"/>
        <v/>
      </c>
      <c r="J66" s="212" t="str">
        <f t="shared" si="24"/>
        <v/>
      </c>
      <c r="K66" s="212"/>
      <c r="L66" s="212" t="str">
        <f t="shared" si="25"/>
        <v/>
      </c>
      <c r="M66" s="29" t="str">
        <f t="shared" si="19"/>
        <v/>
      </c>
      <c r="N66" s="29" t="str">
        <f t="shared" si="17"/>
        <v/>
      </c>
      <c r="O66" s="29"/>
      <c r="P66" s="217" t="str">
        <f>IF(A65=$D$8,XIRR(R$24:R65,C$24:C65),"")</f>
        <v/>
      </c>
      <c r="Q66" s="212" t="str">
        <f t="shared" si="14"/>
        <v/>
      </c>
      <c r="R66" s="29">
        <f t="shared" ca="1" si="6"/>
        <v>56005.56</v>
      </c>
      <c r="S66" s="22">
        <f t="shared" ca="1" si="7"/>
        <v>2025</v>
      </c>
      <c r="T66" s="22">
        <f t="shared" ca="1" si="8"/>
        <v>365</v>
      </c>
      <c r="U66" s="22">
        <f t="shared" ca="1" si="9"/>
        <v>12</v>
      </c>
      <c r="V66" s="23">
        <f t="shared" ca="1" si="10"/>
        <v>11</v>
      </c>
      <c r="W66" s="24">
        <f t="shared" ca="1" si="11"/>
        <v>20</v>
      </c>
    </row>
    <row r="67" spans="1:23" x14ac:dyDescent="0.35">
      <c r="A67" s="32">
        <f t="shared" si="12"/>
        <v>43</v>
      </c>
      <c r="B67" s="28">
        <f t="shared" ca="1" si="4"/>
        <v>45700</v>
      </c>
      <c r="C67" s="28">
        <f t="shared" ca="1" si="5"/>
        <v>45700</v>
      </c>
      <c r="D67" s="32">
        <f t="shared" ca="1" si="21"/>
        <v>31</v>
      </c>
      <c r="E67" s="29">
        <f t="shared" si="22"/>
        <v>3283333.1933333366</v>
      </c>
      <c r="F67" s="29">
        <f>IF(AND(A66="",A68=""),"",IF(A67="",ROUND(SUM($F$25:F66),2),IF(A67=$D$8,$E$24-ROUND(SUM($F$25:F66),2),ROUND($E$24/$D$8,2))))</f>
        <v>16666.669999999998</v>
      </c>
      <c r="G67" s="29">
        <f ca="1">IF(A66=$D$8,ROUND(SUM($G$25:G66),2),IF(A67&gt;$F$8,"",IF(T67&lt;&gt;T66,ROUND(SUM(V67*$F$9*E66/T67,W67*$F$9*E66/T66),2),ROUND(E66*$F$9*D67/T66,2))))</f>
        <v>39210.33</v>
      </c>
      <c r="H67" s="29">
        <f ca="1">IF(A66=$D$8,SUM($H$25:H66),IF(A66&gt;$D$8,"",F67+G67))</f>
        <v>55877</v>
      </c>
      <c r="I67" s="212" t="str">
        <f t="shared" si="23"/>
        <v/>
      </c>
      <c r="J67" s="212" t="str">
        <f t="shared" si="24"/>
        <v/>
      </c>
      <c r="K67" s="212"/>
      <c r="L67" s="212" t="str">
        <f t="shared" si="25"/>
        <v/>
      </c>
      <c r="M67" s="29" t="str">
        <f t="shared" si="19"/>
        <v/>
      </c>
      <c r="N67" s="29" t="str">
        <f t="shared" si="17"/>
        <v/>
      </c>
      <c r="O67" s="29"/>
      <c r="P67" s="217" t="str">
        <f>IF(A66=$D$8,XIRR(R$24:R66,C$24:C66),"")</f>
        <v/>
      </c>
      <c r="Q67" s="212" t="str">
        <f t="shared" si="14"/>
        <v/>
      </c>
      <c r="R67" s="29">
        <f t="shared" ca="1" si="6"/>
        <v>55877</v>
      </c>
      <c r="S67" s="22">
        <f t="shared" ca="1" si="7"/>
        <v>2025</v>
      </c>
      <c r="T67" s="22">
        <f t="shared" ca="1" si="8"/>
        <v>365</v>
      </c>
      <c r="U67" s="22">
        <f t="shared" ca="1" si="9"/>
        <v>12</v>
      </c>
      <c r="V67" s="23">
        <f t="shared" ca="1" si="10"/>
        <v>11</v>
      </c>
      <c r="W67" s="24">
        <f t="shared" ca="1" si="11"/>
        <v>20</v>
      </c>
    </row>
    <row r="68" spans="1:23" x14ac:dyDescent="0.35">
      <c r="A68" s="32">
        <f t="shared" si="12"/>
        <v>44</v>
      </c>
      <c r="B68" s="28">
        <f t="shared" ca="1" si="4"/>
        <v>45728</v>
      </c>
      <c r="C68" s="28">
        <f t="shared" ca="1" si="5"/>
        <v>45728</v>
      </c>
      <c r="D68" s="32">
        <f t="shared" ca="1" si="21"/>
        <v>28</v>
      </c>
      <c r="E68" s="29">
        <f t="shared" si="22"/>
        <v>3266666.5233333367</v>
      </c>
      <c r="F68" s="29">
        <f>IF(AND(A67="",A69=""),"",IF(A68="",ROUND(SUM($F$25:F67),2),IF(A68=$D$8,$E$24-ROUND(SUM($F$25:F67),2),ROUND($E$24/$D$8,2))))</f>
        <v>16666.669999999998</v>
      </c>
      <c r="G68" s="29">
        <f ca="1">IF(A67=$D$8,ROUND(SUM($G$25:G67),2),IF(A68&gt;$F$8,"",IF(T68&lt;&gt;T67,ROUND(SUM(V68*$F$9*E67/T68,W68*$F$9*E67/T67),2),ROUND(E67*$F$9*D68/T67,2))))</f>
        <v>35236.910000000003</v>
      </c>
      <c r="H68" s="29">
        <f ca="1">IF(A67=$D$8,SUM($H$25:H67),IF(A67&gt;$D$8,"",F68+G68))</f>
        <v>51903.58</v>
      </c>
      <c r="I68" s="212" t="str">
        <f t="shared" si="23"/>
        <v/>
      </c>
      <c r="J68" s="212" t="str">
        <f t="shared" si="24"/>
        <v/>
      </c>
      <c r="K68" s="212"/>
      <c r="L68" s="212" t="str">
        <f t="shared" si="25"/>
        <v/>
      </c>
      <c r="M68" s="29" t="str">
        <f t="shared" si="19"/>
        <v/>
      </c>
      <c r="N68" s="29" t="str">
        <f t="shared" si="17"/>
        <v/>
      </c>
      <c r="O68" s="29"/>
      <c r="P68" s="217" t="str">
        <f>IF(A67=$D$8,XIRR(R$24:R67,C$24:C67),"")</f>
        <v/>
      </c>
      <c r="Q68" s="212" t="str">
        <f t="shared" si="14"/>
        <v/>
      </c>
      <c r="R68" s="29">
        <f t="shared" ca="1" si="6"/>
        <v>51903.58</v>
      </c>
      <c r="S68" s="22">
        <f t="shared" ca="1" si="7"/>
        <v>2025</v>
      </c>
      <c r="T68" s="22">
        <f t="shared" ca="1" si="8"/>
        <v>365</v>
      </c>
      <c r="U68" s="22">
        <f t="shared" ca="1" si="9"/>
        <v>12</v>
      </c>
      <c r="V68" s="23">
        <f t="shared" ca="1" si="10"/>
        <v>11</v>
      </c>
      <c r="W68" s="24">
        <f t="shared" ca="1" si="11"/>
        <v>17</v>
      </c>
    </row>
    <row r="69" spans="1:23" x14ac:dyDescent="0.35">
      <c r="A69" s="32">
        <f t="shared" si="12"/>
        <v>45</v>
      </c>
      <c r="B69" s="28">
        <f t="shared" ca="1" si="4"/>
        <v>45759</v>
      </c>
      <c r="C69" s="28">
        <f t="shared" ca="1" si="5"/>
        <v>45759</v>
      </c>
      <c r="D69" s="32">
        <f t="shared" ca="1" si="21"/>
        <v>31</v>
      </c>
      <c r="E69" s="29">
        <f t="shared" si="22"/>
        <v>3249999.8533333368</v>
      </c>
      <c r="F69" s="29">
        <f>IF(AND(A68="",A70=""),"",IF(A69="",ROUND(SUM($F$25:F68),2),IF(A69=$D$8,$E$24-ROUND(SUM($F$25:F68),2),ROUND($E$24/$D$8,2))))</f>
        <v>16666.669999999998</v>
      </c>
      <c r="G69" s="29">
        <f ca="1">IF(A68=$D$8,ROUND(SUM($G$25:G68),2),IF(A69&gt;$F$8,"",IF(T69&lt;&gt;T68,ROUND(SUM(V69*$F$9*E68/T69,W69*$F$9*E68/T68),2),ROUND(E68*$F$9*D69/T68,2))))</f>
        <v>38814.26</v>
      </c>
      <c r="H69" s="29">
        <f ca="1">IF(A68=$D$8,SUM($H$25:H68),IF(A68&gt;$D$8,"",F69+G69))</f>
        <v>55480.93</v>
      </c>
      <c r="I69" s="212" t="str">
        <f t="shared" si="23"/>
        <v/>
      </c>
      <c r="J69" s="212" t="str">
        <f t="shared" si="24"/>
        <v/>
      </c>
      <c r="K69" s="212"/>
      <c r="L69" s="212" t="str">
        <f t="shared" si="25"/>
        <v/>
      </c>
      <c r="M69" s="29" t="str">
        <f t="shared" si="19"/>
        <v/>
      </c>
      <c r="N69" s="29" t="str">
        <f t="shared" si="17"/>
        <v/>
      </c>
      <c r="O69" s="29"/>
      <c r="P69" s="217" t="str">
        <f>IF(A68=$D$8,XIRR(R$24:R68,C$24:C68),"")</f>
        <v/>
      </c>
      <c r="Q69" s="212" t="str">
        <f t="shared" si="14"/>
        <v/>
      </c>
      <c r="R69" s="29">
        <f t="shared" ca="1" si="6"/>
        <v>55480.93</v>
      </c>
      <c r="S69" s="22">
        <f t="shared" ca="1" si="7"/>
        <v>2025</v>
      </c>
      <c r="T69" s="22">
        <f t="shared" ca="1" si="8"/>
        <v>365</v>
      </c>
      <c r="U69" s="22">
        <f t="shared" ca="1" si="9"/>
        <v>12</v>
      </c>
      <c r="V69" s="23">
        <f t="shared" ca="1" si="10"/>
        <v>11</v>
      </c>
      <c r="W69" s="24">
        <f t="shared" ca="1" si="11"/>
        <v>20</v>
      </c>
    </row>
    <row r="70" spans="1:23" x14ac:dyDescent="0.35">
      <c r="A70" s="32">
        <f t="shared" si="12"/>
        <v>46</v>
      </c>
      <c r="B70" s="28">
        <f t="shared" ca="1" si="4"/>
        <v>45789</v>
      </c>
      <c r="C70" s="28">
        <f t="shared" ca="1" si="5"/>
        <v>45789</v>
      </c>
      <c r="D70" s="32">
        <f t="shared" ca="1" si="21"/>
        <v>30</v>
      </c>
      <c r="E70" s="29">
        <f t="shared" si="22"/>
        <v>3233333.1833333368</v>
      </c>
      <c r="F70" s="29">
        <f>IF(AND(A69="",A71=""),"",IF(A70="",ROUND(SUM($F$25:F69),2),IF(A70=$D$8,$E$24-ROUND(SUM($F$25:F69),2),ROUND($E$24/$D$8,2))))</f>
        <v>16666.669999999998</v>
      </c>
      <c r="G70" s="29">
        <f ca="1">IF(A69=$D$8,ROUND(SUM($G$25:G69),2),IF(A70&gt;$F$8,"",IF(T70&lt;&gt;T69,ROUND(SUM(V70*$F$9*E69/T70,W70*$F$9*E69/T69),2),ROUND(E69*$F$9*D70/T69,2))))</f>
        <v>37370.550000000003</v>
      </c>
      <c r="H70" s="29">
        <f ca="1">IF(A69=$D$8,SUM($H$25:H69),IF(A69&gt;$D$8,"",F70+G70))</f>
        <v>54037.22</v>
      </c>
      <c r="I70" s="212" t="str">
        <f t="shared" si="23"/>
        <v/>
      </c>
      <c r="J70" s="212" t="str">
        <f t="shared" si="24"/>
        <v/>
      </c>
      <c r="K70" s="212"/>
      <c r="L70" s="212" t="str">
        <f t="shared" si="25"/>
        <v/>
      </c>
      <c r="M70" s="29" t="str">
        <f t="shared" si="19"/>
        <v/>
      </c>
      <c r="N70" s="29" t="str">
        <f t="shared" si="17"/>
        <v/>
      </c>
      <c r="O70" s="29"/>
      <c r="P70" s="217" t="str">
        <f>IF(A69=$D$8,XIRR(R$24:R69,C$24:C69),"")</f>
        <v/>
      </c>
      <c r="Q70" s="212" t="str">
        <f t="shared" si="14"/>
        <v/>
      </c>
      <c r="R70" s="29">
        <f t="shared" ca="1" si="6"/>
        <v>54037.22</v>
      </c>
      <c r="S70" s="22">
        <f t="shared" ca="1" si="7"/>
        <v>2025</v>
      </c>
      <c r="T70" s="22">
        <f t="shared" ca="1" si="8"/>
        <v>365</v>
      </c>
      <c r="U70" s="22">
        <f t="shared" ca="1" si="9"/>
        <v>12</v>
      </c>
      <c r="V70" s="23">
        <f t="shared" ca="1" si="10"/>
        <v>11</v>
      </c>
      <c r="W70" s="24">
        <f t="shared" ca="1" si="11"/>
        <v>19</v>
      </c>
    </row>
    <row r="71" spans="1:23" x14ac:dyDescent="0.35">
      <c r="A71" s="32">
        <f t="shared" si="12"/>
        <v>47</v>
      </c>
      <c r="B71" s="28">
        <f t="shared" ca="1" si="4"/>
        <v>45820</v>
      </c>
      <c r="C71" s="28">
        <f t="shared" ca="1" si="5"/>
        <v>45820</v>
      </c>
      <c r="D71" s="32">
        <f t="shared" ca="1" si="21"/>
        <v>31</v>
      </c>
      <c r="E71" s="29">
        <f t="shared" si="22"/>
        <v>3216666.5133333369</v>
      </c>
      <c r="F71" s="29">
        <f>IF(AND(A70="",A72=""),"",IF(A71="",ROUND(SUM($F$25:F70),2),IF(A71=$D$8,$E$24-ROUND(SUM($F$25:F70),2),ROUND($E$24/$D$8,2))))</f>
        <v>16666.669999999998</v>
      </c>
      <c r="G71" s="29">
        <f ca="1">IF(A70=$D$8,ROUND(SUM($G$25:G70),2),IF(A71&gt;$F$8,"",IF(T71&lt;&gt;T70,ROUND(SUM(V71*$F$9*E70/T71,W71*$F$9*E70/T70),2),ROUND(E70*$F$9*D71/T70,2))))</f>
        <v>38418.199999999997</v>
      </c>
      <c r="H71" s="29">
        <f ca="1">IF(A70=$D$8,SUM($H$25:H70),IF(A70&gt;$D$8,"",F71+G71))</f>
        <v>55084.869999999995</v>
      </c>
      <c r="I71" s="212" t="str">
        <f t="shared" si="23"/>
        <v/>
      </c>
      <c r="J71" s="212" t="str">
        <f t="shared" si="24"/>
        <v/>
      </c>
      <c r="K71" s="212"/>
      <c r="L71" s="212" t="str">
        <f t="shared" si="25"/>
        <v/>
      </c>
      <c r="M71" s="29" t="str">
        <f t="shared" si="19"/>
        <v/>
      </c>
      <c r="N71" s="29" t="str">
        <f t="shared" si="17"/>
        <v/>
      </c>
      <c r="O71" s="29"/>
      <c r="P71" s="217" t="str">
        <f>IF(A70=$D$8,XIRR(R$24:R70,C$24:C70),"")</f>
        <v/>
      </c>
      <c r="Q71" s="212" t="str">
        <f t="shared" si="14"/>
        <v/>
      </c>
      <c r="R71" s="29">
        <f t="shared" ca="1" si="6"/>
        <v>55084.869999999995</v>
      </c>
      <c r="S71" s="22">
        <f t="shared" ca="1" si="7"/>
        <v>2025</v>
      </c>
      <c r="T71" s="22">
        <f t="shared" ca="1" si="8"/>
        <v>365</v>
      </c>
      <c r="U71" s="22">
        <f t="shared" ca="1" si="9"/>
        <v>12</v>
      </c>
      <c r="V71" s="23">
        <f t="shared" ca="1" si="10"/>
        <v>11</v>
      </c>
      <c r="W71" s="24">
        <f t="shared" ca="1" si="11"/>
        <v>20</v>
      </c>
    </row>
    <row r="72" spans="1:23" x14ac:dyDescent="0.35">
      <c r="A72" s="32">
        <f t="shared" si="12"/>
        <v>48</v>
      </c>
      <c r="B72" s="28">
        <f t="shared" ca="1" si="4"/>
        <v>45850</v>
      </c>
      <c r="C72" s="28">
        <f t="shared" ca="1" si="5"/>
        <v>45850</v>
      </c>
      <c r="D72" s="32">
        <f t="shared" ca="1" si="21"/>
        <v>30</v>
      </c>
      <c r="E72" s="29">
        <f t="shared" si="22"/>
        <v>3199999.843333337</v>
      </c>
      <c r="F72" s="29">
        <f>IF(AND(A71="",A73=""),"",IF(A72="",ROUND(SUM($F$25:F71),2),IF(A72=$D$8,$E$24-ROUND(SUM($F$25:F71),2),ROUND($E$24/$D$8,2))))</f>
        <v>16666.669999999998</v>
      </c>
      <c r="G72" s="29">
        <f ca="1">IF(A71=$D$8,ROUND(SUM($G$25:G71),2),IF(A72&gt;$F$8,"",IF(T72&lt;&gt;T71,ROUND(SUM(V72*$F$9*E71/T72,W72*$F$9*E71/T71),2),ROUND(E71*$F$9*D72/T71,2))))</f>
        <v>36987.26</v>
      </c>
      <c r="H72" s="29">
        <f ca="1">IF(A71=$D$8,SUM($H$25:H71),IF(A71&gt;$D$8,"",F72+G72))</f>
        <v>53653.93</v>
      </c>
      <c r="I72" s="212" t="str">
        <f t="shared" si="23"/>
        <v/>
      </c>
      <c r="J72" s="212" t="str">
        <f t="shared" si="24"/>
        <v/>
      </c>
      <c r="K72" s="212"/>
      <c r="L72" s="212" t="str">
        <f t="shared" si="25"/>
        <v/>
      </c>
      <c r="M72" s="29" t="str">
        <f t="shared" si="19"/>
        <v/>
      </c>
      <c r="N72" s="29" t="str">
        <f t="shared" si="17"/>
        <v/>
      </c>
      <c r="O72" s="29"/>
      <c r="P72" s="217" t="str">
        <f>IF(A71=$D$8,XIRR(R$24:R71,C$24:C71),"")</f>
        <v/>
      </c>
      <c r="Q72" s="212" t="str">
        <f t="shared" si="14"/>
        <v/>
      </c>
      <c r="R72" s="29">
        <f t="shared" ca="1" si="6"/>
        <v>53653.93</v>
      </c>
      <c r="S72" s="22">
        <f t="shared" ca="1" si="7"/>
        <v>2025</v>
      </c>
      <c r="T72" s="22">
        <f t="shared" ca="1" si="8"/>
        <v>365</v>
      </c>
      <c r="U72" s="22">
        <f t="shared" ca="1" si="9"/>
        <v>12</v>
      </c>
      <c r="V72" s="23">
        <f t="shared" ca="1" si="10"/>
        <v>11</v>
      </c>
      <c r="W72" s="24">
        <f t="shared" ca="1" si="11"/>
        <v>19</v>
      </c>
    </row>
    <row r="73" spans="1:23" x14ac:dyDescent="0.35">
      <c r="A73" s="32">
        <f t="shared" si="12"/>
        <v>49</v>
      </c>
      <c r="B73" s="28">
        <f t="shared" ca="1" si="4"/>
        <v>45881</v>
      </c>
      <c r="C73" s="28">
        <f t="shared" ca="1" si="5"/>
        <v>45881</v>
      </c>
      <c r="D73" s="32">
        <f t="shared" ca="1" si="21"/>
        <v>31</v>
      </c>
      <c r="E73" s="29">
        <f t="shared" si="22"/>
        <v>3183333.1733333371</v>
      </c>
      <c r="F73" s="29">
        <f>IF(AND(A72="",A74=""),"",IF(A73="",ROUND(SUM($F$25:F72),2),IF(A73=$D$8,$E$24-ROUND(SUM($F$25:F72),2),ROUND($E$24/$D$8,2))))</f>
        <v>16666.669999999998</v>
      </c>
      <c r="G73" s="29">
        <f ca="1">IF(A72=$D$8,ROUND(SUM($G$25:G72),2),IF(A73&gt;$F$8,"",IF(T73&lt;&gt;T72,ROUND(SUM(V73*$F$9*E72/T73,W73*$F$9*E72/T72),2),ROUND(E72*$F$9*D73/T72,2))))</f>
        <v>38022.14</v>
      </c>
      <c r="H73" s="29">
        <f ca="1">IF(A72=$D$8,SUM($H$25:H72),IF(A72&gt;$D$8,"",F73+G73))</f>
        <v>54688.81</v>
      </c>
      <c r="I73" s="212" t="str">
        <f t="shared" si="23"/>
        <v/>
      </c>
      <c r="J73" s="212" t="str">
        <f t="shared" si="24"/>
        <v/>
      </c>
      <c r="K73" s="212">
        <f>IF($F$8&gt;48,($O$8+$O$10),IF($A$72=$F$8,$K$37+$K$24+$K$49+$K$61,""))</f>
        <v>17100</v>
      </c>
      <c r="L73" s="212" t="str">
        <f t="shared" si="25"/>
        <v/>
      </c>
      <c r="M73" s="29" t="str">
        <f t="shared" si="19"/>
        <v/>
      </c>
      <c r="N73" s="29" t="str">
        <f t="shared" si="17"/>
        <v/>
      </c>
      <c r="O73" s="29"/>
      <c r="P73" s="217" t="str">
        <f>IF(A72=$D$8,XIRR(R$24:R72,C$24:C72),"")</f>
        <v/>
      </c>
      <c r="Q73" s="212" t="str">
        <f t="shared" si="14"/>
        <v/>
      </c>
      <c r="R73" s="29">
        <f t="shared" ca="1" si="6"/>
        <v>71788.81</v>
      </c>
      <c r="S73" s="22">
        <f t="shared" ca="1" si="7"/>
        <v>2025</v>
      </c>
      <c r="T73" s="22">
        <f t="shared" ca="1" si="8"/>
        <v>365</v>
      </c>
      <c r="U73" s="22">
        <f t="shared" ca="1" si="9"/>
        <v>12</v>
      </c>
      <c r="V73" s="23">
        <f t="shared" ca="1" si="10"/>
        <v>11</v>
      </c>
      <c r="W73" s="24">
        <f t="shared" ca="1" si="11"/>
        <v>20</v>
      </c>
    </row>
    <row r="74" spans="1:23" x14ac:dyDescent="0.35">
      <c r="A74" s="32">
        <f t="shared" si="12"/>
        <v>50</v>
      </c>
      <c r="B74" s="28">
        <f t="shared" ca="1" si="4"/>
        <v>45912</v>
      </c>
      <c r="C74" s="28">
        <f t="shared" ca="1" si="5"/>
        <v>45912</v>
      </c>
      <c r="D74" s="32">
        <f t="shared" ca="1" si="21"/>
        <v>31</v>
      </c>
      <c r="E74" s="29">
        <f t="shared" si="22"/>
        <v>3166666.5033333371</v>
      </c>
      <c r="F74" s="29">
        <f>IF(AND(A73="",A75=""),"",IF(A74="",ROUND(SUM($F$25:F73),2),IF(A74=$D$8,$E$24-ROUND(SUM($F$25:F73),2),ROUND($E$24/$D$8,2))))</f>
        <v>16666.669999999998</v>
      </c>
      <c r="G74" s="29">
        <f ca="1">IF(A73=$D$8,ROUND(SUM($G$25:G73),2),IF(A74&gt;$F$8,"",IF(T74&lt;&gt;T73,ROUND(SUM(V74*$F$9*E73/T74,W74*$F$9*E73/T73),2),ROUND(E73*$F$9*D74/T73,2))))</f>
        <v>37824.1</v>
      </c>
      <c r="H74" s="29">
        <f ca="1">IF(A73=$D$8,SUM($H$25:H73),IF(A73&gt;$D$8,"",F74+G74))</f>
        <v>54490.77</v>
      </c>
      <c r="I74" s="212" t="str">
        <f t="shared" si="23"/>
        <v/>
      </c>
      <c r="J74" s="212" t="str">
        <f t="shared" si="24"/>
        <v/>
      </c>
      <c r="K74" s="212"/>
      <c r="L74" s="212" t="str">
        <f t="shared" si="25"/>
        <v/>
      </c>
      <c r="M74" s="29" t="str">
        <f t="shared" si="19"/>
        <v/>
      </c>
      <c r="N74" s="29" t="str">
        <f t="shared" si="17"/>
        <v/>
      </c>
      <c r="O74" s="29"/>
      <c r="P74" s="217" t="str">
        <f>IF(A73=$D$8,XIRR(R$24:R73,C$24:C73),"")</f>
        <v/>
      </c>
      <c r="Q74" s="212" t="str">
        <f t="shared" si="14"/>
        <v/>
      </c>
      <c r="R74" s="29">
        <f t="shared" ca="1" si="6"/>
        <v>54490.77</v>
      </c>
      <c r="S74" s="22">
        <f t="shared" ca="1" si="7"/>
        <v>2025</v>
      </c>
      <c r="T74" s="22">
        <f t="shared" ca="1" si="8"/>
        <v>365</v>
      </c>
      <c r="U74" s="22">
        <f t="shared" ca="1" si="9"/>
        <v>12</v>
      </c>
      <c r="V74" s="23">
        <f t="shared" ca="1" si="10"/>
        <v>11</v>
      </c>
      <c r="W74" s="24">
        <f t="shared" ca="1" si="11"/>
        <v>20</v>
      </c>
    </row>
    <row r="75" spans="1:23" x14ac:dyDescent="0.35">
      <c r="A75" s="32">
        <f t="shared" si="12"/>
        <v>51</v>
      </c>
      <c r="B75" s="28">
        <f t="shared" ca="1" si="4"/>
        <v>45942</v>
      </c>
      <c r="C75" s="28">
        <f t="shared" ca="1" si="5"/>
        <v>45942</v>
      </c>
      <c r="D75" s="32">
        <f t="shared" ca="1" si="21"/>
        <v>30</v>
      </c>
      <c r="E75" s="29">
        <f t="shared" si="22"/>
        <v>3149999.8333333372</v>
      </c>
      <c r="F75" s="29">
        <f>IF(AND(A74="",A76=""),"",IF(A75="",ROUND(SUM($F$25:F74),2),IF(A75=$D$8,$E$24-ROUND(SUM($F$25:F74),2),ROUND($E$24/$D$8,2))))</f>
        <v>16666.669999999998</v>
      </c>
      <c r="G75" s="29">
        <f ca="1">IF(A74=$D$8,ROUND(SUM($G$25:G74),2),IF(A75&gt;$F$8,"",IF(T75&lt;&gt;T74,ROUND(SUM(V75*$F$9*E74/T75,W75*$F$9*E74/T74),2),ROUND(E74*$F$9*D75/T74,2))))</f>
        <v>36412.33</v>
      </c>
      <c r="H75" s="29">
        <f ca="1">IF(A74=$D$8,SUM($H$25:H74),IF(A74&gt;$D$8,"",F75+G75))</f>
        <v>53079</v>
      </c>
      <c r="I75" s="212" t="str">
        <f t="shared" si="23"/>
        <v/>
      </c>
      <c r="J75" s="212" t="str">
        <f t="shared" si="24"/>
        <v/>
      </c>
      <c r="K75" s="212"/>
      <c r="L75" s="212" t="str">
        <f t="shared" si="25"/>
        <v/>
      </c>
      <c r="M75" s="29" t="str">
        <f t="shared" si="19"/>
        <v/>
      </c>
      <c r="N75" s="29" t="str">
        <f t="shared" si="17"/>
        <v/>
      </c>
      <c r="O75" s="29"/>
      <c r="P75" s="217" t="str">
        <f>IF(A74=$D$8,XIRR(R$24:R74,C$24:C74),"")</f>
        <v/>
      </c>
      <c r="Q75" s="212" t="str">
        <f t="shared" si="14"/>
        <v/>
      </c>
      <c r="R75" s="29">
        <f t="shared" ca="1" si="6"/>
        <v>53079</v>
      </c>
      <c r="S75" s="22">
        <f t="shared" ca="1" si="7"/>
        <v>2025</v>
      </c>
      <c r="T75" s="22">
        <f t="shared" ca="1" si="8"/>
        <v>365</v>
      </c>
      <c r="U75" s="22">
        <f t="shared" ca="1" si="9"/>
        <v>12</v>
      </c>
      <c r="V75" s="23">
        <f t="shared" ca="1" si="10"/>
        <v>11</v>
      </c>
      <c r="W75" s="24">
        <f t="shared" ca="1" si="11"/>
        <v>19</v>
      </c>
    </row>
    <row r="76" spans="1:23" x14ac:dyDescent="0.35">
      <c r="A76" s="32">
        <f t="shared" si="12"/>
        <v>52</v>
      </c>
      <c r="B76" s="28">
        <f t="shared" ca="1" si="4"/>
        <v>45973</v>
      </c>
      <c r="C76" s="28">
        <f t="shared" ca="1" si="5"/>
        <v>45973</v>
      </c>
      <c r="D76" s="32">
        <f t="shared" ca="1" si="21"/>
        <v>31</v>
      </c>
      <c r="E76" s="29">
        <f t="shared" si="22"/>
        <v>3133333.1633333373</v>
      </c>
      <c r="F76" s="29">
        <f>IF(AND(A75="",A77=""),"",IF(A76="",ROUND(SUM($F$25:F75),2),IF(A76=$D$8,$E$24-ROUND(SUM($F$25:F75),2),ROUND($E$24/$D$8,2))))</f>
        <v>16666.669999999998</v>
      </c>
      <c r="G76" s="29">
        <f ca="1">IF(A75=$D$8,ROUND(SUM($G$25:G75),2),IF(A76&gt;$F$8,"",IF(T76&lt;&gt;T75,ROUND(SUM(V76*$F$9*E75/T76,W76*$F$9*E75/T75),2),ROUND(E75*$F$9*D76/T75,2))))</f>
        <v>37428.04</v>
      </c>
      <c r="H76" s="29">
        <f ca="1">IF(A75=$D$8,SUM($H$25:H75),IF(A75&gt;$D$8,"",F76+G76))</f>
        <v>54094.71</v>
      </c>
      <c r="I76" s="212" t="str">
        <f t="shared" si="23"/>
        <v/>
      </c>
      <c r="J76" s="212" t="str">
        <f t="shared" si="24"/>
        <v/>
      </c>
      <c r="K76" s="212"/>
      <c r="L76" s="212" t="str">
        <f t="shared" si="25"/>
        <v/>
      </c>
      <c r="M76" s="29" t="str">
        <f t="shared" si="19"/>
        <v/>
      </c>
      <c r="N76" s="29" t="str">
        <f t="shared" si="17"/>
        <v/>
      </c>
      <c r="O76" s="29"/>
      <c r="P76" s="217" t="str">
        <f>IF(A75=$D$8,XIRR(R$24:R75,C$24:C75),"")</f>
        <v/>
      </c>
      <c r="Q76" s="212" t="str">
        <f t="shared" si="14"/>
        <v/>
      </c>
      <c r="R76" s="29">
        <f t="shared" ca="1" si="6"/>
        <v>54094.71</v>
      </c>
      <c r="S76" s="22">
        <f t="shared" ca="1" si="7"/>
        <v>2025</v>
      </c>
      <c r="T76" s="22">
        <f t="shared" ca="1" si="8"/>
        <v>365</v>
      </c>
      <c r="U76" s="22">
        <f t="shared" ca="1" si="9"/>
        <v>12</v>
      </c>
      <c r="V76" s="23">
        <f t="shared" ca="1" si="10"/>
        <v>11</v>
      </c>
      <c r="W76" s="24">
        <f t="shared" ca="1" si="11"/>
        <v>20</v>
      </c>
    </row>
    <row r="77" spans="1:23" x14ac:dyDescent="0.35">
      <c r="A77" s="32">
        <f t="shared" si="12"/>
        <v>53</v>
      </c>
      <c r="B77" s="28">
        <f t="shared" ca="1" si="4"/>
        <v>46003</v>
      </c>
      <c r="C77" s="28">
        <f t="shared" ca="1" si="5"/>
        <v>46003</v>
      </c>
      <c r="D77" s="32">
        <f t="shared" ca="1" si="21"/>
        <v>30</v>
      </c>
      <c r="E77" s="29">
        <f t="shared" si="22"/>
        <v>3116666.4933333374</v>
      </c>
      <c r="F77" s="29">
        <f>IF(AND(A76="",A78=""),"",IF(A77="",ROUND(SUM($F$25:F76),2),IF(A77=$D$8,$E$24-ROUND(SUM($F$25:F76),2),ROUND($E$24/$D$8,2))))</f>
        <v>16666.669999999998</v>
      </c>
      <c r="G77" s="29">
        <f ca="1">IF(A76=$D$8,ROUND(SUM($G$25:G76),2),IF(A77&gt;$F$8,"",IF(T77&lt;&gt;T76,ROUND(SUM(V77*$F$9*E76/T77,W77*$F$9*E76/T76),2),ROUND(E76*$F$9*D77/T76,2))))</f>
        <v>36029.040000000001</v>
      </c>
      <c r="H77" s="29">
        <f ca="1">IF(A76=$D$8,SUM($H$25:H76),IF(A76&gt;$D$8,"",F77+G77))</f>
        <v>52695.71</v>
      </c>
      <c r="I77" s="212" t="str">
        <f t="shared" si="23"/>
        <v/>
      </c>
      <c r="J77" s="212" t="str">
        <f t="shared" si="24"/>
        <v/>
      </c>
      <c r="K77" s="212"/>
      <c r="L77" s="212" t="str">
        <f t="shared" si="25"/>
        <v/>
      </c>
      <c r="M77" s="29" t="str">
        <f t="shared" si="19"/>
        <v/>
      </c>
      <c r="N77" s="29" t="str">
        <f t="shared" si="17"/>
        <v/>
      </c>
      <c r="O77" s="29"/>
      <c r="P77" s="217" t="str">
        <f>IF(A76=$D$8,XIRR(R$24:R76,C$24:C76),"")</f>
        <v/>
      </c>
      <c r="Q77" s="212" t="str">
        <f t="shared" si="14"/>
        <v/>
      </c>
      <c r="R77" s="29">
        <f t="shared" ca="1" si="6"/>
        <v>52695.71</v>
      </c>
      <c r="S77" s="22">
        <f t="shared" ca="1" si="7"/>
        <v>2025</v>
      </c>
      <c r="T77" s="22">
        <f t="shared" ca="1" si="8"/>
        <v>365</v>
      </c>
      <c r="U77" s="22">
        <f t="shared" ca="1" si="9"/>
        <v>12</v>
      </c>
      <c r="V77" s="23">
        <f t="shared" ca="1" si="10"/>
        <v>11</v>
      </c>
      <c r="W77" s="24">
        <f t="shared" ca="1" si="11"/>
        <v>19</v>
      </c>
    </row>
    <row r="78" spans="1:23" x14ac:dyDescent="0.35">
      <c r="A78" s="32">
        <f t="shared" si="12"/>
        <v>54</v>
      </c>
      <c r="B78" s="28">
        <f t="shared" ca="1" si="4"/>
        <v>46034</v>
      </c>
      <c r="C78" s="28">
        <f t="shared" ca="1" si="5"/>
        <v>46034</v>
      </c>
      <c r="D78" s="32">
        <f t="shared" ca="1" si="21"/>
        <v>31</v>
      </c>
      <c r="E78" s="29">
        <f t="shared" si="22"/>
        <v>3099999.8233333374</v>
      </c>
      <c r="F78" s="29">
        <f>IF(AND(A77="",A79=""),"",IF(A78="",ROUND(SUM($F$25:F77),2),IF(A78=$D$8,$E$24-ROUND(SUM($F$25:F77),2),ROUND($E$24/$D$8,2))))</f>
        <v>16666.669999999998</v>
      </c>
      <c r="G78" s="29">
        <f ca="1">IF(A77=$D$8,ROUND(SUM($G$25:G77),2),IF(A78&gt;$F$8,"",IF(T78&lt;&gt;T77,ROUND(SUM(V78*$F$9*E77/T78,W78*$F$9*E77/T77),2),ROUND(E77*$F$9*D78/T77,2))))</f>
        <v>37031.980000000003</v>
      </c>
      <c r="H78" s="29">
        <f ca="1">IF(A77=$D$8,SUM($H$25:H77),IF(A77&gt;$D$8,"",F78+G78))</f>
        <v>53698.65</v>
      </c>
      <c r="I78" s="212" t="str">
        <f t="shared" si="23"/>
        <v/>
      </c>
      <c r="J78" s="212" t="str">
        <f t="shared" si="24"/>
        <v/>
      </c>
      <c r="K78" s="212"/>
      <c r="L78" s="212" t="str">
        <f t="shared" si="25"/>
        <v/>
      </c>
      <c r="M78" s="29" t="str">
        <f t="shared" si="19"/>
        <v/>
      </c>
      <c r="N78" s="29" t="str">
        <f t="shared" si="17"/>
        <v/>
      </c>
      <c r="O78" s="29"/>
      <c r="P78" s="217" t="str">
        <f>IF(A77=$D$8,XIRR(R$24:R77,C$24:C77),"")</f>
        <v/>
      </c>
      <c r="Q78" s="212" t="str">
        <f t="shared" si="14"/>
        <v/>
      </c>
      <c r="R78" s="29">
        <f t="shared" ca="1" si="6"/>
        <v>53698.65</v>
      </c>
      <c r="S78" s="22">
        <f t="shared" ca="1" si="7"/>
        <v>2026</v>
      </c>
      <c r="T78" s="22">
        <f t="shared" ca="1" si="8"/>
        <v>365</v>
      </c>
      <c r="U78" s="22">
        <f t="shared" ca="1" si="9"/>
        <v>12</v>
      </c>
      <c r="V78" s="23">
        <f t="shared" ca="1" si="10"/>
        <v>11</v>
      </c>
      <c r="W78" s="24">
        <f t="shared" ca="1" si="11"/>
        <v>20</v>
      </c>
    </row>
    <row r="79" spans="1:23" x14ac:dyDescent="0.35">
      <c r="A79" s="32">
        <f t="shared" si="12"/>
        <v>55</v>
      </c>
      <c r="B79" s="28">
        <f t="shared" ca="1" si="4"/>
        <v>46065</v>
      </c>
      <c r="C79" s="28">
        <f t="shared" ca="1" si="5"/>
        <v>46065</v>
      </c>
      <c r="D79" s="32">
        <f t="shared" ca="1" si="21"/>
        <v>31</v>
      </c>
      <c r="E79" s="29">
        <f t="shared" si="22"/>
        <v>3083333.1533333375</v>
      </c>
      <c r="F79" s="29">
        <f>IF(AND(A78="",A80=""),"",IF(A79="",ROUND(SUM($F$25:F78),2),IF(A79=$D$8,$E$24-ROUND(SUM($F$25:F78),2),ROUND($E$24/$D$8,2))))</f>
        <v>16666.669999999998</v>
      </c>
      <c r="G79" s="29">
        <f ca="1">IF(A78=$D$8,ROUND(SUM($G$25:G78),2),IF(A79&gt;$F$8,"",IF(T79&lt;&gt;T78,ROUND(SUM(V79*$F$9*E78/T79,W79*$F$9*E78/T78),2),ROUND(E78*$F$9*D79/T78,2))))</f>
        <v>36833.94</v>
      </c>
      <c r="H79" s="29">
        <f ca="1">IF(A78=$D$8,SUM($H$25:H78),IF(A78&gt;$D$8,"",F79+G79))</f>
        <v>53500.61</v>
      </c>
      <c r="I79" s="212" t="str">
        <f t="shared" si="23"/>
        <v/>
      </c>
      <c r="J79" s="212" t="str">
        <f t="shared" si="24"/>
        <v/>
      </c>
      <c r="K79" s="212"/>
      <c r="L79" s="212" t="str">
        <f t="shared" si="25"/>
        <v/>
      </c>
      <c r="M79" s="29" t="str">
        <f t="shared" si="19"/>
        <v/>
      </c>
      <c r="N79" s="29" t="str">
        <f t="shared" si="17"/>
        <v/>
      </c>
      <c r="O79" s="29"/>
      <c r="P79" s="217" t="str">
        <f>IF(A78=$D$8,XIRR(R$24:R78,C$24:C78),"")</f>
        <v/>
      </c>
      <c r="Q79" s="212" t="str">
        <f t="shared" si="14"/>
        <v/>
      </c>
      <c r="R79" s="29">
        <f t="shared" ca="1" si="6"/>
        <v>53500.61</v>
      </c>
      <c r="S79" s="22">
        <f t="shared" ca="1" si="7"/>
        <v>2026</v>
      </c>
      <c r="T79" s="22">
        <f t="shared" ca="1" si="8"/>
        <v>365</v>
      </c>
      <c r="U79" s="22">
        <f t="shared" ca="1" si="9"/>
        <v>12</v>
      </c>
      <c r="V79" s="23">
        <f t="shared" ca="1" si="10"/>
        <v>11</v>
      </c>
      <c r="W79" s="24">
        <f t="shared" ca="1" si="11"/>
        <v>20</v>
      </c>
    </row>
    <row r="80" spans="1:23" x14ac:dyDescent="0.35">
      <c r="A80" s="32">
        <f t="shared" si="12"/>
        <v>56</v>
      </c>
      <c r="B80" s="28">
        <f t="shared" ca="1" si="4"/>
        <v>46093</v>
      </c>
      <c r="C80" s="28">
        <f t="shared" ca="1" si="5"/>
        <v>46093</v>
      </c>
      <c r="D80" s="32">
        <f t="shared" ca="1" si="21"/>
        <v>28</v>
      </c>
      <c r="E80" s="29">
        <f t="shared" si="22"/>
        <v>3066666.4833333376</v>
      </c>
      <c r="F80" s="29">
        <f>IF(AND(A79="",A81=""),"",IF(A80="",ROUND(SUM($F$25:F79),2),IF(A80=$D$8,$E$24-ROUND(SUM($F$25:F79),2),ROUND($E$24/$D$8,2))))</f>
        <v>16666.669999999998</v>
      </c>
      <c r="G80" s="29">
        <f ca="1">IF(A79=$D$8,ROUND(SUM($G$25:G79),2),IF(A80&gt;$F$8,"",IF(T80&lt;&gt;T79,ROUND(SUM(V80*$F$9*E79/T80,W80*$F$9*E79/T79),2),ROUND(E79*$F$9*D80/T79,2))))</f>
        <v>33090.5</v>
      </c>
      <c r="H80" s="29">
        <f ca="1">IF(A79=$D$8,SUM($H$25:H79),IF(A79&gt;$D$8,"",F80+G80))</f>
        <v>49757.17</v>
      </c>
      <c r="I80" s="212" t="str">
        <f t="shared" si="23"/>
        <v/>
      </c>
      <c r="J80" s="212" t="str">
        <f t="shared" si="24"/>
        <v/>
      </c>
      <c r="K80" s="212"/>
      <c r="L80" s="212" t="str">
        <f t="shared" si="25"/>
        <v/>
      </c>
      <c r="M80" s="29" t="str">
        <f t="shared" si="19"/>
        <v/>
      </c>
      <c r="N80" s="29" t="str">
        <f t="shared" si="17"/>
        <v/>
      </c>
      <c r="O80" s="29"/>
      <c r="P80" s="217" t="str">
        <f>IF(A79=$D$8,XIRR(R$24:R79,C$24:C79),"")</f>
        <v/>
      </c>
      <c r="Q80" s="212" t="str">
        <f t="shared" si="14"/>
        <v/>
      </c>
      <c r="R80" s="29">
        <f t="shared" ca="1" si="6"/>
        <v>49757.17</v>
      </c>
      <c r="S80" s="22">
        <f t="shared" ca="1" si="7"/>
        <v>2026</v>
      </c>
      <c r="T80" s="22">
        <f t="shared" ca="1" si="8"/>
        <v>365</v>
      </c>
      <c r="U80" s="22">
        <f t="shared" ca="1" si="9"/>
        <v>12</v>
      </c>
      <c r="V80" s="23">
        <f t="shared" ca="1" si="10"/>
        <v>11</v>
      </c>
      <c r="W80" s="24">
        <f t="shared" ca="1" si="11"/>
        <v>17</v>
      </c>
    </row>
    <row r="81" spans="1:23" x14ac:dyDescent="0.35">
      <c r="A81" s="32">
        <f t="shared" si="12"/>
        <v>57</v>
      </c>
      <c r="B81" s="28">
        <f t="shared" ca="1" si="4"/>
        <v>46124</v>
      </c>
      <c r="C81" s="28">
        <f t="shared" ca="1" si="5"/>
        <v>46124</v>
      </c>
      <c r="D81" s="32">
        <f t="shared" ca="1" si="21"/>
        <v>31</v>
      </c>
      <c r="E81" s="29">
        <f t="shared" si="22"/>
        <v>3049999.8133333377</v>
      </c>
      <c r="F81" s="29">
        <f>IF(AND(A80="",A82=""),"",IF(A81="",ROUND(SUM($F$25:F80),2),IF(A81=$D$8,$E$24-ROUND(SUM($F$25:F80),2),ROUND($E$24/$D$8,2))))</f>
        <v>16666.669999999998</v>
      </c>
      <c r="G81" s="29">
        <f ca="1">IF(A80=$D$8,ROUND(SUM($G$25:G80),2),IF(A81&gt;$F$8,"",IF(T81&lt;&gt;T80,ROUND(SUM(V81*$F$9*E80/T81,W81*$F$9*E80/T80),2),ROUND(E80*$F$9*D81/T80,2))))</f>
        <v>36437.879999999997</v>
      </c>
      <c r="H81" s="29">
        <f ca="1">IF(A80=$D$8,SUM($H$25:H80),IF(A80&gt;$D$8,"",F81+G81))</f>
        <v>53104.549999999996</v>
      </c>
      <c r="I81" s="212" t="str">
        <f t="shared" si="23"/>
        <v/>
      </c>
      <c r="J81" s="212" t="str">
        <f t="shared" si="24"/>
        <v/>
      </c>
      <c r="K81" s="212"/>
      <c r="L81" s="212" t="str">
        <f t="shared" si="25"/>
        <v/>
      </c>
      <c r="M81" s="29" t="str">
        <f t="shared" si="19"/>
        <v/>
      </c>
      <c r="N81" s="29" t="str">
        <f t="shared" si="17"/>
        <v/>
      </c>
      <c r="O81" s="29"/>
      <c r="P81" s="217" t="str">
        <f>IF(A80=$D$8,XIRR(R$24:R80,C$24:C80),"")</f>
        <v/>
      </c>
      <c r="Q81" s="212" t="str">
        <f t="shared" si="14"/>
        <v/>
      </c>
      <c r="R81" s="29">
        <f t="shared" ca="1" si="6"/>
        <v>53104.549999999996</v>
      </c>
      <c r="S81" s="22">
        <f t="shared" ca="1" si="7"/>
        <v>2026</v>
      </c>
      <c r="T81" s="22">
        <f t="shared" ca="1" si="8"/>
        <v>365</v>
      </c>
      <c r="U81" s="22">
        <f t="shared" ca="1" si="9"/>
        <v>12</v>
      </c>
      <c r="V81" s="23">
        <f t="shared" ca="1" si="10"/>
        <v>11</v>
      </c>
      <c r="W81" s="24">
        <f t="shared" ca="1" si="11"/>
        <v>20</v>
      </c>
    </row>
    <row r="82" spans="1:23" x14ac:dyDescent="0.35">
      <c r="A82" s="32">
        <f t="shared" si="12"/>
        <v>58</v>
      </c>
      <c r="B82" s="28">
        <f t="shared" ca="1" si="4"/>
        <v>46154</v>
      </c>
      <c r="C82" s="28">
        <f t="shared" ca="1" si="5"/>
        <v>46154</v>
      </c>
      <c r="D82" s="32">
        <f t="shared" ca="1" si="21"/>
        <v>30</v>
      </c>
      <c r="E82" s="29">
        <f t="shared" si="22"/>
        <v>3033333.1433333377</v>
      </c>
      <c r="F82" s="29">
        <f>IF(AND(A81="",A83=""),"",IF(A82="",ROUND(SUM($F$25:F81),2),IF(A82=$D$8,$E$24-ROUND(SUM($F$25:F81),2),ROUND($E$24/$D$8,2))))</f>
        <v>16666.669999999998</v>
      </c>
      <c r="G82" s="29">
        <f ca="1">IF(A81=$D$8,ROUND(SUM($G$25:G81),2),IF(A82&gt;$F$8,"",IF(T82&lt;&gt;T81,ROUND(SUM(V82*$F$9*E81/T82,W82*$F$9*E81/T81),2),ROUND(E81*$F$9*D82/T81,2))))</f>
        <v>35070.82</v>
      </c>
      <c r="H82" s="29">
        <f ca="1">IF(A81=$D$8,SUM($H$25:H81),IF(A81&gt;$D$8,"",F82+G82))</f>
        <v>51737.49</v>
      </c>
      <c r="I82" s="212" t="str">
        <f t="shared" si="23"/>
        <v/>
      </c>
      <c r="J82" s="212" t="str">
        <f t="shared" si="24"/>
        <v/>
      </c>
      <c r="K82" s="212"/>
      <c r="L82" s="212" t="str">
        <f t="shared" si="25"/>
        <v/>
      </c>
      <c r="M82" s="29" t="str">
        <f t="shared" si="19"/>
        <v/>
      </c>
      <c r="N82" s="29" t="str">
        <f t="shared" si="17"/>
        <v/>
      </c>
      <c r="O82" s="29"/>
      <c r="P82" s="217" t="str">
        <f>IF(A81=$D$8,XIRR(R$24:R81,C$24:C81),"")</f>
        <v/>
      </c>
      <c r="Q82" s="212" t="str">
        <f t="shared" si="14"/>
        <v/>
      </c>
      <c r="R82" s="29">
        <f t="shared" ca="1" si="6"/>
        <v>51737.49</v>
      </c>
      <c r="S82" s="22">
        <f t="shared" ca="1" si="7"/>
        <v>2026</v>
      </c>
      <c r="T82" s="22">
        <f t="shared" ca="1" si="8"/>
        <v>365</v>
      </c>
      <c r="U82" s="22">
        <f t="shared" ca="1" si="9"/>
        <v>12</v>
      </c>
      <c r="V82" s="23">
        <f t="shared" ca="1" si="10"/>
        <v>11</v>
      </c>
      <c r="W82" s="24">
        <f t="shared" ca="1" si="11"/>
        <v>19</v>
      </c>
    </row>
    <row r="83" spans="1:23" ht="17.25" customHeight="1" x14ac:dyDescent="0.35">
      <c r="A83" s="32">
        <f t="shared" si="12"/>
        <v>59</v>
      </c>
      <c r="B83" s="28">
        <f t="shared" ca="1" si="4"/>
        <v>46185</v>
      </c>
      <c r="C83" s="28">
        <f t="shared" ca="1" si="5"/>
        <v>46185</v>
      </c>
      <c r="D83" s="32">
        <f t="shared" ca="1" si="21"/>
        <v>31</v>
      </c>
      <c r="E83" s="29">
        <f t="shared" si="22"/>
        <v>3016666.4733333378</v>
      </c>
      <c r="F83" s="29">
        <f>IF(AND(A82="",A84=""),"",IF(A83="",ROUND(SUM($F$25:F82),2),IF(A83=$D$8,$E$24-ROUND(SUM($F$25:F82),2),ROUND($E$24/$D$8,2))))</f>
        <v>16666.669999999998</v>
      </c>
      <c r="G83" s="29">
        <f ca="1">IF(A82=$D$8,ROUND(SUM($G$25:G82),2),IF(A83&gt;$F$8,"",IF(T83&lt;&gt;T82,ROUND(SUM(V83*$F$9*E82/T83,W83*$F$9*E82/T82),2),ROUND(E82*$F$9*D83/T82,2))))</f>
        <v>36041.82</v>
      </c>
      <c r="H83" s="29">
        <f ca="1">IF(A82=$D$8,SUM($H$25:H82),IF(A82&gt;$D$8,"",F83+G83))</f>
        <v>52708.49</v>
      </c>
      <c r="I83" s="212" t="str">
        <f t="shared" si="23"/>
        <v/>
      </c>
      <c r="J83" s="212" t="str">
        <f t="shared" si="24"/>
        <v/>
      </c>
      <c r="K83" s="212"/>
      <c r="L83" s="212" t="str">
        <f t="shared" si="25"/>
        <v/>
      </c>
      <c r="M83" s="29" t="str">
        <f t="shared" si="19"/>
        <v/>
      </c>
      <c r="N83" s="29" t="str">
        <f t="shared" si="17"/>
        <v/>
      </c>
      <c r="O83" s="29"/>
      <c r="P83" s="217" t="str">
        <f>IF(A82=$D$8,XIRR(R$24:R82,C$24:C82),"")</f>
        <v/>
      </c>
      <c r="Q83" s="212" t="str">
        <f t="shared" si="14"/>
        <v/>
      </c>
      <c r="R83" s="29">
        <f t="shared" ca="1" si="6"/>
        <v>52708.49</v>
      </c>
      <c r="S83" s="22">
        <f t="shared" ca="1" si="7"/>
        <v>2026</v>
      </c>
      <c r="T83" s="22">
        <f t="shared" ca="1" si="8"/>
        <v>365</v>
      </c>
      <c r="U83" s="22">
        <f t="shared" ca="1" si="9"/>
        <v>12</v>
      </c>
      <c r="V83" s="23">
        <f t="shared" ca="1" si="10"/>
        <v>11</v>
      </c>
      <c r="W83" s="24">
        <f t="shared" ca="1" si="11"/>
        <v>20</v>
      </c>
    </row>
    <row r="84" spans="1:23" x14ac:dyDescent="0.35">
      <c r="A84" s="32">
        <f t="shared" si="12"/>
        <v>60</v>
      </c>
      <c r="B84" s="28">
        <f t="shared" ca="1" si="4"/>
        <v>46215</v>
      </c>
      <c r="C84" s="28">
        <f t="shared" ca="1" si="5"/>
        <v>46215</v>
      </c>
      <c r="D84" s="32">
        <f t="shared" ca="1" si="21"/>
        <v>30</v>
      </c>
      <c r="E84" s="29">
        <f t="shared" si="22"/>
        <v>2999999.8033333379</v>
      </c>
      <c r="F84" s="29">
        <f>IF(AND(A83="",A85=""),"",IF(A84="",ROUND(SUM($F$25:F83),2),IF(A84=$D$8,$E$24-ROUND(SUM($F$25:F83),2),ROUND($E$24/$D$8,2))))</f>
        <v>16666.669999999998</v>
      </c>
      <c r="G84" s="213">
        <f ca="1">IF(A83=$D$8,ROUND(SUM($G$25:G83),2),IF(A84&gt;$F$8,"",IF(T84&lt;&gt;T83,ROUND(SUM(V84*$F$9*E83/T84,W84*$F$9*E83/T83),2),ROUND(E83*$F$9*D84/T83,2))))</f>
        <v>34687.53</v>
      </c>
      <c r="H84" s="29">
        <f ca="1">IF(A83=$D$8,SUM($H$25:H83),IF(A83&gt;$D$8,"",F84+G84))</f>
        <v>51354.2</v>
      </c>
      <c r="I84" s="212" t="str">
        <f t="shared" si="23"/>
        <v/>
      </c>
      <c r="J84" s="212" t="str">
        <f t="shared" si="24"/>
        <v/>
      </c>
      <c r="K84" s="212"/>
      <c r="L84" s="212" t="str">
        <f t="shared" si="25"/>
        <v/>
      </c>
      <c r="M84" s="29" t="str">
        <f t="shared" si="19"/>
        <v/>
      </c>
      <c r="N84" s="29" t="str">
        <f t="shared" si="17"/>
        <v/>
      </c>
      <c r="O84" s="29"/>
      <c r="P84" s="217" t="str">
        <f>IF(A83=$D$8,XIRR(R$24:R83,C$24:C83),"")</f>
        <v/>
      </c>
      <c r="Q84" s="212" t="str">
        <f t="shared" si="14"/>
        <v/>
      </c>
      <c r="R84" s="29">
        <f t="shared" ca="1" si="6"/>
        <v>51354.2</v>
      </c>
      <c r="S84" s="22">
        <f t="shared" ca="1" si="7"/>
        <v>2026</v>
      </c>
      <c r="T84" s="22">
        <f t="shared" ca="1" si="8"/>
        <v>365</v>
      </c>
      <c r="U84" s="22">
        <f t="shared" ca="1" si="9"/>
        <v>12</v>
      </c>
      <c r="V84" s="23">
        <f t="shared" ca="1" si="10"/>
        <v>11</v>
      </c>
      <c r="W84" s="24">
        <f t="shared" ca="1" si="11"/>
        <v>19</v>
      </c>
    </row>
    <row r="85" spans="1:23" x14ac:dyDescent="0.35">
      <c r="A85" s="32">
        <f t="shared" si="12"/>
        <v>61</v>
      </c>
      <c r="B85" s="28">
        <f t="shared" ca="1" si="4"/>
        <v>46246</v>
      </c>
      <c r="C85" s="28">
        <f t="shared" ca="1" si="5"/>
        <v>46246</v>
      </c>
      <c r="D85" s="32">
        <f t="shared" ca="1" si="21"/>
        <v>31</v>
      </c>
      <c r="E85" s="29">
        <f t="shared" si="22"/>
        <v>2983333.133333338</v>
      </c>
      <c r="F85" s="29">
        <f>IF(AND(A84="",A86=""),"",IF(A85="",ROUND(SUM($F$25:F84),2),IF(A85=$D$8,$E$24-ROUND(SUM($F$25:F84),2),ROUND($E$24/$D$8,2))))</f>
        <v>16666.669999999998</v>
      </c>
      <c r="G85" s="213">
        <f ca="1">IF(A84=$D$8,ROUND(SUM($G$25:G84),2),IF(A85&gt;$F$8,"",IF(T85&lt;&gt;T84,ROUND(SUM(V85*$F$17*E84/T85,W85*$F$17*E84/T84),2),ROUND(E84*$F$17*D85/T84,2))))</f>
        <v>29224.93</v>
      </c>
      <c r="H85" s="29">
        <f ca="1">IF(A84=$D$8,SUM($H$25:H84),IF(A84&gt;$D$8,"",F85+G85))</f>
        <v>45891.6</v>
      </c>
      <c r="I85" s="213" t="str">
        <f t="shared" si="23"/>
        <v/>
      </c>
      <c r="J85" s="213" t="str">
        <f t="shared" si="24"/>
        <v/>
      </c>
      <c r="K85" s="212">
        <f>IF($F$8&gt;60,($O$8+$O$10),IF($A$84=$F$8,$K$37+$K$24+$K$49+$K$61+$K$73,""))</f>
        <v>17100</v>
      </c>
      <c r="L85" s="213" t="str">
        <f t="shared" si="25"/>
        <v/>
      </c>
      <c r="M85" s="29" t="str">
        <f t="shared" si="19"/>
        <v/>
      </c>
      <c r="N85" s="29" t="str">
        <f t="shared" si="17"/>
        <v/>
      </c>
      <c r="O85" s="29"/>
      <c r="P85" s="217" t="str">
        <f>IF(A84=$D$8,XIRR(R$24:R84,C$24:C84),"")</f>
        <v/>
      </c>
      <c r="Q85" s="213" t="str">
        <f t="shared" si="14"/>
        <v/>
      </c>
      <c r="R85" s="29">
        <f t="shared" ca="1" si="6"/>
        <v>62991.6</v>
      </c>
      <c r="S85" s="22">
        <f t="shared" ca="1" si="7"/>
        <v>2026</v>
      </c>
      <c r="T85" s="22">
        <f t="shared" ca="1" si="8"/>
        <v>365</v>
      </c>
      <c r="U85" s="22">
        <f t="shared" ref="U85:U108" ca="1" si="26">IF(C85="","",DAY(C85))</f>
        <v>12</v>
      </c>
      <c r="V85" s="23">
        <f t="shared" ref="V85:V108" ca="1" si="27">U85-1</f>
        <v>11</v>
      </c>
      <c r="W85" s="24">
        <f t="shared" ref="W85:W148" ca="1" si="28">D85-V85</f>
        <v>20</v>
      </c>
    </row>
    <row r="86" spans="1:23" x14ac:dyDescent="0.35">
      <c r="A86" s="32">
        <f t="shared" si="12"/>
        <v>62</v>
      </c>
      <c r="B86" s="28">
        <f t="shared" ca="1" si="4"/>
        <v>46277</v>
      </c>
      <c r="C86" s="28">
        <f t="shared" ca="1" si="5"/>
        <v>46277</v>
      </c>
      <c r="D86" s="32">
        <f t="shared" ca="1" si="21"/>
        <v>31</v>
      </c>
      <c r="E86" s="29">
        <f t="shared" si="22"/>
        <v>2966666.463333338</v>
      </c>
      <c r="F86" s="29">
        <f>IF(AND(A85="",A87=""),"",IF(A86="",ROUND(SUM($F$25:F85),2),IF(A86=$D$8,$E$24-ROUND(SUM($F$25:F85),2),ROUND($E$24/$D$8,2))))</f>
        <v>16666.669999999998</v>
      </c>
      <c r="G86" s="213">
        <f ca="1">IF(A85=$D$8,ROUND(SUM($G$25:G85),2),IF(A86&gt;$F$8,"",IF(T86&lt;&gt;T85,ROUND(SUM(V86*$F$17*E85/T86,W86*$F$17*E85/T85),2),ROUND(E85*$F$17*D86/T85,2))))</f>
        <v>29062.57</v>
      </c>
      <c r="H86" s="29">
        <f ca="1">IF(A85=$D$8,SUM($H$25:H85),IF(A85&gt;$D$8,"",F86+G86))</f>
        <v>45729.24</v>
      </c>
      <c r="I86" s="212" t="str">
        <f t="shared" si="23"/>
        <v/>
      </c>
      <c r="J86" s="212" t="str">
        <f t="shared" si="24"/>
        <v/>
      </c>
      <c r="K86" s="212"/>
      <c r="L86" s="212" t="str">
        <f t="shared" si="25"/>
        <v/>
      </c>
      <c r="M86" s="29" t="str">
        <f t="shared" si="19"/>
        <v/>
      </c>
      <c r="N86" s="29" t="str">
        <f t="shared" si="17"/>
        <v/>
      </c>
      <c r="O86" s="29"/>
      <c r="P86" s="217" t="str">
        <f>IF(A85=$D$8,XIRR(R$24:R85,C$24:C85),"")</f>
        <v/>
      </c>
      <c r="Q86" s="212" t="str">
        <f t="shared" si="14"/>
        <v/>
      </c>
      <c r="R86" s="29">
        <f t="shared" ca="1" si="6"/>
        <v>45729.24</v>
      </c>
      <c r="S86" s="22">
        <f t="shared" ca="1" si="7"/>
        <v>2026</v>
      </c>
      <c r="T86" s="22">
        <f t="shared" ca="1" si="8"/>
        <v>365</v>
      </c>
      <c r="U86" s="22">
        <f t="shared" ca="1" si="26"/>
        <v>12</v>
      </c>
      <c r="V86" s="23">
        <f t="shared" ca="1" si="27"/>
        <v>11</v>
      </c>
      <c r="W86" s="24">
        <f t="shared" ca="1" si="28"/>
        <v>20</v>
      </c>
    </row>
    <row r="87" spans="1:23" x14ac:dyDescent="0.35">
      <c r="A87" s="32">
        <f t="shared" si="12"/>
        <v>63</v>
      </c>
      <c r="B87" s="28">
        <f t="shared" ca="1" si="4"/>
        <v>46307</v>
      </c>
      <c r="C87" s="28">
        <f t="shared" ca="1" si="5"/>
        <v>46307</v>
      </c>
      <c r="D87" s="32">
        <f t="shared" ca="1" si="21"/>
        <v>30</v>
      </c>
      <c r="E87" s="29">
        <f t="shared" si="22"/>
        <v>2949999.7933333381</v>
      </c>
      <c r="F87" s="29">
        <f>IF(AND(A86="",A88=""),"",IF(A87="",ROUND(SUM($F$25:F86),2),IF(A87=$D$8,$E$24-ROUND(SUM($F$25:F86),2),ROUND($E$24/$D$8,2))))</f>
        <v>16666.669999999998</v>
      </c>
      <c r="G87" s="213">
        <f ca="1">IF(A86=$D$8,ROUND(SUM($G$25:G86),2),IF(A87&gt;$F$8,"",IF(T87&lt;&gt;T86,ROUND(SUM(V87*$F$17*E86/T87,W87*$F$17*E86/T86),2),ROUND(E86*$F$17*D87/T86,2))))</f>
        <v>27967.94</v>
      </c>
      <c r="H87" s="29">
        <f ca="1">IF(A86=$D$8,SUM($H$25:H86),IF(A86&gt;$D$8,"",F87+G87))</f>
        <v>44634.61</v>
      </c>
      <c r="I87" s="212" t="str">
        <f t="shared" si="23"/>
        <v/>
      </c>
      <c r="J87" s="212" t="str">
        <f t="shared" si="24"/>
        <v/>
      </c>
      <c r="K87" s="212"/>
      <c r="L87" s="212" t="str">
        <f t="shared" si="25"/>
        <v/>
      </c>
      <c r="M87" s="29" t="str">
        <f t="shared" si="19"/>
        <v/>
      </c>
      <c r="N87" s="29" t="str">
        <f t="shared" si="17"/>
        <v/>
      </c>
      <c r="O87" s="29"/>
      <c r="P87" s="217" t="str">
        <f>IF(A86=$D$8,XIRR(R$24:R86,C$24:C86),"")</f>
        <v/>
      </c>
      <c r="Q87" s="212" t="str">
        <f t="shared" si="14"/>
        <v/>
      </c>
      <c r="R87" s="29">
        <f t="shared" ca="1" si="6"/>
        <v>44634.61</v>
      </c>
      <c r="S87" s="22">
        <f t="shared" ca="1" si="7"/>
        <v>2026</v>
      </c>
      <c r="T87" s="22">
        <f t="shared" ca="1" si="8"/>
        <v>365</v>
      </c>
      <c r="U87" s="22">
        <f t="shared" ca="1" si="26"/>
        <v>12</v>
      </c>
      <c r="V87" s="23">
        <f t="shared" ca="1" si="27"/>
        <v>11</v>
      </c>
      <c r="W87" s="24">
        <f t="shared" ca="1" si="28"/>
        <v>19</v>
      </c>
    </row>
    <row r="88" spans="1:23" x14ac:dyDescent="0.35">
      <c r="A88" s="32">
        <f t="shared" si="12"/>
        <v>64</v>
      </c>
      <c r="B88" s="28">
        <f t="shared" ca="1" si="4"/>
        <v>46338</v>
      </c>
      <c r="C88" s="28">
        <f t="shared" ca="1" si="5"/>
        <v>46338</v>
      </c>
      <c r="D88" s="32">
        <f t="shared" ca="1" si="21"/>
        <v>31</v>
      </c>
      <c r="E88" s="29">
        <f t="shared" si="22"/>
        <v>2933333.1233333382</v>
      </c>
      <c r="F88" s="29">
        <f>IF(AND(A87="",A89=""),"",IF(A88="",ROUND(SUM($F$25:F87),2),IF(A88=$D$8,$E$24-ROUND(SUM($F$25:F87),2),ROUND($E$24/$D$8,2))))</f>
        <v>16666.669999999998</v>
      </c>
      <c r="G88" s="213">
        <f ca="1">IF(A87=$D$8,ROUND(SUM($G$25:G87),2),IF(A88&gt;$F$8,"",IF(T88&lt;&gt;T87,ROUND(SUM(V88*$F$17*E87/T88,W88*$F$17*E87/T87),2),ROUND(E87*$F$17*D88/T87,2))))</f>
        <v>28737.85</v>
      </c>
      <c r="H88" s="29">
        <f ca="1">IF(A87=$D$8,SUM($H$25:H87),IF(A87&gt;$D$8,"",F88+G88))</f>
        <v>45404.52</v>
      </c>
      <c r="I88" s="212" t="str">
        <f t="shared" si="23"/>
        <v/>
      </c>
      <c r="J88" s="212" t="str">
        <f t="shared" si="24"/>
        <v/>
      </c>
      <c r="K88" s="212"/>
      <c r="L88" s="212" t="str">
        <f t="shared" si="25"/>
        <v/>
      </c>
      <c r="M88" s="29" t="str">
        <f t="shared" si="19"/>
        <v/>
      </c>
      <c r="N88" s="29" t="str">
        <f t="shared" si="17"/>
        <v/>
      </c>
      <c r="O88" s="29"/>
      <c r="P88" s="217" t="str">
        <f>IF(A87=$D$8,XIRR(R$24:R87,C$24:C87),"")</f>
        <v/>
      </c>
      <c r="Q88" s="212" t="str">
        <f t="shared" si="14"/>
        <v/>
      </c>
      <c r="R88" s="29">
        <f t="shared" ca="1" si="6"/>
        <v>45404.52</v>
      </c>
      <c r="S88" s="22">
        <f t="shared" ca="1" si="7"/>
        <v>2026</v>
      </c>
      <c r="T88" s="22">
        <f t="shared" ca="1" si="8"/>
        <v>365</v>
      </c>
      <c r="U88" s="22">
        <f t="shared" ca="1" si="26"/>
        <v>12</v>
      </c>
      <c r="V88" s="23">
        <f t="shared" ca="1" si="27"/>
        <v>11</v>
      </c>
      <c r="W88" s="24">
        <f t="shared" ca="1" si="28"/>
        <v>20</v>
      </c>
    </row>
    <row r="89" spans="1:23" x14ac:dyDescent="0.35">
      <c r="A89" s="32">
        <f t="shared" si="12"/>
        <v>65</v>
      </c>
      <c r="B89" s="28">
        <f t="shared" ca="1" si="4"/>
        <v>46368</v>
      </c>
      <c r="C89" s="28">
        <f t="shared" ca="1" si="5"/>
        <v>46368</v>
      </c>
      <c r="D89" s="32">
        <f t="shared" ca="1" si="21"/>
        <v>30</v>
      </c>
      <c r="E89" s="29">
        <f t="shared" si="22"/>
        <v>2916666.4533333383</v>
      </c>
      <c r="F89" s="29">
        <f>IF(AND(A88="",A90=""),"",IF(A89="",ROUND(SUM($F$25:F88),2),IF(A89=$D$8,$E$24-ROUND(SUM($F$25:F88),2),ROUND($E$24/$D$8,2))))</f>
        <v>16666.669999999998</v>
      </c>
      <c r="G89" s="213">
        <f ca="1">IF(A88=$D$8,ROUND(SUM($G$25:G88),2),IF(A89&gt;$F$8,"",IF(T89&lt;&gt;T88,ROUND(SUM(V89*$F$17*E88/T89,W89*$F$17*E88/T88),2),ROUND(E88*$F$17*D89/T88,2))))</f>
        <v>27653.7</v>
      </c>
      <c r="H89" s="29">
        <f ca="1">IF(A88=$D$8,SUM($H$25:H88),IF(A88&gt;$D$8,"",F89+G89))</f>
        <v>44320.369999999995</v>
      </c>
      <c r="I89" s="212" t="str">
        <f t="shared" si="23"/>
        <v/>
      </c>
      <c r="J89" s="212" t="str">
        <f t="shared" si="24"/>
        <v/>
      </c>
      <c r="K89" s="212"/>
      <c r="L89" s="212" t="str">
        <f t="shared" si="25"/>
        <v/>
      </c>
      <c r="M89" s="29" t="str">
        <f t="shared" si="19"/>
        <v/>
      </c>
      <c r="N89" s="29" t="str">
        <f t="shared" si="17"/>
        <v/>
      </c>
      <c r="O89" s="29"/>
      <c r="P89" s="217" t="str">
        <f>IF(A88=$D$8,XIRR(R$24:R88,C$24:C88),"")</f>
        <v/>
      </c>
      <c r="Q89" s="212" t="str">
        <f t="shared" si="14"/>
        <v/>
      </c>
      <c r="R89" s="29">
        <f t="shared" ca="1" si="6"/>
        <v>44320.369999999995</v>
      </c>
      <c r="S89" s="22">
        <f t="shared" ca="1" si="7"/>
        <v>2026</v>
      </c>
      <c r="T89" s="22">
        <f t="shared" ca="1" si="8"/>
        <v>365</v>
      </c>
      <c r="U89" s="22">
        <f t="shared" ca="1" si="26"/>
        <v>12</v>
      </c>
      <c r="V89" s="23">
        <f t="shared" ca="1" si="27"/>
        <v>11</v>
      </c>
      <c r="W89" s="24">
        <f t="shared" ca="1" si="28"/>
        <v>19</v>
      </c>
    </row>
    <row r="90" spans="1:23" x14ac:dyDescent="0.35">
      <c r="A90" s="32">
        <f t="shared" si="12"/>
        <v>66</v>
      </c>
      <c r="B90" s="28">
        <f t="shared" ref="B90:B153" ca="1" si="29">EDATE($B$24,A90)</f>
        <v>46399</v>
      </c>
      <c r="C90" s="28">
        <f t="shared" ref="C90:C153" ca="1" si="30">IF(B90=$D$10,B90-1,(IF(B90&gt;$D$10," ",B90)))</f>
        <v>46399</v>
      </c>
      <c r="D90" s="32">
        <f t="shared" ca="1" si="21"/>
        <v>31</v>
      </c>
      <c r="E90" s="29">
        <f t="shared" si="22"/>
        <v>2899999.7833333383</v>
      </c>
      <c r="F90" s="29">
        <f>IF(AND(A89="",A91=""),"",IF(A90="",ROUND(SUM($F$25:F89),2),IF(A90=$D$8,$E$24-ROUND(SUM($F$25:F89),2),ROUND($E$24/$D$8,2))))</f>
        <v>16666.669999999998</v>
      </c>
      <c r="G90" s="213">
        <f ca="1">IF(A89=$D$8,ROUND(SUM($G$25:G89),2),IF(A90&gt;$F$8,"",IF(T90&lt;&gt;T89,ROUND(SUM(V90*$F$17*E89/T90,W90*$F$17*E89/T89),2),ROUND(E89*$F$17*D90/T89,2))))</f>
        <v>28413.13</v>
      </c>
      <c r="H90" s="29">
        <f ca="1">IF(A89=$D$8,SUM($H$25:H89),IF(A89&gt;$D$8,"",F90+G90))</f>
        <v>45079.8</v>
      </c>
      <c r="I90" s="212" t="str">
        <f t="shared" si="23"/>
        <v/>
      </c>
      <c r="J90" s="212" t="str">
        <f t="shared" si="24"/>
        <v/>
      </c>
      <c r="K90" s="212"/>
      <c r="L90" s="212" t="str">
        <f t="shared" si="25"/>
        <v/>
      </c>
      <c r="M90" s="29" t="str">
        <f t="shared" si="19"/>
        <v/>
      </c>
      <c r="N90" s="29" t="str">
        <f t="shared" si="17"/>
        <v/>
      </c>
      <c r="O90" s="29"/>
      <c r="P90" s="217" t="str">
        <f>IF(A89=$D$8,XIRR(R$24:R89,C$24:C89),"")</f>
        <v/>
      </c>
      <c r="Q90" s="212" t="str">
        <f t="shared" si="14"/>
        <v/>
      </c>
      <c r="R90" s="29">
        <f t="shared" ref="R90:R153" ca="1" si="31">SUM(H90:Q90)</f>
        <v>45079.8</v>
      </c>
      <c r="S90" s="22">
        <f t="shared" ref="S90:S153" ca="1" si="32">IF(C90="","",YEAR(C90))</f>
        <v>2027</v>
      </c>
      <c r="T90" s="22">
        <f t="shared" ref="T90:T153" ca="1" si="33">IF(OR(S90=2024,S90=2028,S90=2016,S90=2020,S90=2024,S90=2028,S90=2032,S90=2036,S90=2040),366,365)</f>
        <v>365</v>
      </c>
      <c r="U90" s="22">
        <f t="shared" ca="1" si="26"/>
        <v>12</v>
      </c>
      <c r="V90" s="23">
        <f t="shared" ca="1" si="27"/>
        <v>11</v>
      </c>
      <c r="W90" s="24">
        <f t="shared" ca="1" si="28"/>
        <v>20</v>
      </c>
    </row>
    <row r="91" spans="1:23" x14ac:dyDescent="0.35">
      <c r="A91" s="32">
        <f t="shared" ref="A91:A154" si="34">IF(A90&lt;$D$8,A90+1,"")</f>
        <v>67</v>
      </c>
      <c r="B91" s="28">
        <f t="shared" ca="1" si="29"/>
        <v>46430</v>
      </c>
      <c r="C91" s="28">
        <f t="shared" ca="1" si="30"/>
        <v>46430</v>
      </c>
      <c r="D91" s="32">
        <f t="shared" ca="1" si="21"/>
        <v>31</v>
      </c>
      <c r="E91" s="29">
        <f t="shared" si="22"/>
        <v>2883333.1133333384</v>
      </c>
      <c r="F91" s="29">
        <f>IF(AND(A90="",A92=""),"",IF(A91="",ROUND(SUM($F$25:F90),2),IF(A91=$D$8,$E$24-ROUND(SUM($F$25:F90),2),ROUND($E$24/$D$8,2))))</f>
        <v>16666.669999999998</v>
      </c>
      <c r="G91" s="213">
        <f ca="1">IF(A90=$D$8,ROUND(SUM($G$25:G90),2),IF(A91&gt;$F$8,"",IF(T91&lt;&gt;T90,ROUND(SUM(V91*$F$17*E90/T91,W91*$F$17*E90/T90),2),ROUND(E90*$F$17*D91/T90,2))))</f>
        <v>28250.77</v>
      </c>
      <c r="H91" s="29">
        <f ca="1">IF(A90=$D$8,SUM($H$25:H90),IF(A90&gt;$D$8,"",F91+G91))</f>
        <v>44917.440000000002</v>
      </c>
      <c r="I91" s="212" t="str">
        <f t="shared" si="23"/>
        <v/>
      </c>
      <c r="J91" s="212" t="str">
        <f t="shared" si="24"/>
        <v/>
      </c>
      <c r="K91" s="212"/>
      <c r="L91" s="212" t="str">
        <f t="shared" si="25"/>
        <v/>
      </c>
      <c r="M91" s="29" t="str">
        <f t="shared" si="19"/>
        <v/>
      </c>
      <c r="N91" s="29" t="str">
        <f t="shared" si="17"/>
        <v/>
      </c>
      <c r="O91" s="29"/>
      <c r="P91" s="217" t="str">
        <f>IF(A90=$D$8,XIRR(R$24:R90,C$24:C90),"")</f>
        <v/>
      </c>
      <c r="Q91" s="212" t="str">
        <f t="shared" si="14"/>
        <v/>
      </c>
      <c r="R91" s="29">
        <f t="shared" ca="1" si="31"/>
        <v>44917.440000000002</v>
      </c>
      <c r="S91" s="22">
        <f t="shared" ca="1" si="32"/>
        <v>2027</v>
      </c>
      <c r="T91" s="22">
        <f t="shared" ca="1" si="33"/>
        <v>365</v>
      </c>
      <c r="U91" s="22">
        <f t="shared" ca="1" si="26"/>
        <v>12</v>
      </c>
      <c r="V91" s="23">
        <f t="shared" ca="1" si="27"/>
        <v>11</v>
      </c>
      <c r="W91" s="24">
        <f t="shared" ca="1" si="28"/>
        <v>20</v>
      </c>
    </row>
    <row r="92" spans="1:23" x14ac:dyDescent="0.35">
      <c r="A92" s="32">
        <f t="shared" si="34"/>
        <v>68</v>
      </c>
      <c r="B92" s="28">
        <f t="shared" ca="1" si="29"/>
        <v>46458</v>
      </c>
      <c r="C92" s="28">
        <f t="shared" ca="1" si="30"/>
        <v>46458</v>
      </c>
      <c r="D92" s="32">
        <f t="shared" ca="1" si="21"/>
        <v>28</v>
      </c>
      <c r="E92" s="29">
        <f t="shared" si="22"/>
        <v>2866666.4433333385</v>
      </c>
      <c r="F92" s="29">
        <f>IF(AND(A91="",A93=""),"",IF(A92="",ROUND(SUM($F$25:F91),2),IF(A92=$D$8,$E$24-ROUND(SUM($F$25:F91),2),ROUND($E$24/$D$8,2))))</f>
        <v>16666.669999999998</v>
      </c>
      <c r="G92" s="213">
        <f ca="1">IF(A91=$D$8,ROUND(SUM($G$25:G91),2),IF(A92&gt;$F$8,"",IF(T92&lt;&gt;T91,ROUND(SUM(V92*$F$17*E91/T92,W92*$F$17*E91/T91),2),ROUND(E91*$F$17*D92/T91,2))))</f>
        <v>25370.17</v>
      </c>
      <c r="H92" s="29">
        <f ca="1">IF(A91=$D$8,SUM($H$25:H91),IF(A91&gt;$D$8,"",F92+G92))</f>
        <v>42036.84</v>
      </c>
      <c r="I92" s="212" t="str">
        <f t="shared" si="23"/>
        <v/>
      </c>
      <c r="J92" s="212" t="str">
        <f t="shared" si="24"/>
        <v/>
      </c>
      <c r="K92" s="212"/>
      <c r="L92" s="212" t="str">
        <f t="shared" si="25"/>
        <v/>
      </c>
      <c r="M92" s="29" t="str">
        <f t="shared" si="19"/>
        <v/>
      </c>
      <c r="N92" s="29" t="str">
        <f t="shared" si="17"/>
        <v/>
      </c>
      <c r="O92" s="29"/>
      <c r="P92" s="217" t="str">
        <f>IF(A91=$D$8,XIRR(R$24:R91,C$24:C91),"")</f>
        <v/>
      </c>
      <c r="Q92" s="212" t="str">
        <f t="shared" ref="Q92:Q155" si="35">IF(A91=$D$8,G92+M92+F92+I92+J92+K92+L92+N92+O92,"")</f>
        <v/>
      </c>
      <c r="R92" s="29">
        <f t="shared" ca="1" si="31"/>
        <v>42036.84</v>
      </c>
      <c r="S92" s="22">
        <f t="shared" ca="1" si="32"/>
        <v>2027</v>
      </c>
      <c r="T92" s="22">
        <f t="shared" ca="1" si="33"/>
        <v>365</v>
      </c>
      <c r="U92" s="22">
        <f t="shared" ca="1" si="26"/>
        <v>12</v>
      </c>
      <c r="V92" s="23">
        <f t="shared" ca="1" si="27"/>
        <v>11</v>
      </c>
      <c r="W92" s="24">
        <f t="shared" ca="1" si="28"/>
        <v>17</v>
      </c>
    </row>
    <row r="93" spans="1:23" x14ac:dyDescent="0.35">
      <c r="A93" s="32">
        <f t="shared" si="34"/>
        <v>69</v>
      </c>
      <c r="B93" s="28">
        <f t="shared" ca="1" si="29"/>
        <v>46489</v>
      </c>
      <c r="C93" s="28">
        <f t="shared" ca="1" si="30"/>
        <v>46489</v>
      </c>
      <c r="D93" s="32">
        <f t="shared" ca="1" si="21"/>
        <v>31</v>
      </c>
      <c r="E93" s="29">
        <f t="shared" si="22"/>
        <v>2849999.7733333386</v>
      </c>
      <c r="F93" s="29">
        <f>IF(AND(A92="",A94=""),"",IF(A93="",ROUND(SUM($F$25:F92),2),IF(A93=$D$8,$E$24-ROUND(SUM($F$25:F92),2),ROUND($E$24/$D$8,2))))</f>
        <v>16666.669999999998</v>
      </c>
      <c r="G93" s="213">
        <f ca="1">IF(A92=$D$8,ROUND(SUM($G$25:G92),2),IF(A93&gt;$F$8,"",IF(T93&lt;&gt;T92,ROUND(SUM(V93*$F$17*E92/T93,W93*$F$17*E92/T92),2),ROUND(E92*$F$17*D93/T92,2))))</f>
        <v>27926.04</v>
      </c>
      <c r="H93" s="29">
        <f ca="1">IF(A92=$D$8,SUM($H$25:H92),IF(A92&gt;$D$8,"",F93+G93))</f>
        <v>44592.71</v>
      </c>
      <c r="I93" s="212" t="str">
        <f t="shared" si="23"/>
        <v/>
      </c>
      <c r="J93" s="212" t="str">
        <f t="shared" si="24"/>
        <v/>
      </c>
      <c r="K93" s="212"/>
      <c r="L93" s="212" t="str">
        <f t="shared" si="25"/>
        <v/>
      </c>
      <c r="M93" s="29" t="str">
        <f t="shared" si="19"/>
        <v/>
      </c>
      <c r="N93" s="29" t="str">
        <f t="shared" si="17"/>
        <v/>
      </c>
      <c r="O93" s="29"/>
      <c r="P93" s="217" t="str">
        <f>IF(A92=$D$8,XIRR(R$24:R92,C$24:C92),"")</f>
        <v/>
      </c>
      <c r="Q93" s="212" t="str">
        <f t="shared" si="35"/>
        <v/>
      </c>
      <c r="R93" s="29">
        <f t="shared" ca="1" si="31"/>
        <v>44592.71</v>
      </c>
      <c r="S93" s="22">
        <f t="shared" ca="1" si="32"/>
        <v>2027</v>
      </c>
      <c r="T93" s="22">
        <f t="shared" ca="1" si="33"/>
        <v>365</v>
      </c>
      <c r="U93" s="22">
        <f t="shared" ca="1" si="26"/>
        <v>12</v>
      </c>
      <c r="V93" s="23">
        <f t="shared" ca="1" si="27"/>
        <v>11</v>
      </c>
      <c r="W93" s="24">
        <f t="shared" ca="1" si="28"/>
        <v>20</v>
      </c>
    </row>
    <row r="94" spans="1:23" x14ac:dyDescent="0.35">
      <c r="A94" s="32">
        <f t="shared" si="34"/>
        <v>70</v>
      </c>
      <c r="B94" s="28">
        <f t="shared" ca="1" si="29"/>
        <v>46519</v>
      </c>
      <c r="C94" s="28">
        <f t="shared" ca="1" si="30"/>
        <v>46519</v>
      </c>
      <c r="D94" s="32">
        <f t="shared" ca="1" si="21"/>
        <v>30</v>
      </c>
      <c r="E94" s="29">
        <f t="shared" si="22"/>
        <v>2833333.1033333386</v>
      </c>
      <c r="F94" s="29">
        <f>IF(AND(A93="",A95=""),"",IF(A94="",ROUND(SUM($F$25:F93),2),IF(A94=$D$8,$E$24-ROUND(SUM($F$25:F93),2),ROUND($E$24/$D$8,2))))</f>
        <v>16666.669999999998</v>
      </c>
      <c r="G94" s="213">
        <f ca="1">IF(A93=$D$8,ROUND(SUM($G$25:G93),2),IF(A94&gt;$F$8,"",IF(T94&lt;&gt;T93,ROUND(SUM(V94*$F$17*E93/T94,W94*$F$17*E93/T93),2),ROUND(E93*$F$17*D94/T93,2))))</f>
        <v>26868.080000000002</v>
      </c>
      <c r="H94" s="29">
        <f ca="1">IF(A93=$D$8,SUM($H$25:H93),IF(A93&gt;$D$8,"",F94+G94))</f>
        <v>43534.75</v>
      </c>
      <c r="I94" s="212" t="str">
        <f t="shared" si="23"/>
        <v/>
      </c>
      <c r="J94" s="212" t="str">
        <f t="shared" si="24"/>
        <v/>
      </c>
      <c r="K94" s="212"/>
      <c r="L94" s="212" t="str">
        <f t="shared" si="25"/>
        <v/>
      </c>
      <c r="M94" s="29" t="str">
        <f t="shared" si="19"/>
        <v/>
      </c>
      <c r="N94" s="29" t="str">
        <f t="shared" ref="N94:N157" si="36">IF(A93=$D$8,$N$24,"")</f>
        <v/>
      </c>
      <c r="O94" s="29"/>
      <c r="P94" s="217" t="str">
        <f>IF(A93=$D$8,XIRR(R$24:R93,C$24:C93),"")</f>
        <v/>
      </c>
      <c r="Q94" s="212" t="str">
        <f t="shared" si="35"/>
        <v/>
      </c>
      <c r="R94" s="29">
        <f t="shared" ca="1" si="31"/>
        <v>43534.75</v>
      </c>
      <c r="S94" s="22">
        <f t="shared" ca="1" si="32"/>
        <v>2027</v>
      </c>
      <c r="T94" s="22">
        <f t="shared" ca="1" si="33"/>
        <v>365</v>
      </c>
      <c r="U94" s="22">
        <f t="shared" ca="1" si="26"/>
        <v>12</v>
      </c>
      <c r="V94" s="23">
        <f t="shared" ca="1" si="27"/>
        <v>11</v>
      </c>
      <c r="W94" s="24">
        <f t="shared" ca="1" si="28"/>
        <v>19</v>
      </c>
    </row>
    <row r="95" spans="1:23" x14ac:dyDescent="0.35">
      <c r="A95" s="32">
        <f t="shared" si="34"/>
        <v>71</v>
      </c>
      <c r="B95" s="28">
        <f t="shared" ca="1" si="29"/>
        <v>46550</v>
      </c>
      <c r="C95" s="28">
        <f t="shared" ca="1" si="30"/>
        <v>46550</v>
      </c>
      <c r="D95" s="32">
        <f t="shared" ca="1" si="21"/>
        <v>31</v>
      </c>
      <c r="E95" s="29">
        <f t="shared" si="22"/>
        <v>2816666.4333333387</v>
      </c>
      <c r="F95" s="29">
        <f>IF(AND(A94="",A96=""),"",IF(A95="",ROUND(SUM($F$25:F94),2),IF(A95=$D$8,$E$24-ROUND(SUM($F$25:F94),2),ROUND($E$24/$D$8,2))))</f>
        <v>16666.669999999998</v>
      </c>
      <c r="G95" s="213">
        <f ca="1">IF(A94=$D$8,ROUND(SUM($G$25:G94),2),IF(A95&gt;$F$8,"",IF(T95&lt;&gt;T94,ROUND(SUM(V95*$F$17*E94/T95,W95*$F$17*E94/T94),2),ROUND(E94*$F$17*D95/T94,2))))</f>
        <v>27601.32</v>
      </c>
      <c r="H95" s="29">
        <f ca="1">IF(A94=$D$8,SUM($H$25:H94),IF(A94&gt;$D$8,"",F95+G95))</f>
        <v>44267.99</v>
      </c>
      <c r="I95" s="212" t="str">
        <f t="shared" si="23"/>
        <v/>
      </c>
      <c r="J95" s="212" t="str">
        <f t="shared" si="24"/>
        <v/>
      </c>
      <c r="K95" s="212"/>
      <c r="L95" s="212" t="str">
        <f t="shared" si="25"/>
        <v/>
      </c>
      <c r="M95" s="29" t="str">
        <f t="shared" si="19"/>
        <v/>
      </c>
      <c r="N95" s="29" t="str">
        <f t="shared" si="36"/>
        <v/>
      </c>
      <c r="O95" s="29"/>
      <c r="P95" s="217" t="str">
        <f>IF(A94=$D$8,XIRR(R$24:R94,C$24:C94),"")</f>
        <v/>
      </c>
      <c r="Q95" s="212" t="str">
        <f t="shared" si="35"/>
        <v/>
      </c>
      <c r="R95" s="29">
        <f t="shared" ca="1" si="31"/>
        <v>44267.99</v>
      </c>
      <c r="S95" s="22">
        <f t="shared" ca="1" si="32"/>
        <v>2027</v>
      </c>
      <c r="T95" s="22">
        <f t="shared" ca="1" si="33"/>
        <v>365</v>
      </c>
      <c r="U95" s="22">
        <f t="shared" ca="1" si="26"/>
        <v>12</v>
      </c>
      <c r="V95" s="23">
        <f t="shared" ca="1" si="27"/>
        <v>11</v>
      </c>
      <c r="W95" s="24">
        <f t="shared" ca="1" si="28"/>
        <v>20</v>
      </c>
    </row>
    <row r="96" spans="1:23" x14ac:dyDescent="0.35">
      <c r="A96" s="32">
        <f t="shared" si="34"/>
        <v>72</v>
      </c>
      <c r="B96" s="28">
        <f t="shared" ca="1" si="29"/>
        <v>46580</v>
      </c>
      <c r="C96" s="28">
        <f t="shared" ca="1" si="30"/>
        <v>46580</v>
      </c>
      <c r="D96" s="32">
        <f t="shared" ca="1" si="21"/>
        <v>30</v>
      </c>
      <c r="E96" s="29">
        <f t="shared" si="22"/>
        <v>2799999.7633333388</v>
      </c>
      <c r="F96" s="29">
        <f>IF(AND(A95="",A97=""),"",IF(A96="",ROUND(SUM($F$25:F95),2),IF(A96=$D$8,$E$24-ROUND(SUM($F$25:F95),2),ROUND($E$24/$D$8,2))))</f>
        <v>16666.669999999998</v>
      </c>
      <c r="G96" s="213">
        <f ca="1">IF(A95=$D$8,ROUND(SUM($G$25:G95),2),IF(A96&gt;$F$8,"",IF(T96&lt;&gt;T95,ROUND(SUM(V96*$F$17*E95/T96,W96*$F$17*E95/T95),2),ROUND(E95*$F$17*D96/T95,2))))</f>
        <v>26553.83</v>
      </c>
      <c r="H96" s="29">
        <f ca="1">IF(A95=$D$8,SUM($H$25:H95),IF(A95&gt;$D$8,"",F96+G96))</f>
        <v>43220.5</v>
      </c>
      <c r="I96" s="212" t="str">
        <f t="shared" si="23"/>
        <v/>
      </c>
      <c r="J96" s="212" t="str">
        <f t="shared" si="24"/>
        <v/>
      </c>
      <c r="K96" s="212"/>
      <c r="L96" s="212" t="str">
        <f t="shared" si="25"/>
        <v/>
      </c>
      <c r="M96" s="29" t="str">
        <f t="shared" ref="M96:M159" si="37">IF(A95=$D$8,$M$24,"")</f>
        <v/>
      </c>
      <c r="N96" s="29" t="str">
        <f t="shared" si="36"/>
        <v/>
      </c>
      <c r="O96" s="29"/>
      <c r="P96" s="217" t="str">
        <f>IF(A95=$D$8,XIRR(R$24:R95,C$24:C95),"")</f>
        <v/>
      </c>
      <c r="Q96" s="212" t="str">
        <f t="shared" si="35"/>
        <v/>
      </c>
      <c r="R96" s="29">
        <f t="shared" ca="1" si="31"/>
        <v>43220.5</v>
      </c>
      <c r="S96" s="22">
        <f t="shared" ca="1" si="32"/>
        <v>2027</v>
      </c>
      <c r="T96" s="22">
        <f t="shared" ca="1" si="33"/>
        <v>365</v>
      </c>
      <c r="U96" s="22">
        <f t="shared" ca="1" si="26"/>
        <v>12</v>
      </c>
      <c r="V96" s="23">
        <f t="shared" ca="1" si="27"/>
        <v>11</v>
      </c>
      <c r="W96" s="24">
        <f t="shared" ca="1" si="28"/>
        <v>19</v>
      </c>
    </row>
    <row r="97" spans="1:26" x14ac:dyDescent="0.35">
      <c r="A97" s="32">
        <f t="shared" si="34"/>
        <v>73</v>
      </c>
      <c r="B97" s="28">
        <f t="shared" ca="1" si="29"/>
        <v>46611</v>
      </c>
      <c r="C97" s="28">
        <f t="shared" ca="1" si="30"/>
        <v>46611</v>
      </c>
      <c r="D97" s="32">
        <f t="shared" ca="1" si="21"/>
        <v>31</v>
      </c>
      <c r="E97" s="29">
        <f t="shared" si="22"/>
        <v>2783333.0933333389</v>
      </c>
      <c r="F97" s="29">
        <f>IF(AND(A96="",A98=""),"",IF(A97="",ROUND(SUM($F$25:F96),2),IF(A97=$D$8,$E$24-ROUND(SUM($F$25:F96),2),ROUND($E$24/$D$8,2))))</f>
        <v>16666.669999999998</v>
      </c>
      <c r="G97" s="213">
        <f ca="1">IF(A96=$D$8,ROUND(SUM($G$25:G96),2),IF(A97&gt;$F$8,"",IF(T97&lt;&gt;T96,ROUND(SUM(V97*$F$17*E96/T97,W97*$F$17*E96/T96),2),ROUND(E96*$F$17*D97/T96,2))))</f>
        <v>27276.6</v>
      </c>
      <c r="H97" s="29">
        <f ca="1">IF(A96=$D$8,SUM($H$25:H96),IF(A96&gt;$D$8,"",F97+G97))</f>
        <v>43943.27</v>
      </c>
      <c r="I97" s="212" t="str">
        <f t="shared" si="23"/>
        <v/>
      </c>
      <c r="J97" s="212" t="str">
        <f t="shared" si="24"/>
        <v/>
      </c>
      <c r="K97" s="212">
        <f>IF($F$8&gt;72,($O$8+$O$10),IF($A$96=$F$8,$K$37+$K$24+$K$49+$K$61+$K$73+$K$85,""))</f>
        <v>17100</v>
      </c>
      <c r="L97" s="212" t="str">
        <f t="shared" si="25"/>
        <v/>
      </c>
      <c r="M97" s="29" t="str">
        <f t="shared" si="37"/>
        <v/>
      </c>
      <c r="N97" s="29" t="str">
        <f t="shared" si="36"/>
        <v/>
      </c>
      <c r="O97" s="29"/>
      <c r="P97" s="217" t="str">
        <f>IF(A96=$D$8,XIRR(R$24:R96,C$24:C96),"")</f>
        <v/>
      </c>
      <c r="Q97" s="212" t="str">
        <f t="shared" si="35"/>
        <v/>
      </c>
      <c r="R97" s="29">
        <f t="shared" ca="1" si="31"/>
        <v>61043.27</v>
      </c>
      <c r="S97" s="22">
        <f t="shared" ca="1" si="32"/>
        <v>2027</v>
      </c>
      <c r="T97" s="22">
        <f t="shared" ca="1" si="33"/>
        <v>365</v>
      </c>
      <c r="U97" s="22">
        <f t="shared" ca="1" si="26"/>
        <v>12</v>
      </c>
      <c r="V97" s="23">
        <f t="shared" ca="1" si="27"/>
        <v>11</v>
      </c>
      <c r="W97" s="24">
        <f t="shared" ca="1" si="28"/>
        <v>20</v>
      </c>
    </row>
    <row r="98" spans="1:26" x14ac:dyDescent="0.35">
      <c r="A98" s="32">
        <f t="shared" si="34"/>
        <v>74</v>
      </c>
      <c r="B98" s="28">
        <f t="shared" ca="1" si="29"/>
        <v>46642</v>
      </c>
      <c r="C98" s="28">
        <f t="shared" ca="1" si="30"/>
        <v>46642</v>
      </c>
      <c r="D98" s="32">
        <f t="shared" ca="1" si="21"/>
        <v>31</v>
      </c>
      <c r="E98" s="29">
        <f t="shared" si="22"/>
        <v>2766666.4233333389</v>
      </c>
      <c r="F98" s="29">
        <f>IF(AND(A97="",A99=""),"",IF(A98="",ROUND(SUM($F$25:F97),2),IF(A98=$D$8,$E$24-ROUND(SUM($F$25:F97),2),ROUND($E$24/$D$8,2))))</f>
        <v>16666.669999999998</v>
      </c>
      <c r="G98" s="213">
        <f ca="1">IF(A97=$D$8,ROUND(SUM($G$25:G97),2),IF(A98&gt;$F$8,"",IF(T98&lt;&gt;T97,ROUND(SUM(V98*$F$17*E97/T98,W98*$F$17*E97/T97),2),ROUND(E97*$F$17*D98/T97,2))))</f>
        <v>27114.240000000002</v>
      </c>
      <c r="H98" s="29">
        <f ca="1">IF(A97=$D$8,SUM($H$25:H97),IF(A97&gt;$D$8,"",F98+G98))</f>
        <v>43780.91</v>
      </c>
      <c r="I98" s="212" t="str">
        <f t="shared" si="23"/>
        <v/>
      </c>
      <c r="J98" s="212" t="str">
        <f t="shared" si="24"/>
        <v/>
      </c>
      <c r="K98" s="212"/>
      <c r="L98" s="212" t="str">
        <f t="shared" si="25"/>
        <v/>
      </c>
      <c r="M98" s="29" t="str">
        <f t="shared" si="37"/>
        <v/>
      </c>
      <c r="N98" s="29" t="str">
        <f t="shared" si="36"/>
        <v/>
      </c>
      <c r="O98" s="29"/>
      <c r="P98" s="217" t="str">
        <f>IF(A97=$D$8,XIRR(R$24:R97,C$24:C97),"")</f>
        <v/>
      </c>
      <c r="Q98" s="212" t="str">
        <f t="shared" si="35"/>
        <v/>
      </c>
      <c r="R98" s="29">
        <f t="shared" ca="1" si="31"/>
        <v>43780.91</v>
      </c>
      <c r="S98" s="22">
        <f t="shared" ca="1" si="32"/>
        <v>2027</v>
      </c>
      <c r="T98" s="22">
        <f t="shared" ca="1" si="33"/>
        <v>365</v>
      </c>
      <c r="U98" s="22">
        <f t="shared" ca="1" si="26"/>
        <v>12</v>
      </c>
      <c r="V98" s="23">
        <f t="shared" ca="1" si="27"/>
        <v>11</v>
      </c>
      <c r="W98" s="24">
        <f t="shared" ca="1" si="28"/>
        <v>20</v>
      </c>
    </row>
    <row r="99" spans="1:26" x14ac:dyDescent="0.35">
      <c r="A99" s="32">
        <f t="shared" si="34"/>
        <v>75</v>
      </c>
      <c r="B99" s="28">
        <f t="shared" ca="1" si="29"/>
        <v>46672</v>
      </c>
      <c r="C99" s="28">
        <f t="shared" ca="1" si="30"/>
        <v>46672</v>
      </c>
      <c r="D99" s="32">
        <f t="shared" ca="1" si="21"/>
        <v>30</v>
      </c>
      <c r="E99" s="29">
        <f t="shared" si="22"/>
        <v>2749999.753333339</v>
      </c>
      <c r="F99" s="29">
        <f>IF(AND(A98="",A100=""),"",IF(A99="",ROUND(SUM($F$25:F98),2),IF(A99=$D$8,$E$24-ROUND(SUM($F$25:F98),2),ROUND($E$24/$D$8,2))))</f>
        <v>16666.669999999998</v>
      </c>
      <c r="G99" s="213">
        <f ca="1">IF(A98=$D$8,ROUND(SUM($G$25:G98),2),IF(A99&gt;$F$8,"",IF(T99&lt;&gt;T98,ROUND(SUM(V99*$F$17*E98/T99,W99*$F$17*E98/T98),2),ROUND(E98*$F$17*D99/T98,2))))</f>
        <v>26082.46</v>
      </c>
      <c r="H99" s="29">
        <f ca="1">IF(A98=$D$8,SUM($H$25:H98),IF(A98&gt;$D$8,"",F99+G99))</f>
        <v>42749.13</v>
      </c>
      <c r="I99" s="212" t="str">
        <f t="shared" si="23"/>
        <v/>
      </c>
      <c r="J99" s="212" t="str">
        <f t="shared" si="24"/>
        <v/>
      </c>
      <c r="K99" s="212"/>
      <c r="L99" s="212" t="str">
        <f t="shared" si="25"/>
        <v/>
      </c>
      <c r="M99" s="29" t="str">
        <f t="shared" si="37"/>
        <v/>
      </c>
      <c r="N99" s="29" t="str">
        <f t="shared" si="36"/>
        <v/>
      </c>
      <c r="O99" s="29"/>
      <c r="P99" s="217" t="str">
        <f>IF(A98=$D$8,XIRR(R$24:R98,C$24:C98),"")</f>
        <v/>
      </c>
      <c r="Q99" s="212" t="str">
        <f t="shared" si="35"/>
        <v/>
      </c>
      <c r="R99" s="29">
        <f t="shared" ca="1" si="31"/>
        <v>42749.13</v>
      </c>
      <c r="S99" s="22">
        <f t="shared" ca="1" si="32"/>
        <v>2027</v>
      </c>
      <c r="T99" s="22">
        <f t="shared" ca="1" si="33"/>
        <v>365</v>
      </c>
      <c r="U99" s="22">
        <f t="shared" ca="1" si="26"/>
        <v>12</v>
      </c>
      <c r="V99" s="23">
        <f t="shared" ca="1" si="27"/>
        <v>11</v>
      </c>
      <c r="W99" s="24">
        <f t="shared" ca="1" si="28"/>
        <v>19</v>
      </c>
    </row>
    <row r="100" spans="1:26" x14ac:dyDescent="0.35">
      <c r="A100" s="32">
        <f t="shared" si="34"/>
        <v>76</v>
      </c>
      <c r="B100" s="28">
        <f t="shared" ca="1" si="29"/>
        <v>46703</v>
      </c>
      <c r="C100" s="28">
        <f t="shared" ca="1" si="30"/>
        <v>46703</v>
      </c>
      <c r="D100" s="32">
        <f t="shared" ca="1" si="21"/>
        <v>31</v>
      </c>
      <c r="E100" s="29">
        <f t="shared" si="22"/>
        <v>2733333.0833333391</v>
      </c>
      <c r="F100" s="29">
        <f>IF(AND(A99="",A101=""),"",IF(A100="",ROUND(SUM($F$25:F99),2),IF(A100=$D$8,$E$24-ROUND(SUM($F$25:F99),2),ROUND($E$24/$D$8,2))))</f>
        <v>16666.669999999998</v>
      </c>
      <c r="G100" s="213">
        <f ca="1">IF(A99=$D$8,ROUND(SUM($G$25:G99),2),IF(A100&gt;$F$8,"",IF(T100&lt;&gt;T99,ROUND(SUM(V100*$F$17*E99/T100,W100*$F$17*E99/T99),2),ROUND(E99*$F$17*D100/T99,2))))</f>
        <v>26789.52</v>
      </c>
      <c r="H100" s="29">
        <f ca="1">IF(A99=$D$8,SUM($H$25:H99),IF(A99&gt;$D$8,"",F100+G100))</f>
        <v>43456.19</v>
      </c>
      <c r="I100" s="212" t="str">
        <f t="shared" si="23"/>
        <v/>
      </c>
      <c r="J100" s="212" t="str">
        <f t="shared" si="24"/>
        <v/>
      </c>
      <c r="K100" s="212"/>
      <c r="L100" s="212" t="str">
        <f t="shared" si="25"/>
        <v/>
      </c>
      <c r="M100" s="29" t="str">
        <f t="shared" si="37"/>
        <v/>
      </c>
      <c r="N100" s="29" t="str">
        <f t="shared" si="36"/>
        <v/>
      </c>
      <c r="O100" s="29"/>
      <c r="P100" s="217" t="str">
        <f>IF(A99=$D$8,XIRR(R$24:R99,C$24:C99),"")</f>
        <v/>
      </c>
      <c r="Q100" s="212" t="str">
        <f t="shared" si="35"/>
        <v/>
      </c>
      <c r="R100" s="29">
        <f t="shared" ca="1" si="31"/>
        <v>43456.19</v>
      </c>
      <c r="S100" s="22">
        <f t="shared" ca="1" si="32"/>
        <v>2027</v>
      </c>
      <c r="T100" s="22">
        <f t="shared" ca="1" si="33"/>
        <v>365</v>
      </c>
      <c r="U100" s="22">
        <f t="shared" ca="1" si="26"/>
        <v>12</v>
      </c>
      <c r="V100" s="23">
        <f t="shared" ca="1" si="27"/>
        <v>11</v>
      </c>
      <c r="W100" s="24">
        <f t="shared" ca="1" si="28"/>
        <v>20</v>
      </c>
    </row>
    <row r="101" spans="1:26" x14ac:dyDescent="0.35">
      <c r="A101" s="32">
        <f t="shared" si="34"/>
        <v>77</v>
      </c>
      <c r="B101" s="28">
        <f t="shared" ca="1" si="29"/>
        <v>46733</v>
      </c>
      <c r="C101" s="28">
        <f t="shared" ca="1" si="30"/>
        <v>46733</v>
      </c>
      <c r="D101" s="32">
        <f t="shared" ca="1" si="21"/>
        <v>30</v>
      </c>
      <c r="E101" s="29">
        <f t="shared" si="22"/>
        <v>2716666.4133333392</v>
      </c>
      <c r="F101" s="29">
        <f>IF(AND(A100="",A102=""),"",IF(A101="",ROUND(SUM($F$25:F100),2),IF(A101=$D$8,$E$24-ROUND(SUM($F$25:F100),2),ROUND($E$24/$D$8,2))))</f>
        <v>16666.669999999998</v>
      </c>
      <c r="G101" s="213">
        <f ca="1">IF(A100=$D$8,ROUND(SUM($G$25:G100),2),IF(A101&gt;$F$8,"",IF(T101&lt;&gt;T100,ROUND(SUM(V101*$F$17*E100/T101,W101*$F$17*E100/T100),2),ROUND(E100*$F$17*D101/T100,2))))</f>
        <v>25768.22</v>
      </c>
      <c r="H101" s="29">
        <f ca="1">IF(A100=$D$8,SUM($H$25:H100),IF(A100&gt;$D$8,"",F101+G101))</f>
        <v>42434.89</v>
      </c>
      <c r="I101" s="212" t="str">
        <f t="shared" si="23"/>
        <v/>
      </c>
      <c r="J101" s="212" t="str">
        <f t="shared" si="24"/>
        <v/>
      </c>
      <c r="K101" s="212"/>
      <c r="L101" s="212" t="str">
        <f t="shared" si="25"/>
        <v/>
      </c>
      <c r="M101" s="29" t="str">
        <f t="shared" si="37"/>
        <v/>
      </c>
      <c r="N101" s="29" t="str">
        <f t="shared" si="36"/>
        <v/>
      </c>
      <c r="O101" s="29"/>
      <c r="P101" s="217" t="str">
        <f>IF(A100=$D$8,XIRR(R$24:R100,C$24:C100),"")</f>
        <v/>
      </c>
      <c r="Q101" s="212" t="str">
        <f t="shared" si="35"/>
        <v/>
      </c>
      <c r="R101" s="29">
        <f t="shared" ca="1" si="31"/>
        <v>42434.89</v>
      </c>
      <c r="S101" s="22">
        <f t="shared" ca="1" si="32"/>
        <v>2027</v>
      </c>
      <c r="T101" s="22">
        <f t="shared" ca="1" si="33"/>
        <v>365</v>
      </c>
      <c r="U101" s="22">
        <f t="shared" ca="1" si="26"/>
        <v>12</v>
      </c>
      <c r="V101" s="23">
        <f t="shared" ca="1" si="27"/>
        <v>11</v>
      </c>
      <c r="W101" s="24">
        <f t="shared" ca="1" si="28"/>
        <v>19</v>
      </c>
    </row>
    <row r="102" spans="1:26" x14ac:dyDescent="0.35">
      <c r="A102" s="32">
        <f t="shared" si="34"/>
        <v>78</v>
      </c>
      <c r="B102" s="28">
        <f t="shared" ca="1" si="29"/>
        <v>46764</v>
      </c>
      <c r="C102" s="28">
        <f t="shared" ca="1" si="30"/>
        <v>46764</v>
      </c>
      <c r="D102" s="32">
        <f t="shared" ref="D102:D165" ca="1" si="38">IF(A102&gt;$D$8,"",C102-C101)</f>
        <v>31</v>
      </c>
      <c r="E102" s="29">
        <f t="shared" ref="E102:E165" si="39">IF(A102&gt;$D$8,"",E101-F102)</f>
        <v>2699999.7433333392</v>
      </c>
      <c r="F102" s="29">
        <f>IF(AND(A101="",A103=""),"",IF(A102="",ROUND(SUM($F$25:F101),2),IF(A102=$D$8,$E$24-ROUND(SUM($F$25:F101),2),ROUND($E$24/$D$8,2))))</f>
        <v>16666.669999999998</v>
      </c>
      <c r="G102" s="213">
        <f ca="1">IF(A101=$D$8,ROUND(SUM($G$25:G101),2),IF(A102&gt;$F$8,"",IF(T102&lt;&gt;T101,ROUND(SUM(V102*$F$17*E101/T102,W102*$F$17*E101/T101),2),ROUND(E101*$F$17*D102/T101,2))))</f>
        <v>26439.14</v>
      </c>
      <c r="H102" s="29">
        <f ca="1">IF(A101=$D$8,SUM($H$25:H101),IF(A101&gt;$D$8,"",F102+G102))</f>
        <v>43105.81</v>
      </c>
      <c r="I102" s="212" t="str">
        <f t="shared" ref="I102:I165" si="40">IF(A101=$F$8,$I$24,"")</f>
        <v/>
      </c>
      <c r="J102" s="212" t="str">
        <f t="shared" ref="J102:J165" si="41">IF(A101=$F$8,$J$24,"")</f>
        <v/>
      </c>
      <c r="K102" s="212"/>
      <c r="L102" s="212" t="str">
        <f t="shared" ref="L102:L165" si="42">IF(A101=$F$8,$L$24,"")</f>
        <v/>
      </c>
      <c r="M102" s="29" t="str">
        <f t="shared" si="37"/>
        <v/>
      </c>
      <c r="N102" s="29" t="str">
        <f t="shared" si="36"/>
        <v/>
      </c>
      <c r="O102" s="29"/>
      <c r="P102" s="217" t="str">
        <f>IF(A101=$D$8,XIRR(R$24:R101,C$24:C101),"")</f>
        <v/>
      </c>
      <c r="Q102" s="212" t="str">
        <f t="shared" si="35"/>
        <v/>
      </c>
      <c r="R102" s="29">
        <f t="shared" ca="1" si="31"/>
        <v>43105.81</v>
      </c>
      <c r="S102" s="22">
        <f t="shared" ca="1" si="32"/>
        <v>2028</v>
      </c>
      <c r="T102" s="22">
        <f t="shared" ca="1" si="33"/>
        <v>366</v>
      </c>
      <c r="U102" s="22">
        <f t="shared" ca="1" si="26"/>
        <v>12</v>
      </c>
      <c r="V102" s="23">
        <f t="shared" ca="1" si="27"/>
        <v>11</v>
      </c>
      <c r="W102" s="24">
        <f t="shared" ca="1" si="28"/>
        <v>20</v>
      </c>
    </row>
    <row r="103" spans="1:26" x14ac:dyDescent="0.35">
      <c r="A103" s="32">
        <f t="shared" si="34"/>
        <v>79</v>
      </c>
      <c r="B103" s="28">
        <f t="shared" ca="1" si="29"/>
        <v>46795</v>
      </c>
      <c r="C103" s="28">
        <f t="shared" ca="1" si="30"/>
        <v>46795</v>
      </c>
      <c r="D103" s="32">
        <f t="shared" ca="1" si="38"/>
        <v>31</v>
      </c>
      <c r="E103" s="29">
        <f t="shared" si="39"/>
        <v>2683333.0733333393</v>
      </c>
      <c r="F103" s="29">
        <f>IF(AND(A102="",A104=""),"",IF(A103="",ROUND(SUM($F$25:F102),2),IF(A103=$D$8,$E$24-ROUND(SUM($F$25:F102),2),ROUND($E$24/$D$8,2))))</f>
        <v>16666.669999999998</v>
      </c>
      <c r="G103" s="213">
        <f ca="1">IF(A102=$D$8,ROUND(SUM($G$25:G102),2),IF(A103&gt;$F$8,"",IF(T103&lt;&gt;T102,ROUND(SUM(V103*$F$17*E102/T103,W103*$F$17*E102/T102),2),ROUND(E102*$F$17*D103/T102,2))))</f>
        <v>26230.57</v>
      </c>
      <c r="H103" s="29">
        <f ca="1">IF(A102=$D$8,SUM($H$25:H102),IF(A102&gt;$D$8,"",F103+G103))</f>
        <v>42897.24</v>
      </c>
      <c r="I103" s="212" t="str">
        <f t="shared" si="40"/>
        <v/>
      </c>
      <c r="J103" s="212" t="str">
        <f t="shared" si="41"/>
        <v/>
      </c>
      <c r="K103" s="212"/>
      <c r="L103" s="212" t="str">
        <f t="shared" si="42"/>
        <v/>
      </c>
      <c r="M103" s="29" t="str">
        <f t="shared" si="37"/>
        <v/>
      </c>
      <c r="N103" s="29" t="str">
        <f t="shared" si="36"/>
        <v/>
      </c>
      <c r="O103" s="29"/>
      <c r="P103" s="217" t="str">
        <f>IF(A102=$D$8,XIRR(R$24:R102,C$24:C102),"")</f>
        <v/>
      </c>
      <c r="Q103" s="212" t="str">
        <f t="shared" si="35"/>
        <v/>
      </c>
      <c r="R103" s="29">
        <f t="shared" ca="1" si="31"/>
        <v>42897.24</v>
      </c>
      <c r="S103" s="22">
        <f t="shared" ca="1" si="32"/>
        <v>2028</v>
      </c>
      <c r="T103" s="22">
        <f t="shared" ca="1" si="33"/>
        <v>366</v>
      </c>
      <c r="U103" s="22">
        <f t="shared" ca="1" si="26"/>
        <v>12</v>
      </c>
      <c r="V103" s="23">
        <f t="shared" ca="1" si="27"/>
        <v>11</v>
      </c>
      <c r="W103" s="24">
        <f t="shared" ca="1" si="28"/>
        <v>20</v>
      </c>
    </row>
    <row r="104" spans="1:26" x14ac:dyDescent="0.35">
      <c r="A104" s="32">
        <f t="shared" si="34"/>
        <v>80</v>
      </c>
      <c r="B104" s="28">
        <f t="shared" ca="1" si="29"/>
        <v>46824</v>
      </c>
      <c r="C104" s="28">
        <f t="shared" ca="1" si="30"/>
        <v>46824</v>
      </c>
      <c r="D104" s="32">
        <f t="shared" ca="1" si="38"/>
        <v>29</v>
      </c>
      <c r="E104" s="29">
        <f t="shared" si="39"/>
        <v>2666666.4033333394</v>
      </c>
      <c r="F104" s="29">
        <f>IF(AND(A103="",A105=""),"",IF(A104="",ROUND(SUM($F$25:F103),2),IF(A104=$D$8,$E$24-ROUND(SUM($F$25:F103),2),ROUND($E$24/$D$8,2))))</f>
        <v>16666.669999999998</v>
      </c>
      <c r="G104" s="213">
        <f ca="1">IF(A103=$D$8,ROUND(SUM($G$25:G103),2),IF(A104&gt;$F$8,"",IF(T104&lt;&gt;T103,ROUND(SUM(V104*$F$17*E103/T104,W104*$F$17*E103/T103),2),ROUND(E103*$F$17*D104/T103,2))))</f>
        <v>24386.81</v>
      </c>
      <c r="H104" s="29">
        <f ca="1">IF(A103=$D$8,SUM($H$25:H103),IF(A103&gt;$D$8,"",F104+G104))</f>
        <v>41053.479999999996</v>
      </c>
      <c r="I104" s="212" t="str">
        <f t="shared" si="40"/>
        <v/>
      </c>
      <c r="J104" s="212" t="str">
        <f t="shared" si="41"/>
        <v/>
      </c>
      <c r="K104" s="212"/>
      <c r="L104" s="212" t="str">
        <f t="shared" si="42"/>
        <v/>
      </c>
      <c r="M104" s="29" t="str">
        <f t="shared" si="37"/>
        <v/>
      </c>
      <c r="N104" s="29" t="str">
        <f t="shared" si="36"/>
        <v/>
      </c>
      <c r="O104" s="29"/>
      <c r="P104" s="217" t="str">
        <f>IF(A103=$D$8,XIRR(R$24:R103,C$24:C103),"")</f>
        <v/>
      </c>
      <c r="Q104" s="212" t="str">
        <f t="shared" si="35"/>
        <v/>
      </c>
      <c r="R104" s="29">
        <f t="shared" ca="1" si="31"/>
        <v>41053.479999999996</v>
      </c>
      <c r="S104" s="22">
        <f t="shared" ca="1" si="32"/>
        <v>2028</v>
      </c>
      <c r="T104" s="22">
        <f t="shared" ca="1" si="33"/>
        <v>366</v>
      </c>
      <c r="U104" s="22">
        <f t="shared" ca="1" si="26"/>
        <v>12</v>
      </c>
      <c r="V104" s="23">
        <f t="shared" ca="1" si="27"/>
        <v>11</v>
      </c>
      <c r="W104" s="24">
        <f t="shared" ca="1" si="28"/>
        <v>18</v>
      </c>
    </row>
    <row r="105" spans="1:26" x14ac:dyDescent="0.35">
      <c r="A105" s="32">
        <f t="shared" si="34"/>
        <v>81</v>
      </c>
      <c r="B105" s="28">
        <f t="shared" ca="1" si="29"/>
        <v>46855</v>
      </c>
      <c r="C105" s="28">
        <f t="shared" ca="1" si="30"/>
        <v>46855</v>
      </c>
      <c r="D105" s="32">
        <f t="shared" ca="1" si="38"/>
        <v>31</v>
      </c>
      <c r="E105" s="29">
        <f t="shared" si="39"/>
        <v>2649999.7333333394</v>
      </c>
      <c r="F105" s="29">
        <f>IF(AND(A104="",A106=""),"",IF(A105="",ROUND(SUM($F$25:F104),2),IF(A105=$D$8,$E$24-ROUND(SUM($F$25:F104),2),ROUND($E$24/$D$8,2))))</f>
        <v>16666.669999999998</v>
      </c>
      <c r="G105" s="213">
        <f ca="1">IF(A104=$D$8,ROUND(SUM($G$25:G104),2),IF(A105&gt;$F$8,"",IF(T105&lt;&gt;T104,ROUND(SUM(V105*$F$17*E104/T105,W105*$F$17*E104/T104),2),ROUND(E104*$F$17*D105/T104,2))))</f>
        <v>25906.74</v>
      </c>
      <c r="H105" s="29">
        <f ca="1">IF(A104=$D$8,SUM($H$25:H104),IF(A104&gt;$D$8,"",F105+G105))</f>
        <v>42573.41</v>
      </c>
      <c r="I105" s="212" t="str">
        <f t="shared" si="40"/>
        <v/>
      </c>
      <c r="J105" s="212" t="str">
        <f t="shared" si="41"/>
        <v/>
      </c>
      <c r="K105" s="212"/>
      <c r="L105" s="212" t="str">
        <f t="shared" si="42"/>
        <v/>
      </c>
      <c r="M105" s="29" t="str">
        <f t="shared" si="37"/>
        <v/>
      </c>
      <c r="N105" s="29" t="str">
        <f t="shared" si="36"/>
        <v/>
      </c>
      <c r="O105" s="29"/>
      <c r="P105" s="217" t="str">
        <f>IF(A104=$D$8,XIRR(R$24:R104,C$24:C104),"")</f>
        <v/>
      </c>
      <c r="Q105" s="212" t="str">
        <f t="shared" si="35"/>
        <v/>
      </c>
      <c r="R105" s="29">
        <f t="shared" ca="1" si="31"/>
        <v>42573.41</v>
      </c>
      <c r="S105" s="22">
        <f t="shared" ca="1" si="32"/>
        <v>2028</v>
      </c>
      <c r="T105" s="22">
        <f t="shared" ca="1" si="33"/>
        <v>366</v>
      </c>
      <c r="U105" s="22">
        <f t="shared" ca="1" si="26"/>
        <v>12</v>
      </c>
      <c r="V105" s="23">
        <f t="shared" ca="1" si="27"/>
        <v>11</v>
      </c>
      <c r="W105" s="24">
        <f t="shared" ca="1" si="28"/>
        <v>20</v>
      </c>
    </row>
    <row r="106" spans="1:26" x14ac:dyDescent="0.35">
      <c r="A106" s="32">
        <f t="shared" si="34"/>
        <v>82</v>
      </c>
      <c r="B106" s="28">
        <f t="shared" ca="1" si="29"/>
        <v>46885</v>
      </c>
      <c r="C106" s="28">
        <f t="shared" ca="1" si="30"/>
        <v>46885</v>
      </c>
      <c r="D106" s="32">
        <f t="shared" ca="1" si="38"/>
        <v>30</v>
      </c>
      <c r="E106" s="29">
        <f t="shared" si="39"/>
        <v>2633333.0633333395</v>
      </c>
      <c r="F106" s="29">
        <f>IF(AND(A105="",A107=""),"",IF(A106="",ROUND(SUM($F$25:F105),2),IF(A106=$D$8,$E$24-ROUND(SUM($F$25:F105),2),ROUND($E$24/$D$8,2))))</f>
        <v>16666.669999999998</v>
      </c>
      <c r="G106" s="213">
        <f ca="1">IF(A105=$D$8,ROUND(SUM($G$25:G105),2),IF(A106&gt;$F$8,"",IF(T106&lt;&gt;T105,ROUND(SUM(V106*$F$17*E105/T106,W106*$F$17*E105/T105),2),ROUND(E105*$F$17*D106/T105,2))))</f>
        <v>24914.34</v>
      </c>
      <c r="H106" s="29">
        <f ca="1">IF(A105=$D$8,SUM($H$25:H105),IF(A105&gt;$D$8,"",F106+G106))</f>
        <v>41581.009999999995</v>
      </c>
      <c r="I106" s="212" t="str">
        <f t="shared" si="40"/>
        <v/>
      </c>
      <c r="J106" s="212" t="str">
        <f t="shared" si="41"/>
        <v/>
      </c>
      <c r="K106" s="212"/>
      <c r="L106" s="212" t="str">
        <f t="shared" si="42"/>
        <v/>
      </c>
      <c r="M106" s="29" t="str">
        <f t="shared" si="37"/>
        <v/>
      </c>
      <c r="N106" s="29" t="str">
        <f t="shared" si="36"/>
        <v/>
      </c>
      <c r="O106" s="29"/>
      <c r="P106" s="217" t="str">
        <f>IF(A105=$D$8,XIRR(R$24:R105,C$24:C105),"")</f>
        <v/>
      </c>
      <c r="Q106" s="212" t="str">
        <f t="shared" si="35"/>
        <v/>
      </c>
      <c r="R106" s="29">
        <f t="shared" ca="1" si="31"/>
        <v>41581.009999999995</v>
      </c>
      <c r="S106" s="22">
        <f t="shared" ca="1" si="32"/>
        <v>2028</v>
      </c>
      <c r="T106" s="22">
        <f t="shared" ca="1" si="33"/>
        <v>366</v>
      </c>
      <c r="U106" s="22">
        <f t="shared" ca="1" si="26"/>
        <v>12</v>
      </c>
      <c r="V106" s="23">
        <f t="shared" ca="1" si="27"/>
        <v>11</v>
      </c>
      <c r="W106" s="24">
        <f t="shared" ca="1" si="28"/>
        <v>19</v>
      </c>
    </row>
    <row r="107" spans="1:26" x14ac:dyDescent="0.35">
      <c r="A107" s="32">
        <f t="shared" si="34"/>
        <v>83</v>
      </c>
      <c r="B107" s="28">
        <f t="shared" ca="1" si="29"/>
        <v>46916</v>
      </c>
      <c r="C107" s="28">
        <f t="shared" ca="1" si="30"/>
        <v>46916</v>
      </c>
      <c r="D107" s="32">
        <f t="shared" ca="1" si="38"/>
        <v>31</v>
      </c>
      <c r="E107" s="29">
        <f t="shared" si="39"/>
        <v>2616666.3933333396</v>
      </c>
      <c r="F107" s="29">
        <f>IF(AND(A106="",A108=""),"",IF(A107="",ROUND(SUM($F$25:F106),2),IF(A107=$D$8,$E$24-ROUND(SUM($F$25:F106),2),ROUND($E$24/$D$8,2))))</f>
        <v>16666.669999999998</v>
      </c>
      <c r="G107" s="213">
        <f ca="1">IF(A106=$D$8,ROUND(SUM($G$25:G106),2),IF(A107&gt;$F$8,"",IF(T107&lt;&gt;T106,ROUND(SUM(V107*$F$17*E106/T107,W107*$F$17*E106/T106),2),ROUND(E106*$F$17*D107/T106,2))))</f>
        <v>25582.9</v>
      </c>
      <c r="H107" s="29">
        <f ca="1">IF(A106=$D$8,SUM($H$25:H106),IF(A106&gt;$D$8,"",F107+G107))</f>
        <v>42249.57</v>
      </c>
      <c r="I107" s="212" t="str">
        <f t="shared" si="40"/>
        <v/>
      </c>
      <c r="J107" s="212" t="str">
        <f t="shared" si="41"/>
        <v/>
      </c>
      <c r="K107" s="212"/>
      <c r="L107" s="212" t="str">
        <f t="shared" si="42"/>
        <v/>
      </c>
      <c r="M107" s="29" t="str">
        <f t="shared" si="37"/>
        <v/>
      </c>
      <c r="N107" s="29" t="str">
        <f t="shared" si="36"/>
        <v/>
      </c>
      <c r="O107" s="29"/>
      <c r="P107" s="217" t="str">
        <f>IF(A106=$D$8,XIRR(R$24:R106,C$24:C106),"")</f>
        <v/>
      </c>
      <c r="Q107" s="212" t="str">
        <f t="shared" si="35"/>
        <v/>
      </c>
      <c r="R107" s="29">
        <f t="shared" ca="1" si="31"/>
        <v>42249.57</v>
      </c>
      <c r="S107" s="22">
        <f t="shared" ca="1" si="32"/>
        <v>2028</v>
      </c>
      <c r="T107" s="22">
        <f t="shared" ca="1" si="33"/>
        <v>366</v>
      </c>
      <c r="U107" s="22">
        <f t="shared" ca="1" si="26"/>
        <v>12</v>
      </c>
      <c r="V107" s="23">
        <f t="shared" ca="1" si="27"/>
        <v>11</v>
      </c>
      <c r="W107" s="24">
        <f t="shared" ca="1" si="28"/>
        <v>20</v>
      </c>
      <c r="Z107" s="73"/>
    </row>
    <row r="108" spans="1:26" x14ac:dyDescent="0.35">
      <c r="A108" s="32">
        <f t="shared" si="34"/>
        <v>84</v>
      </c>
      <c r="B108" s="28">
        <f t="shared" ca="1" si="29"/>
        <v>46946</v>
      </c>
      <c r="C108" s="28">
        <f ca="1">IF(B108=$D$10,B108-1,(IF(B108&gt;$D$10," ",B108)))</f>
        <v>46946</v>
      </c>
      <c r="D108" s="32">
        <f t="shared" ca="1" si="38"/>
        <v>30</v>
      </c>
      <c r="E108" s="29">
        <f t="shared" si="39"/>
        <v>2599999.7233333397</v>
      </c>
      <c r="F108" s="29">
        <f>IF(AND(A107="",A109=""),"",IF(A108="",ROUND(SUM($F$25:F107),2),IF(A108=$D$8,$E$24-ROUND(SUM($F$25:F107),2),ROUND($E$24/$D$8,2))))</f>
        <v>16666.669999999998</v>
      </c>
      <c r="G108" s="213">
        <f ca="1">IF(A107=$D$8,ROUND(SUM($G$25:G107),2),IF(A108&gt;$F$8,"",IF(T108&lt;&gt;T107,ROUND(SUM(V108*$F$17*E107/T108,W108*$F$17*E107/T107),2),ROUND(E107*$F$17*D108/T107,2))))</f>
        <v>24600.95</v>
      </c>
      <c r="H108" s="29">
        <f ca="1">IF(A107=$D$8,SUM($H$25:H107),IF(A107&gt;$D$8,"",F108+G108))</f>
        <v>41267.619999999995</v>
      </c>
      <c r="I108" s="212" t="str">
        <f t="shared" si="40"/>
        <v/>
      </c>
      <c r="J108" s="212" t="str">
        <f t="shared" si="41"/>
        <v/>
      </c>
      <c r="K108" s="212"/>
      <c r="L108" s="212" t="str">
        <f t="shared" si="42"/>
        <v/>
      </c>
      <c r="M108" s="29" t="str">
        <f t="shared" si="37"/>
        <v/>
      </c>
      <c r="N108" s="29" t="str">
        <f t="shared" si="36"/>
        <v/>
      </c>
      <c r="O108" s="29"/>
      <c r="P108" s="217" t="str">
        <f>IF(A107=$D$8,XIRR(R$24:R107,C$24:C107),"")</f>
        <v/>
      </c>
      <c r="Q108" s="212" t="str">
        <f t="shared" si="35"/>
        <v/>
      </c>
      <c r="R108" s="29">
        <f t="shared" ca="1" si="31"/>
        <v>41267.619999999995</v>
      </c>
      <c r="S108" s="22">
        <f t="shared" ca="1" si="32"/>
        <v>2028</v>
      </c>
      <c r="T108" s="22">
        <f t="shared" ca="1" si="33"/>
        <v>366</v>
      </c>
      <c r="U108" s="22">
        <f t="shared" ca="1" si="26"/>
        <v>12</v>
      </c>
      <c r="V108" s="23">
        <f t="shared" ca="1" si="27"/>
        <v>11</v>
      </c>
      <c r="W108" s="24">
        <f t="shared" ca="1" si="28"/>
        <v>19</v>
      </c>
    </row>
    <row r="109" spans="1:26" x14ac:dyDescent="0.35">
      <c r="A109" s="32">
        <f t="shared" si="34"/>
        <v>85</v>
      </c>
      <c r="B109" s="28">
        <f t="shared" ca="1" si="29"/>
        <v>46977</v>
      </c>
      <c r="C109" s="28">
        <f t="shared" ca="1" si="30"/>
        <v>46977</v>
      </c>
      <c r="D109" s="32">
        <f t="shared" ca="1" si="38"/>
        <v>31</v>
      </c>
      <c r="E109" s="29">
        <f t="shared" si="39"/>
        <v>2583333.0533333397</v>
      </c>
      <c r="F109" s="29">
        <f>IF(AND(A108="",A110=""),"",IF(A109="",ROUND(SUM($F$25:F108),2),IF(A109=$D$8,$E$24-ROUND(SUM($F$25:F108),2),ROUND($E$24/$D$8,2))))</f>
        <v>16666.669999999998</v>
      </c>
      <c r="G109" s="213">
        <f ca="1">IF(A108=$D$8,ROUND(SUM($G$25:G108),2),IF(A109&gt;$F$8,"",IF(T109&lt;&gt;T108,ROUND(SUM(V109*$F$17*E108/T109,W109*$F$17*E108/T108),2),ROUND(E108*$F$17*D109/T108,2))))</f>
        <v>25259.07</v>
      </c>
      <c r="H109" s="29">
        <f ca="1">IF(A108=$D$8,SUM($H$25:H108),IF(A108&gt;$D$8,"",F109+G109))</f>
        <v>41925.74</v>
      </c>
      <c r="I109" s="212" t="str">
        <f t="shared" si="40"/>
        <v/>
      </c>
      <c r="J109" s="212" t="str">
        <f t="shared" si="41"/>
        <v/>
      </c>
      <c r="K109" s="212">
        <f>IF($F$8&gt;84,($O$8+$O$10),IF($A$108=$F$8,$K$37+$K$24+$K$49+$K$61+$K$73+$K$85+$K$97,""))</f>
        <v>17100</v>
      </c>
      <c r="L109" s="212" t="str">
        <f t="shared" si="42"/>
        <v/>
      </c>
      <c r="M109" s="29" t="str">
        <f t="shared" si="37"/>
        <v/>
      </c>
      <c r="N109" s="29" t="str">
        <f t="shared" si="36"/>
        <v/>
      </c>
      <c r="O109" s="29"/>
      <c r="P109" s="217" t="str">
        <f>IF(A108=$D$8,XIRR(R$24:R108,C$24:C108),"")</f>
        <v/>
      </c>
      <c r="Q109" s="212" t="str">
        <f t="shared" si="35"/>
        <v/>
      </c>
      <c r="R109" s="29">
        <f t="shared" ca="1" si="31"/>
        <v>59025.74</v>
      </c>
      <c r="S109" s="22">
        <f t="shared" ca="1" si="32"/>
        <v>2028</v>
      </c>
      <c r="T109" s="22">
        <f t="shared" ca="1" si="33"/>
        <v>366</v>
      </c>
      <c r="U109" s="22">
        <f t="shared" ref="U109:U172" ca="1" si="43">IF(C109="","",DAY(C109))</f>
        <v>12</v>
      </c>
      <c r="V109" s="23">
        <f t="shared" ref="V109:V172" ca="1" si="44">U109-1</f>
        <v>11</v>
      </c>
      <c r="W109" s="24">
        <f t="shared" ca="1" si="28"/>
        <v>20</v>
      </c>
    </row>
    <row r="110" spans="1:26" x14ac:dyDescent="0.35">
      <c r="A110" s="32">
        <f t="shared" si="34"/>
        <v>86</v>
      </c>
      <c r="B110" s="28">
        <f t="shared" ca="1" si="29"/>
        <v>47008</v>
      </c>
      <c r="C110" s="28">
        <f t="shared" ca="1" si="30"/>
        <v>47008</v>
      </c>
      <c r="D110" s="32">
        <f t="shared" ca="1" si="38"/>
        <v>31</v>
      </c>
      <c r="E110" s="29">
        <f t="shared" si="39"/>
        <v>2566666.3833333398</v>
      </c>
      <c r="F110" s="29">
        <f>IF(AND(A109="",A111=""),"",IF(A110="",ROUND(SUM($F$25:F109),2),IF(A110=$D$8,$E$24-ROUND(SUM($F$25:F109),2),ROUND($E$24/$D$8,2))))</f>
        <v>16666.669999999998</v>
      </c>
      <c r="G110" s="213">
        <f ca="1">IF(A109=$D$8,ROUND(SUM($G$25:G109),2),IF(A110&gt;$F$8,"",IF(T110&lt;&gt;T109,ROUND(SUM(V110*$F$17*E109/T110,W110*$F$17*E109/T109),2),ROUND(E109*$F$17*D110/T109,2))))</f>
        <v>25097.15</v>
      </c>
      <c r="H110" s="29">
        <f ca="1">IF(A109=$D$8,SUM($H$25:H109),IF(A109&gt;$D$8,"",F110+G110))</f>
        <v>41763.82</v>
      </c>
      <c r="I110" s="212" t="str">
        <f t="shared" si="40"/>
        <v/>
      </c>
      <c r="J110" s="212" t="str">
        <f t="shared" si="41"/>
        <v/>
      </c>
      <c r="K110" s="212"/>
      <c r="L110" s="212" t="str">
        <f t="shared" si="42"/>
        <v/>
      </c>
      <c r="M110" s="29" t="str">
        <f t="shared" si="37"/>
        <v/>
      </c>
      <c r="N110" s="29" t="str">
        <f t="shared" si="36"/>
        <v/>
      </c>
      <c r="O110" s="22"/>
      <c r="P110" s="217" t="str">
        <f>IF(A109=$D$8,XIRR(R$24:R109,C$24:C109),"")</f>
        <v/>
      </c>
      <c r="Q110" s="212" t="str">
        <f t="shared" si="35"/>
        <v/>
      </c>
      <c r="R110" s="29">
        <f t="shared" ca="1" si="31"/>
        <v>41763.82</v>
      </c>
      <c r="S110" s="22">
        <f t="shared" ca="1" si="32"/>
        <v>2028</v>
      </c>
      <c r="T110" s="22">
        <f t="shared" ca="1" si="33"/>
        <v>366</v>
      </c>
      <c r="U110" s="22">
        <f t="shared" ca="1" si="43"/>
        <v>12</v>
      </c>
      <c r="V110" s="23">
        <f t="shared" ca="1" si="44"/>
        <v>11</v>
      </c>
      <c r="W110" s="24">
        <f t="shared" ca="1" si="28"/>
        <v>20</v>
      </c>
    </row>
    <row r="111" spans="1:26" x14ac:dyDescent="0.35">
      <c r="A111" s="32">
        <f t="shared" si="34"/>
        <v>87</v>
      </c>
      <c r="B111" s="28">
        <f t="shared" ca="1" si="29"/>
        <v>47038</v>
      </c>
      <c r="C111" s="28">
        <f t="shared" ca="1" si="30"/>
        <v>47038</v>
      </c>
      <c r="D111" s="32">
        <f t="shared" ca="1" si="38"/>
        <v>30</v>
      </c>
      <c r="E111" s="29">
        <f t="shared" si="39"/>
        <v>2549999.7133333399</v>
      </c>
      <c r="F111" s="29">
        <f>IF(AND(A110="",A112=""),"",IF(A111="",ROUND(SUM($F$25:F110),2),IF(A111=$D$8,$E$24-ROUND(SUM($F$25:F110),2),ROUND($E$24/$D$8,2))))</f>
        <v>16666.669999999998</v>
      </c>
      <c r="G111" s="213">
        <f ca="1">IF(A110=$D$8,ROUND(SUM($G$25:G110),2),IF(A111&gt;$F$8,"",IF(T111&lt;&gt;T110,ROUND(SUM(V111*$F$17*E110/T111,W111*$F$17*E110/T110),2),ROUND(E110*$F$17*D111/T110,2))))</f>
        <v>24130.87</v>
      </c>
      <c r="H111" s="29">
        <f ca="1">IF(A110=$D$8,SUM($H$25:H110),IF(A110&gt;$D$8,"",F111+G111))</f>
        <v>40797.539999999994</v>
      </c>
      <c r="I111" s="212" t="str">
        <f t="shared" si="40"/>
        <v/>
      </c>
      <c r="J111" s="212" t="str">
        <f t="shared" si="41"/>
        <v/>
      </c>
      <c r="K111" s="212"/>
      <c r="L111" s="212" t="str">
        <f t="shared" si="42"/>
        <v/>
      </c>
      <c r="M111" s="29" t="str">
        <f t="shared" si="37"/>
        <v/>
      </c>
      <c r="N111" s="29" t="str">
        <f t="shared" si="36"/>
        <v/>
      </c>
      <c r="O111" s="22"/>
      <c r="P111" s="217" t="str">
        <f>IF(A110=$D$8,XIRR(R$24:R110,C$24:C110),"")</f>
        <v/>
      </c>
      <c r="Q111" s="212" t="str">
        <f t="shared" si="35"/>
        <v/>
      </c>
      <c r="R111" s="29">
        <f t="shared" ca="1" si="31"/>
        <v>40797.539999999994</v>
      </c>
      <c r="S111" s="22">
        <f t="shared" ca="1" si="32"/>
        <v>2028</v>
      </c>
      <c r="T111" s="22">
        <f t="shared" ca="1" si="33"/>
        <v>366</v>
      </c>
      <c r="U111" s="22">
        <f t="shared" ca="1" si="43"/>
        <v>12</v>
      </c>
      <c r="V111" s="23">
        <f t="shared" ca="1" si="44"/>
        <v>11</v>
      </c>
      <c r="W111" s="24">
        <f t="shared" ca="1" si="28"/>
        <v>19</v>
      </c>
    </row>
    <row r="112" spans="1:26" x14ac:dyDescent="0.35">
      <c r="A112" s="32">
        <f t="shared" si="34"/>
        <v>88</v>
      </c>
      <c r="B112" s="28">
        <f t="shared" ca="1" si="29"/>
        <v>47069</v>
      </c>
      <c r="C112" s="28">
        <f t="shared" ca="1" si="30"/>
        <v>47069</v>
      </c>
      <c r="D112" s="32">
        <f t="shared" ca="1" si="38"/>
        <v>31</v>
      </c>
      <c r="E112" s="29">
        <f t="shared" si="39"/>
        <v>2533333.04333334</v>
      </c>
      <c r="F112" s="29">
        <f>IF(AND(A111="",A113=""),"",IF(A112="",ROUND(SUM($F$25:F111),2),IF(A112=$D$8,$E$24-ROUND(SUM($F$25:F111),2),ROUND($E$24/$D$8,2))))</f>
        <v>16666.669999999998</v>
      </c>
      <c r="G112" s="213">
        <f ca="1">IF(A111=$D$8,ROUND(SUM($G$25:G111),2),IF(A112&gt;$F$8,"",IF(T112&lt;&gt;T111,ROUND(SUM(V112*$F$17*E111/T112,W112*$F$17*E111/T111),2),ROUND(E111*$F$17*D112/T111,2))))</f>
        <v>24773.32</v>
      </c>
      <c r="H112" s="29">
        <f ca="1">IF(A111=$D$8,SUM($H$25:H111),IF(A111&gt;$D$8,"",F112+G112))</f>
        <v>41439.99</v>
      </c>
      <c r="I112" s="212" t="str">
        <f t="shared" si="40"/>
        <v/>
      </c>
      <c r="J112" s="212" t="str">
        <f t="shared" si="41"/>
        <v/>
      </c>
      <c r="K112" s="212"/>
      <c r="L112" s="212" t="str">
        <f t="shared" si="42"/>
        <v/>
      </c>
      <c r="M112" s="29" t="str">
        <f t="shared" si="37"/>
        <v/>
      </c>
      <c r="N112" s="29" t="str">
        <f t="shared" si="36"/>
        <v/>
      </c>
      <c r="O112" s="22"/>
      <c r="P112" s="217" t="str">
        <f>IF(A111=$D$8,XIRR(R$24:R111,C$24:C111),"")</f>
        <v/>
      </c>
      <c r="Q112" s="212" t="str">
        <f t="shared" si="35"/>
        <v/>
      </c>
      <c r="R112" s="29">
        <f t="shared" ca="1" si="31"/>
        <v>41439.99</v>
      </c>
      <c r="S112" s="22">
        <f t="shared" ca="1" si="32"/>
        <v>2028</v>
      </c>
      <c r="T112" s="22">
        <f t="shared" ca="1" si="33"/>
        <v>366</v>
      </c>
      <c r="U112" s="22">
        <f t="shared" ca="1" si="43"/>
        <v>12</v>
      </c>
      <c r="V112" s="23">
        <f t="shared" ca="1" si="44"/>
        <v>11</v>
      </c>
      <c r="W112" s="24">
        <f t="shared" ca="1" si="28"/>
        <v>20</v>
      </c>
    </row>
    <row r="113" spans="1:23" x14ac:dyDescent="0.35">
      <c r="A113" s="32">
        <f t="shared" si="34"/>
        <v>89</v>
      </c>
      <c r="B113" s="28">
        <f t="shared" ca="1" si="29"/>
        <v>47099</v>
      </c>
      <c r="C113" s="28">
        <f t="shared" ca="1" si="30"/>
        <v>47099</v>
      </c>
      <c r="D113" s="32">
        <f t="shared" ca="1" si="38"/>
        <v>30</v>
      </c>
      <c r="E113" s="29">
        <f t="shared" si="39"/>
        <v>2516666.37333334</v>
      </c>
      <c r="F113" s="29">
        <f>IF(AND(A112="",A114=""),"",IF(A113="",ROUND(SUM($F$25:F112),2),IF(A113=$D$8,$E$24-ROUND(SUM($F$25:F112),2),ROUND($E$24/$D$8,2))))</f>
        <v>16666.669999999998</v>
      </c>
      <c r="G113" s="213">
        <f ca="1">IF(A112=$D$8,ROUND(SUM($G$25:G112),2),IF(A113&gt;$F$8,"",IF(T113&lt;&gt;T112,ROUND(SUM(V113*$F$17*E112/T113,W113*$F$17*E112/T112),2),ROUND(E112*$F$17*D113/T112,2))))</f>
        <v>23817.48</v>
      </c>
      <c r="H113" s="29">
        <f ca="1">IF(A112=$D$8,SUM($H$25:H112),IF(A112&gt;$D$8,"",F113+G113))</f>
        <v>40484.149999999994</v>
      </c>
      <c r="I113" s="212" t="str">
        <f t="shared" si="40"/>
        <v/>
      </c>
      <c r="J113" s="212" t="str">
        <f t="shared" si="41"/>
        <v/>
      </c>
      <c r="K113" s="212"/>
      <c r="L113" s="212" t="str">
        <f t="shared" si="42"/>
        <v/>
      </c>
      <c r="M113" s="29" t="str">
        <f t="shared" si="37"/>
        <v/>
      </c>
      <c r="N113" s="29" t="str">
        <f t="shared" si="36"/>
        <v/>
      </c>
      <c r="O113" s="22"/>
      <c r="P113" s="217" t="str">
        <f>IF(A112=$D$8,XIRR(R$24:R112,C$24:C112),"")</f>
        <v/>
      </c>
      <c r="Q113" s="212" t="str">
        <f t="shared" si="35"/>
        <v/>
      </c>
      <c r="R113" s="29">
        <f t="shared" ca="1" si="31"/>
        <v>40484.149999999994</v>
      </c>
      <c r="S113" s="22">
        <f t="shared" ca="1" si="32"/>
        <v>2028</v>
      </c>
      <c r="T113" s="22">
        <f t="shared" ca="1" si="33"/>
        <v>366</v>
      </c>
      <c r="U113" s="22">
        <f t="shared" ca="1" si="43"/>
        <v>12</v>
      </c>
      <c r="V113" s="23">
        <f t="shared" ca="1" si="44"/>
        <v>11</v>
      </c>
      <c r="W113" s="24">
        <f t="shared" ca="1" si="28"/>
        <v>19</v>
      </c>
    </row>
    <row r="114" spans="1:23" x14ac:dyDescent="0.35">
      <c r="A114" s="32">
        <f t="shared" si="34"/>
        <v>90</v>
      </c>
      <c r="B114" s="28">
        <f t="shared" ca="1" si="29"/>
        <v>47130</v>
      </c>
      <c r="C114" s="28">
        <f t="shared" ca="1" si="30"/>
        <v>47130</v>
      </c>
      <c r="D114" s="32">
        <f t="shared" ca="1" si="38"/>
        <v>31</v>
      </c>
      <c r="E114" s="29">
        <f t="shared" si="39"/>
        <v>2499999.7033333401</v>
      </c>
      <c r="F114" s="29">
        <f>IF(AND(A113="",A115=""),"",IF(A114="",ROUND(SUM($F$25:F113),2),IF(A114=$D$8,$E$24-ROUND(SUM($F$25:F113),2),ROUND($E$24/$D$8,2))))</f>
        <v>16666.669999999998</v>
      </c>
      <c r="G114" s="213">
        <f ca="1">IF(A113=$D$8,ROUND(SUM($G$25:G113),2),IF(A114&gt;$F$8,"",IF(T114&lt;&gt;T113,ROUND(SUM(V114*$F$17*E113/T114,W114*$F$17*E113/T113),2),ROUND(E113*$F$17*D114/T113,2))))</f>
        <v>24473.25</v>
      </c>
      <c r="H114" s="29">
        <f ca="1">IF(A113=$D$8,SUM($H$25:H113),IF(A113&gt;$D$8,"",F114+G114))</f>
        <v>41139.919999999998</v>
      </c>
      <c r="I114" s="212" t="str">
        <f t="shared" si="40"/>
        <v/>
      </c>
      <c r="J114" s="212" t="str">
        <f t="shared" si="41"/>
        <v/>
      </c>
      <c r="K114" s="212"/>
      <c r="L114" s="212" t="str">
        <f t="shared" si="42"/>
        <v/>
      </c>
      <c r="M114" s="29" t="str">
        <f t="shared" si="37"/>
        <v/>
      </c>
      <c r="N114" s="29" t="str">
        <f t="shared" si="36"/>
        <v/>
      </c>
      <c r="O114" s="22"/>
      <c r="P114" s="217" t="str">
        <f>IF(A113=$D$8,XIRR(R$24:R113,C$24:C113),"")</f>
        <v/>
      </c>
      <c r="Q114" s="212" t="str">
        <f t="shared" si="35"/>
        <v/>
      </c>
      <c r="R114" s="29">
        <f t="shared" ca="1" si="31"/>
        <v>41139.919999999998</v>
      </c>
      <c r="S114" s="22">
        <f t="shared" ca="1" si="32"/>
        <v>2029</v>
      </c>
      <c r="T114" s="22">
        <f t="shared" ca="1" si="33"/>
        <v>365</v>
      </c>
      <c r="U114" s="22">
        <f t="shared" ca="1" si="43"/>
        <v>12</v>
      </c>
      <c r="V114" s="23">
        <f t="shared" ca="1" si="44"/>
        <v>11</v>
      </c>
      <c r="W114" s="24">
        <f t="shared" ca="1" si="28"/>
        <v>20</v>
      </c>
    </row>
    <row r="115" spans="1:23" x14ac:dyDescent="0.35">
      <c r="A115" s="32">
        <f t="shared" si="34"/>
        <v>91</v>
      </c>
      <c r="B115" s="28">
        <f t="shared" ca="1" si="29"/>
        <v>47161</v>
      </c>
      <c r="C115" s="28">
        <f t="shared" ca="1" si="30"/>
        <v>47161</v>
      </c>
      <c r="D115" s="32">
        <f t="shared" ca="1" si="38"/>
        <v>31</v>
      </c>
      <c r="E115" s="29">
        <f t="shared" si="39"/>
        <v>2483333.0333333402</v>
      </c>
      <c r="F115" s="29">
        <f>IF(AND(A114="",A116=""),"",IF(A115="",ROUND(SUM($F$25:F114),2),IF(A115=$D$8,$E$24-ROUND(SUM($F$25:F114),2),ROUND($E$24/$D$8,2))))</f>
        <v>16666.669999999998</v>
      </c>
      <c r="G115" s="213">
        <f ca="1">IF(A114=$D$8,ROUND(SUM($G$25:G114),2),IF(A115&gt;$F$8,"",IF(T115&lt;&gt;T114,ROUND(SUM(V115*$F$17*E114/T115,W115*$F$17*E114/T114),2),ROUND(E114*$F$17*D115/T114,2))))</f>
        <v>24354.11</v>
      </c>
      <c r="H115" s="29">
        <f ca="1">IF(A114=$D$8,SUM($H$25:H114),IF(A114&gt;$D$8,"",F115+G115))</f>
        <v>41020.78</v>
      </c>
      <c r="I115" s="212" t="str">
        <f t="shared" si="40"/>
        <v/>
      </c>
      <c r="J115" s="212" t="str">
        <f t="shared" si="41"/>
        <v/>
      </c>
      <c r="K115" s="212"/>
      <c r="L115" s="212" t="str">
        <f t="shared" si="42"/>
        <v/>
      </c>
      <c r="M115" s="29" t="str">
        <f t="shared" si="37"/>
        <v/>
      </c>
      <c r="N115" s="29" t="str">
        <f t="shared" si="36"/>
        <v/>
      </c>
      <c r="O115" s="22"/>
      <c r="P115" s="217" t="str">
        <f>IF(A114=$D$8,XIRR(R$24:R114,C$24:C114),"")</f>
        <v/>
      </c>
      <c r="Q115" s="212" t="str">
        <f t="shared" si="35"/>
        <v/>
      </c>
      <c r="R115" s="29">
        <f t="shared" ca="1" si="31"/>
        <v>41020.78</v>
      </c>
      <c r="S115" s="22">
        <f t="shared" ca="1" si="32"/>
        <v>2029</v>
      </c>
      <c r="T115" s="22">
        <f t="shared" ca="1" si="33"/>
        <v>365</v>
      </c>
      <c r="U115" s="22">
        <f t="shared" ca="1" si="43"/>
        <v>12</v>
      </c>
      <c r="V115" s="23">
        <f t="shared" ca="1" si="44"/>
        <v>11</v>
      </c>
      <c r="W115" s="24">
        <f t="shared" ca="1" si="28"/>
        <v>20</v>
      </c>
    </row>
    <row r="116" spans="1:23" x14ac:dyDescent="0.35">
      <c r="A116" s="32">
        <f t="shared" si="34"/>
        <v>92</v>
      </c>
      <c r="B116" s="28">
        <f t="shared" ca="1" si="29"/>
        <v>47189</v>
      </c>
      <c r="C116" s="28">
        <f t="shared" ca="1" si="30"/>
        <v>47189</v>
      </c>
      <c r="D116" s="32">
        <f t="shared" ca="1" si="38"/>
        <v>28</v>
      </c>
      <c r="E116" s="29">
        <f t="shared" si="39"/>
        <v>2466666.3633333403</v>
      </c>
      <c r="F116" s="29">
        <f>IF(AND(A115="",A117=""),"",IF(A116="",ROUND(SUM($F$25:F115),2),IF(A116=$D$8,$E$24-ROUND(SUM($F$25:F115),2),ROUND($E$24/$D$8,2))))</f>
        <v>16666.669999999998</v>
      </c>
      <c r="G116" s="213">
        <f ca="1">IF(A115=$D$8,ROUND(SUM($G$25:G115),2),IF(A116&gt;$F$8,"",IF(T116&lt;&gt;T115,ROUND(SUM(V116*$F$17*E115/T116,W116*$F$17*E115/T115),2),ROUND(E115*$F$17*D116/T115,2))))</f>
        <v>21850.61</v>
      </c>
      <c r="H116" s="29">
        <f ca="1">IF(A115=$D$8,SUM($H$25:H115),IF(A115&gt;$D$8,"",F116+G116))</f>
        <v>38517.279999999999</v>
      </c>
      <c r="I116" s="212" t="str">
        <f t="shared" si="40"/>
        <v/>
      </c>
      <c r="J116" s="212" t="str">
        <f t="shared" si="41"/>
        <v/>
      </c>
      <c r="K116" s="212"/>
      <c r="L116" s="212" t="str">
        <f t="shared" si="42"/>
        <v/>
      </c>
      <c r="M116" s="29" t="str">
        <f t="shared" si="37"/>
        <v/>
      </c>
      <c r="N116" s="29" t="str">
        <f t="shared" si="36"/>
        <v/>
      </c>
      <c r="O116" s="22"/>
      <c r="P116" s="217" t="str">
        <f>IF(A115=$D$8,XIRR(R$24:R115,C$24:C115),"")</f>
        <v/>
      </c>
      <c r="Q116" s="212" t="str">
        <f t="shared" si="35"/>
        <v/>
      </c>
      <c r="R116" s="29">
        <f t="shared" ca="1" si="31"/>
        <v>38517.279999999999</v>
      </c>
      <c r="S116" s="22">
        <f t="shared" ca="1" si="32"/>
        <v>2029</v>
      </c>
      <c r="T116" s="22">
        <f t="shared" ca="1" si="33"/>
        <v>365</v>
      </c>
      <c r="U116" s="22">
        <f t="shared" ca="1" si="43"/>
        <v>12</v>
      </c>
      <c r="V116" s="23">
        <f t="shared" ca="1" si="44"/>
        <v>11</v>
      </c>
      <c r="W116" s="24">
        <f t="shared" ca="1" si="28"/>
        <v>17</v>
      </c>
    </row>
    <row r="117" spans="1:23" x14ac:dyDescent="0.35">
      <c r="A117" s="32">
        <f t="shared" si="34"/>
        <v>93</v>
      </c>
      <c r="B117" s="28">
        <f t="shared" ca="1" si="29"/>
        <v>47220</v>
      </c>
      <c r="C117" s="28">
        <f t="shared" ca="1" si="30"/>
        <v>47220</v>
      </c>
      <c r="D117" s="32">
        <f t="shared" ca="1" si="38"/>
        <v>31</v>
      </c>
      <c r="E117" s="29">
        <f t="shared" si="39"/>
        <v>2449999.6933333403</v>
      </c>
      <c r="F117" s="29">
        <f>IF(AND(A116="",A118=""),"",IF(A117="",ROUND(SUM($F$25:F116),2),IF(A117=$D$8,$E$24-ROUND(SUM($F$25:F116),2),ROUND($E$24/$D$8,2))))</f>
        <v>16666.669999999998</v>
      </c>
      <c r="G117" s="213">
        <f ca="1">IF(A116=$D$8,ROUND(SUM($G$25:G116),2),IF(A117&gt;$F$8,"",IF(T117&lt;&gt;T116,ROUND(SUM(V117*$F$17*E116/T117,W117*$F$17*E116/T116),2),ROUND(E116*$F$17*D117/T116,2))))</f>
        <v>24029.39</v>
      </c>
      <c r="H117" s="29">
        <f ca="1">IF(A116=$D$8,SUM($H$25:H116),IF(A116&gt;$D$8,"",F117+G117))</f>
        <v>40696.06</v>
      </c>
      <c r="I117" s="212" t="str">
        <f t="shared" si="40"/>
        <v/>
      </c>
      <c r="J117" s="212" t="str">
        <f t="shared" si="41"/>
        <v/>
      </c>
      <c r="K117" s="212"/>
      <c r="L117" s="212" t="str">
        <f t="shared" si="42"/>
        <v/>
      </c>
      <c r="M117" s="29" t="str">
        <f t="shared" si="37"/>
        <v/>
      </c>
      <c r="N117" s="29" t="str">
        <f t="shared" si="36"/>
        <v/>
      </c>
      <c r="O117" s="22"/>
      <c r="P117" s="217" t="str">
        <f>IF(A116=$D$8,XIRR(R$24:R116,C$24:C116),"")</f>
        <v/>
      </c>
      <c r="Q117" s="212" t="str">
        <f t="shared" si="35"/>
        <v/>
      </c>
      <c r="R117" s="29">
        <f t="shared" ca="1" si="31"/>
        <v>40696.06</v>
      </c>
      <c r="S117" s="22">
        <f t="shared" ca="1" si="32"/>
        <v>2029</v>
      </c>
      <c r="T117" s="22">
        <f t="shared" ca="1" si="33"/>
        <v>365</v>
      </c>
      <c r="U117" s="22">
        <f t="shared" ca="1" si="43"/>
        <v>12</v>
      </c>
      <c r="V117" s="23">
        <f t="shared" ca="1" si="44"/>
        <v>11</v>
      </c>
      <c r="W117" s="24">
        <f t="shared" ca="1" si="28"/>
        <v>20</v>
      </c>
    </row>
    <row r="118" spans="1:23" x14ac:dyDescent="0.35">
      <c r="A118" s="32">
        <f t="shared" si="34"/>
        <v>94</v>
      </c>
      <c r="B118" s="28">
        <f t="shared" ca="1" si="29"/>
        <v>47250</v>
      </c>
      <c r="C118" s="28">
        <f t="shared" ca="1" si="30"/>
        <v>47250</v>
      </c>
      <c r="D118" s="32">
        <f t="shared" ca="1" si="38"/>
        <v>30</v>
      </c>
      <c r="E118" s="29">
        <f t="shared" si="39"/>
        <v>2433333.0233333404</v>
      </c>
      <c r="F118" s="29">
        <f>IF(AND(A117="",A119=""),"",IF(A118="",ROUND(SUM($F$25:F117),2),IF(A118=$D$8,$E$24-ROUND(SUM($F$25:F117),2),ROUND($E$24/$D$8,2))))</f>
        <v>16666.669999999998</v>
      </c>
      <c r="G118" s="213">
        <f ca="1">IF(A117=$D$8,ROUND(SUM($G$25:G117),2),IF(A118&gt;$F$8,"",IF(T118&lt;&gt;T117,ROUND(SUM(V118*$F$17*E117/T118,W118*$F$17*E117/T117),2),ROUND(E117*$F$17*D118/T117,2))))</f>
        <v>23097.119999999999</v>
      </c>
      <c r="H118" s="29">
        <f ca="1">IF(A117=$D$8,SUM($H$25:H117),IF(A117&gt;$D$8,"",F118+G118))</f>
        <v>39763.789999999994</v>
      </c>
      <c r="I118" s="212" t="str">
        <f t="shared" si="40"/>
        <v/>
      </c>
      <c r="J118" s="212" t="str">
        <f t="shared" si="41"/>
        <v/>
      </c>
      <c r="K118" s="212"/>
      <c r="L118" s="212" t="str">
        <f t="shared" si="42"/>
        <v/>
      </c>
      <c r="M118" s="29" t="str">
        <f t="shared" si="37"/>
        <v/>
      </c>
      <c r="N118" s="29" t="str">
        <f t="shared" si="36"/>
        <v/>
      </c>
      <c r="O118" s="22"/>
      <c r="P118" s="217" t="str">
        <f>IF(A117=$D$8,XIRR(R$24:R117,C$24:C117),"")</f>
        <v/>
      </c>
      <c r="Q118" s="212" t="str">
        <f t="shared" si="35"/>
        <v/>
      </c>
      <c r="R118" s="29">
        <f t="shared" ca="1" si="31"/>
        <v>39763.789999999994</v>
      </c>
      <c r="S118" s="22">
        <f t="shared" ca="1" si="32"/>
        <v>2029</v>
      </c>
      <c r="T118" s="22">
        <f t="shared" ca="1" si="33"/>
        <v>365</v>
      </c>
      <c r="U118" s="22">
        <f t="shared" ca="1" si="43"/>
        <v>12</v>
      </c>
      <c r="V118" s="23">
        <f t="shared" ca="1" si="44"/>
        <v>11</v>
      </c>
      <c r="W118" s="24">
        <f t="shared" ca="1" si="28"/>
        <v>19</v>
      </c>
    </row>
    <row r="119" spans="1:23" x14ac:dyDescent="0.35">
      <c r="A119" s="32">
        <f t="shared" si="34"/>
        <v>95</v>
      </c>
      <c r="B119" s="28">
        <f t="shared" ca="1" si="29"/>
        <v>47281</v>
      </c>
      <c r="C119" s="28">
        <f t="shared" ca="1" si="30"/>
        <v>47281</v>
      </c>
      <c r="D119" s="32">
        <f t="shared" ca="1" si="38"/>
        <v>31</v>
      </c>
      <c r="E119" s="29">
        <f t="shared" si="39"/>
        <v>2416666.3533333405</v>
      </c>
      <c r="F119" s="29">
        <f>IF(AND(A118="",A120=""),"",IF(A119="",ROUND(SUM($F$25:F118),2),IF(A119=$D$8,$E$24-ROUND(SUM($F$25:F118),2),ROUND($E$24/$D$8,2))))</f>
        <v>16666.669999999998</v>
      </c>
      <c r="G119" s="213">
        <f ca="1">IF(A118=$D$8,ROUND(SUM($G$25:G118),2),IF(A119&gt;$F$8,"",IF(T119&lt;&gt;T118,ROUND(SUM(V119*$F$17*E118/T119,W119*$F$17*E118/T118),2),ROUND(E118*$F$17*D119/T118,2))))</f>
        <v>23704.66</v>
      </c>
      <c r="H119" s="29">
        <f ca="1">IF(A118=$D$8,SUM($H$25:H118),IF(A118&gt;$D$8,"",F119+G119))</f>
        <v>40371.33</v>
      </c>
      <c r="I119" s="212" t="str">
        <f t="shared" si="40"/>
        <v/>
      </c>
      <c r="J119" s="212" t="str">
        <f t="shared" si="41"/>
        <v/>
      </c>
      <c r="K119" s="212"/>
      <c r="L119" s="212" t="str">
        <f t="shared" si="42"/>
        <v/>
      </c>
      <c r="M119" s="29" t="str">
        <f t="shared" si="37"/>
        <v/>
      </c>
      <c r="N119" s="29" t="str">
        <f t="shared" si="36"/>
        <v/>
      </c>
      <c r="O119" s="22"/>
      <c r="P119" s="217" t="str">
        <f>IF(A118=$D$8,XIRR(R$24:R118,C$24:C118),"")</f>
        <v/>
      </c>
      <c r="Q119" s="212" t="str">
        <f t="shared" si="35"/>
        <v/>
      </c>
      <c r="R119" s="29">
        <f t="shared" ca="1" si="31"/>
        <v>40371.33</v>
      </c>
      <c r="S119" s="22">
        <f t="shared" ca="1" si="32"/>
        <v>2029</v>
      </c>
      <c r="T119" s="22">
        <f t="shared" ca="1" si="33"/>
        <v>365</v>
      </c>
      <c r="U119" s="22">
        <f t="shared" ca="1" si="43"/>
        <v>12</v>
      </c>
      <c r="V119" s="23">
        <f t="shared" ca="1" si="44"/>
        <v>11</v>
      </c>
      <c r="W119" s="24">
        <f t="shared" ca="1" si="28"/>
        <v>20</v>
      </c>
    </row>
    <row r="120" spans="1:23" x14ac:dyDescent="0.35">
      <c r="A120" s="32">
        <f t="shared" si="34"/>
        <v>96</v>
      </c>
      <c r="B120" s="28">
        <f t="shared" ca="1" si="29"/>
        <v>47311</v>
      </c>
      <c r="C120" s="28">
        <f t="shared" ca="1" si="30"/>
        <v>47311</v>
      </c>
      <c r="D120" s="32">
        <f t="shared" ca="1" si="38"/>
        <v>30</v>
      </c>
      <c r="E120" s="29">
        <f t="shared" si="39"/>
        <v>2399999.6833333406</v>
      </c>
      <c r="F120" s="29">
        <f>IF(AND(A119="",A121=""),"",IF(A120="",ROUND(SUM($F$25:F119),2),IF(A120=$D$8,$E$24-ROUND(SUM($F$25:F119),2),ROUND($E$24/$D$8,2))))</f>
        <v>16666.669999999998</v>
      </c>
      <c r="G120" s="213">
        <f ca="1">IF(A119=$D$8,ROUND(SUM($G$25:G119),2),IF(A120&gt;$F$8,"",IF(T120&lt;&gt;T119,ROUND(SUM(V120*$F$17*E119/T120,W120*$F$17*E119/T119),2),ROUND(E119*$F$17*D120/T119,2))))</f>
        <v>22782.87</v>
      </c>
      <c r="H120" s="29">
        <f ca="1">IF(A119=$D$8,SUM($H$25:H119),IF(A119&gt;$D$8,"",F120+G120))</f>
        <v>39449.539999999994</v>
      </c>
      <c r="I120" s="212" t="str">
        <f t="shared" si="40"/>
        <v/>
      </c>
      <c r="J120" s="212" t="str">
        <f t="shared" si="41"/>
        <v/>
      </c>
      <c r="K120" s="212"/>
      <c r="L120" s="212" t="str">
        <f t="shared" si="42"/>
        <v/>
      </c>
      <c r="M120" s="29" t="str">
        <f t="shared" si="37"/>
        <v/>
      </c>
      <c r="N120" s="29" t="str">
        <f t="shared" si="36"/>
        <v/>
      </c>
      <c r="O120" s="22"/>
      <c r="P120" s="217" t="str">
        <f>IF(A119=$D$8,XIRR(R$24:R119,C$24:C119),"")</f>
        <v/>
      </c>
      <c r="Q120" s="212" t="str">
        <f t="shared" si="35"/>
        <v/>
      </c>
      <c r="R120" s="29">
        <f t="shared" ca="1" si="31"/>
        <v>39449.539999999994</v>
      </c>
      <c r="S120" s="22">
        <f t="shared" ca="1" si="32"/>
        <v>2029</v>
      </c>
      <c r="T120" s="22">
        <f t="shared" ca="1" si="33"/>
        <v>365</v>
      </c>
      <c r="U120" s="22">
        <f t="shared" ca="1" si="43"/>
        <v>12</v>
      </c>
      <c r="V120" s="23">
        <f t="shared" ca="1" si="44"/>
        <v>11</v>
      </c>
      <c r="W120" s="24">
        <f t="shared" ca="1" si="28"/>
        <v>19</v>
      </c>
    </row>
    <row r="121" spans="1:23" x14ac:dyDescent="0.35">
      <c r="A121" s="32">
        <f t="shared" si="34"/>
        <v>97</v>
      </c>
      <c r="B121" s="28">
        <f t="shared" ca="1" si="29"/>
        <v>47342</v>
      </c>
      <c r="C121" s="28">
        <f t="shared" ca="1" si="30"/>
        <v>47342</v>
      </c>
      <c r="D121" s="32">
        <f t="shared" ca="1" si="38"/>
        <v>31</v>
      </c>
      <c r="E121" s="29">
        <f t="shared" si="39"/>
        <v>2383333.0133333406</v>
      </c>
      <c r="F121" s="29">
        <f>IF(AND(A120="",A122=""),"",IF(A121="",ROUND(SUM($F$25:F120),2),IF(A121=$D$8,$E$24-ROUND(SUM($F$25:F120),2),ROUND($E$24/$D$8,2))))</f>
        <v>16666.669999999998</v>
      </c>
      <c r="G121" s="213">
        <f ca="1">IF(A120=$D$8,ROUND(SUM($G$25:G120),2),IF(A121&gt;$F$8,"",IF(T121&lt;&gt;T120,ROUND(SUM(V121*$F$17*E120/T121,W121*$F$17*E120/T120),2),ROUND(E120*$F$17*D121/T120,2))))</f>
        <v>23379.94</v>
      </c>
      <c r="H121" s="29">
        <f ca="1">IF(A120=$D$8,SUM($H$25:H120),IF(A120&gt;$D$8,"",F121+G121))</f>
        <v>40046.61</v>
      </c>
      <c r="I121" s="212" t="str">
        <f t="shared" si="40"/>
        <v/>
      </c>
      <c r="J121" s="212" t="str">
        <f t="shared" si="41"/>
        <v/>
      </c>
      <c r="K121" s="212">
        <f>IF($F$8&gt;96,($O$8+$O$10),IF($A$120=$F$8,$K$24*$G$8,""))</f>
        <v>17100</v>
      </c>
      <c r="L121" s="212" t="str">
        <f t="shared" si="42"/>
        <v/>
      </c>
      <c r="M121" s="29" t="str">
        <f t="shared" si="37"/>
        <v/>
      </c>
      <c r="N121" s="29" t="str">
        <f t="shared" si="36"/>
        <v/>
      </c>
      <c r="O121" s="22"/>
      <c r="P121" s="217" t="str">
        <f>IF(A120=$D$8,XIRR(R$24:R120,C$24:C120),"")</f>
        <v/>
      </c>
      <c r="Q121" s="212" t="str">
        <f t="shared" si="35"/>
        <v/>
      </c>
      <c r="R121" s="29">
        <f t="shared" ca="1" si="31"/>
        <v>57146.61</v>
      </c>
      <c r="S121" s="22">
        <f t="shared" ca="1" si="32"/>
        <v>2029</v>
      </c>
      <c r="T121" s="22">
        <f t="shared" ca="1" si="33"/>
        <v>365</v>
      </c>
      <c r="U121" s="22">
        <f t="shared" ca="1" si="43"/>
        <v>12</v>
      </c>
      <c r="V121" s="23">
        <f t="shared" ca="1" si="44"/>
        <v>11</v>
      </c>
      <c r="W121" s="24">
        <f t="shared" ca="1" si="28"/>
        <v>20</v>
      </c>
    </row>
    <row r="122" spans="1:23" x14ac:dyDescent="0.35">
      <c r="A122" s="32">
        <f t="shared" si="34"/>
        <v>98</v>
      </c>
      <c r="B122" s="28">
        <f t="shared" ca="1" si="29"/>
        <v>47373</v>
      </c>
      <c r="C122" s="28">
        <f t="shared" ca="1" si="30"/>
        <v>47373</v>
      </c>
      <c r="D122" s="32">
        <f t="shared" ca="1" si="38"/>
        <v>31</v>
      </c>
      <c r="E122" s="29">
        <f t="shared" si="39"/>
        <v>2366666.3433333407</v>
      </c>
      <c r="F122" s="29">
        <f>IF(AND(A121="",A123=""),"",IF(A122="",ROUND(SUM($F$25:F121),2),IF(A122=$D$8,$E$24-ROUND(SUM($F$25:F121),2),ROUND($E$24/$D$8,2))))</f>
        <v>16666.669999999998</v>
      </c>
      <c r="G122" s="213">
        <f ca="1">IF(A121=$D$8,ROUND(SUM($G$25:G121),2),IF(A122&gt;$F$8,"",IF(T122&lt;&gt;T121,ROUND(SUM(V122*$F$17*E121/T122,W122*$F$17*E121/T121),2),ROUND(E121*$F$17*D122/T121,2))))</f>
        <v>23217.58</v>
      </c>
      <c r="H122" s="29">
        <f ca="1">IF(A121=$D$8,SUM($H$25:H121),IF(A121&gt;$D$8,"",F122+G122))</f>
        <v>39884.25</v>
      </c>
      <c r="I122" s="212" t="str">
        <f t="shared" si="40"/>
        <v/>
      </c>
      <c r="J122" s="212" t="str">
        <f t="shared" si="41"/>
        <v/>
      </c>
      <c r="K122" s="212"/>
      <c r="L122" s="212" t="str">
        <f t="shared" si="42"/>
        <v/>
      </c>
      <c r="M122" s="29" t="str">
        <f t="shared" si="37"/>
        <v/>
      </c>
      <c r="N122" s="29" t="str">
        <f t="shared" si="36"/>
        <v/>
      </c>
      <c r="O122" s="22"/>
      <c r="P122" s="217" t="str">
        <f>IF(A121=$D$8,XIRR(R$24:R121,C$24:C121),"")</f>
        <v/>
      </c>
      <c r="Q122" s="212" t="str">
        <f t="shared" si="35"/>
        <v/>
      </c>
      <c r="R122" s="29">
        <f t="shared" ca="1" si="31"/>
        <v>39884.25</v>
      </c>
      <c r="S122" s="22">
        <f t="shared" ca="1" si="32"/>
        <v>2029</v>
      </c>
      <c r="T122" s="22">
        <f t="shared" ca="1" si="33"/>
        <v>365</v>
      </c>
      <c r="U122" s="22">
        <f t="shared" ca="1" si="43"/>
        <v>12</v>
      </c>
      <c r="V122" s="23">
        <f t="shared" ca="1" si="44"/>
        <v>11</v>
      </c>
      <c r="W122" s="24">
        <f t="shared" ca="1" si="28"/>
        <v>20</v>
      </c>
    </row>
    <row r="123" spans="1:23" x14ac:dyDescent="0.35">
      <c r="A123" s="32">
        <f t="shared" si="34"/>
        <v>99</v>
      </c>
      <c r="B123" s="28">
        <f t="shared" ca="1" si="29"/>
        <v>47403</v>
      </c>
      <c r="C123" s="28">
        <f t="shared" ca="1" si="30"/>
        <v>47403</v>
      </c>
      <c r="D123" s="32">
        <f t="shared" ca="1" si="38"/>
        <v>30</v>
      </c>
      <c r="E123" s="29">
        <f t="shared" si="39"/>
        <v>2349999.6733333408</v>
      </c>
      <c r="F123" s="29">
        <f>IF(AND(A122="",A124=""),"",IF(A123="",ROUND(SUM($F$25:F122),2),IF(A123=$D$8,$E$24-ROUND(SUM($F$25:F122),2),ROUND($E$24/$D$8,2))))</f>
        <v>16666.669999999998</v>
      </c>
      <c r="G123" s="213">
        <f ca="1">IF(A122=$D$8,ROUND(SUM($G$25:G122),2),IF(A123&gt;$F$8,"",IF(T123&lt;&gt;T122,ROUND(SUM(V123*$F$17*E122/T123,W123*$F$17*E122/T122),2),ROUND(E122*$F$17*D123/T122,2))))</f>
        <v>22311.5</v>
      </c>
      <c r="H123" s="29">
        <f ca="1">IF(A122=$D$8,SUM($H$25:H122),IF(A122&gt;$D$8,"",F123+G123))</f>
        <v>38978.17</v>
      </c>
      <c r="I123" s="212" t="str">
        <f t="shared" si="40"/>
        <v/>
      </c>
      <c r="J123" s="212" t="str">
        <f t="shared" si="41"/>
        <v/>
      </c>
      <c r="K123" s="212"/>
      <c r="L123" s="212" t="str">
        <f t="shared" si="42"/>
        <v/>
      </c>
      <c r="M123" s="29" t="str">
        <f t="shared" si="37"/>
        <v/>
      </c>
      <c r="N123" s="29" t="str">
        <f t="shared" si="36"/>
        <v/>
      </c>
      <c r="O123" s="22"/>
      <c r="P123" s="217" t="str">
        <f>IF(A122=$D$8,XIRR(R$24:R122,C$24:C122),"")</f>
        <v/>
      </c>
      <c r="Q123" s="212" t="str">
        <f t="shared" si="35"/>
        <v/>
      </c>
      <c r="R123" s="29">
        <f t="shared" ca="1" si="31"/>
        <v>38978.17</v>
      </c>
      <c r="S123" s="22">
        <f t="shared" ca="1" si="32"/>
        <v>2029</v>
      </c>
      <c r="T123" s="22">
        <f t="shared" ca="1" si="33"/>
        <v>365</v>
      </c>
      <c r="U123" s="22">
        <f t="shared" ca="1" si="43"/>
        <v>12</v>
      </c>
      <c r="V123" s="23">
        <f t="shared" ca="1" si="44"/>
        <v>11</v>
      </c>
      <c r="W123" s="24">
        <f t="shared" ca="1" si="28"/>
        <v>19</v>
      </c>
    </row>
    <row r="124" spans="1:23" x14ac:dyDescent="0.35">
      <c r="A124" s="32">
        <f t="shared" si="34"/>
        <v>100</v>
      </c>
      <c r="B124" s="28">
        <f t="shared" ca="1" si="29"/>
        <v>47434</v>
      </c>
      <c r="C124" s="28">
        <f t="shared" ca="1" si="30"/>
        <v>47434</v>
      </c>
      <c r="D124" s="32">
        <f t="shared" ca="1" si="38"/>
        <v>31</v>
      </c>
      <c r="E124" s="29">
        <f t="shared" si="39"/>
        <v>2333333.0033333409</v>
      </c>
      <c r="F124" s="29">
        <f>IF(AND(A123="",A125=""),"",IF(A124="",ROUND(SUM($F$25:F123),2),IF(A124=$D$8,$E$24-ROUND(SUM($F$25:F123),2),ROUND($E$24/$D$8,2))))</f>
        <v>16666.669999999998</v>
      </c>
      <c r="G124" s="213">
        <f ca="1">IF(A123=$D$8,ROUND(SUM($G$25:G123),2),IF(A124&gt;$F$8,"",IF(T124&lt;&gt;T123,ROUND(SUM(V124*$F$17*E123/T124,W124*$F$17*E123/T123),2),ROUND(E123*$F$17*D124/T123,2))))</f>
        <v>22892.86</v>
      </c>
      <c r="H124" s="29">
        <f ca="1">IF(A123=$D$8,SUM($H$25:H123),IF(A123&gt;$D$8,"",F124+G124))</f>
        <v>39559.53</v>
      </c>
      <c r="I124" s="212" t="str">
        <f t="shared" si="40"/>
        <v/>
      </c>
      <c r="J124" s="212" t="str">
        <f t="shared" si="41"/>
        <v/>
      </c>
      <c r="K124" s="212"/>
      <c r="L124" s="212" t="str">
        <f t="shared" si="42"/>
        <v/>
      </c>
      <c r="M124" s="29" t="str">
        <f t="shared" si="37"/>
        <v/>
      </c>
      <c r="N124" s="29" t="str">
        <f t="shared" si="36"/>
        <v/>
      </c>
      <c r="O124" s="22"/>
      <c r="P124" s="217" t="str">
        <f>IF(A123=$D$8,XIRR(R$24:R123,C$24:C123),"")</f>
        <v/>
      </c>
      <c r="Q124" s="212" t="str">
        <f t="shared" si="35"/>
        <v/>
      </c>
      <c r="R124" s="29">
        <f t="shared" ca="1" si="31"/>
        <v>39559.53</v>
      </c>
      <c r="S124" s="22">
        <f t="shared" ca="1" si="32"/>
        <v>2029</v>
      </c>
      <c r="T124" s="22">
        <f t="shared" ca="1" si="33"/>
        <v>365</v>
      </c>
      <c r="U124" s="22">
        <f t="shared" ca="1" si="43"/>
        <v>12</v>
      </c>
      <c r="V124" s="23">
        <f t="shared" ca="1" si="44"/>
        <v>11</v>
      </c>
      <c r="W124" s="24">
        <f t="shared" ca="1" si="28"/>
        <v>20</v>
      </c>
    </row>
    <row r="125" spans="1:23" x14ac:dyDescent="0.35">
      <c r="A125" s="32">
        <f t="shared" si="34"/>
        <v>101</v>
      </c>
      <c r="B125" s="28">
        <f t="shared" ca="1" si="29"/>
        <v>47464</v>
      </c>
      <c r="C125" s="28">
        <f t="shared" ca="1" si="30"/>
        <v>47464</v>
      </c>
      <c r="D125" s="32">
        <f t="shared" ca="1" si="38"/>
        <v>30</v>
      </c>
      <c r="E125" s="29">
        <f t="shared" si="39"/>
        <v>2316666.3333333409</v>
      </c>
      <c r="F125" s="29">
        <f>IF(AND(A124="",A126=""),"",IF(A125="",ROUND(SUM($F$25:F124),2),IF(A125=$D$8,$E$24-ROUND(SUM($F$25:F124),2),ROUND($E$24/$D$8,2))))</f>
        <v>16666.669999999998</v>
      </c>
      <c r="G125" s="213">
        <f ca="1">IF(A124=$D$8,ROUND(SUM($G$25:G124),2),IF(A125&gt;$F$8,"",IF(T125&lt;&gt;T124,ROUND(SUM(V125*$F$17*E124/T125,W125*$F$17*E124/T124),2),ROUND(E124*$F$17*D125/T124,2))))</f>
        <v>21997.26</v>
      </c>
      <c r="H125" s="29">
        <f ca="1">IF(A124=$D$8,SUM($H$25:H124),IF(A124&gt;$D$8,"",F125+G125))</f>
        <v>38663.929999999993</v>
      </c>
      <c r="I125" s="212" t="str">
        <f t="shared" si="40"/>
        <v/>
      </c>
      <c r="J125" s="212" t="str">
        <f t="shared" si="41"/>
        <v/>
      </c>
      <c r="K125" s="212"/>
      <c r="L125" s="212" t="str">
        <f t="shared" si="42"/>
        <v/>
      </c>
      <c r="M125" s="29" t="str">
        <f t="shared" si="37"/>
        <v/>
      </c>
      <c r="N125" s="29" t="str">
        <f t="shared" si="36"/>
        <v/>
      </c>
      <c r="O125" s="22"/>
      <c r="P125" s="217" t="str">
        <f>IF(A124=$D$8,XIRR(R$24:R124,C$24:C124),"")</f>
        <v/>
      </c>
      <c r="Q125" s="212" t="str">
        <f t="shared" si="35"/>
        <v/>
      </c>
      <c r="R125" s="29">
        <f t="shared" ca="1" si="31"/>
        <v>38663.929999999993</v>
      </c>
      <c r="S125" s="22">
        <f t="shared" ca="1" si="32"/>
        <v>2029</v>
      </c>
      <c r="T125" s="22">
        <f t="shared" ca="1" si="33"/>
        <v>365</v>
      </c>
      <c r="U125" s="22">
        <f t="shared" ca="1" si="43"/>
        <v>12</v>
      </c>
      <c r="V125" s="23">
        <f t="shared" ca="1" si="44"/>
        <v>11</v>
      </c>
      <c r="W125" s="24">
        <f t="shared" ca="1" si="28"/>
        <v>19</v>
      </c>
    </row>
    <row r="126" spans="1:23" x14ac:dyDescent="0.35">
      <c r="A126" s="32">
        <f t="shared" si="34"/>
        <v>102</v>
      </c>
      <c r="B126" s="28">
        <f t="shared" ca="1" si="29"/>
        <v>47495</v>
      </c>
      <c r="C126" s="28">
        <f t="shared" ca="1" si="30"/>
        <v>47495</v>
      </c>
      <c r="D126" s="32">
        <f t="shared" ca="1" si="38"/>
        <v>31</v>
      </c>
      <c r="E126" s="29">
        <f t="shared" si="39"/>
        <v>2299999.663333341</v>
      </c>
      <c r="F126" s="29">
        <f>IF(AND(A125="",A127=""),"",IF(A126="",ROUND(SUM($F$25:F125),2),IF(A126=$D$8,$E$24-ROUND(SUM($F$25:F125),2),ROUND($E$24/$D$8,2))))</f>
        <v>16666.669999999998</v>
      </c>
      <c r="G126" s="213">
        <f ca="1">IF(A125=$D$8,ROUND(SUM($G$25:G125),2),IF(A126&gt;$F$8,"",IF(T126&lt;&gt;T125,ROUND(SUM(V126*$F$17*E125/T126,W126*$F$17*E125/T125),2),ROUND(E125*$F$17*D126/T125,2))))</f>
        <v>22568.14</v>
      </c>
      <c r="H126" s="29">
        <f ca="1">IF(A125=$D$8,SUM($H$25:H125),IF(A125&gt;$D$8,"",F126+G126))</f>
        <v>39234.81</v>
      </c>
      <c r="I126" s="212" t="str">
        <f t="shared" si="40"/>
        <v/>
      </c>
      <c r="J126" s="212" t="str">
        <f t="shared" si="41"/>
        <v/>
      </c>
      <c r="K126" s="212"/>
      <c r="L126" s="212" t="str">
        <f t="shared" si="42"/>
        <v/>
      </c>
      <c r="M126" s="29" t="str">
        <f t="shared" si="37"/>
        <v/>
      </c>
      <c r="N126" s="29" t="str">
        <f t="shared" si="36"/>
        <v/>
      </c>
      <c r="O126" s="22"/>
      <c r="P126" s="217" t="str">
        <f>IF(A125=$D$8,XIRR(R$24:R125,C$24:C125),"")</f>
        <v/>
      </c>
      <c r="Q126" s="212" t="str">
        <f t="shared" si="35"/>
        <v/>
      </c>
      <c r="R126" s="29">
        <f t="shared" ca="1" si="31"/>
        <v>39234.81</v>
      </c>
      <c r="S126" s="22">
        <f t="shared" ca="1" si="32"/>
        <v>2030</v>
      </c>
      <c r="T126" s="22">
        <f t="shared" ca="1" si="33"/>
        <v>365</v>
      </c>
      <c r="U126" s="22">
        <f t="shared" ca="1" si="43"/>
        <v>12</v>
      </c>
      <c r="V126" s="23">
        <f t="shared" ca="1" si="44"/>
        <v>11</v>
      </c>
      <c r="W126" s="24">
        <f t="shared" ca="1" si="28"/>
        <v>20</v>
      </c>
    </row>
    <row r="127" spans="1:23" x14ac:dyDescent="0.35">
      <c r="A127" s="32">
        <f t="shared" si="34"/>
        <v>103</v>
      </c>
      <c r="B127" s="28">
        <f t="shared" ca="1" si="29"/>
        <v>47526</v>
      </c>
      <c r="C127" s="28">
        <f t="shared" ca="1" si="30"/>
        <v>47526</v>
      </c>
      <c r="D127" s="32">
        <f t="shared" ca="1" si="38"/>
        <v>31</v>
      </c>
      <c r="E127" s="29">
        <f t="shared" si="39"/>
        <v>2283332.9933333411</v>
      </c>
      <c r="F127" s="29">
        <f>IF(AND(A126="",A128=""),"",IF(A127="",ROUND(SUM($F$25:F126),2),IF(A127=$D$8,$E$24-ROUND(SUM($F$25:F126),2),ROUND($E$24/$D$8,2))))</f>
        <v>16666.669999999998</v>
      </c>
      <c r="G127" s="213">
        <f ca="1">IF(A126=$D$8,ROUND(SUM($G$25:G126),2),IF(A127&gt;$F$8,"",IF(T127&lt;&gt;T126,ROUND(SUM(V127*$F$17*E126/T127,W127*$F$17*E126/T126),2),ROUND(E126*$F$17*D127/T126,2))))</f>
        <v>22405.78</v>
      </c>
      <c r="H127" s="29">
        <f ca="1">IF(A126=$D$8,SUM($H$25:H126),IF(A126&gt;$D$8,"",F127+G127))</f>
        <v>39072.449999999997</v>
      </c>
      <c r="I127" s="212" t="str">
        <f t="shared" si="40"/>
        <v/>
      </c>
      <c r="J127" s="212" t="str">
        <f t="shared" si="41"/>
        <v/>
      </c>
      <c r="K127" s="212"/>
      <c r="L127" s="212" t="str">
        <f t="shared" si="42"/>
        <v/>
      </c>
      <c r="M127" s="29" t="str">
        <f t="shared" si="37"/>
        <v/>
      </c>
      <c r="N127" s="29" t="str">
        <f t="shared" si="36"/>
        <v/>
      </c>
      <c r="O127" s="22"/>
      <c r="P127" s="217" t="str">
        <f>IF(A126=$D$8,XIRR(R$24:R126,C$24:C126),"")</f>
        <v/>
      </c>
      <c r="Q127" s="212" t="str">
        <f t="shared" si="35"/>
        <v/>
      </c>
      <c r="R127" s="29">
        <f t="shared" ca="1" si="31"/>
        <v>39072.449999999997</v>
      </c>
      <c r="S127" s="22">
        <f t="shared" ca="1" si="32"/>
        <v>2030</v>
      </c>
      <c r="T127" s="22">
        <f t="shared" ca="1" si="33"/>
        <v>365</v>
      </c>
      <c r="U127" s="22">
        <f t="shared" ca="1" si="43"/>
        <v>12</v>
      </c>
      <c r="V127" s="23">
        <f t="shared" ca="1" si="44"/>
        <v>11</v>
      </c>
      <c r="W127" s="24">
        <f t="shared" ca="1" si="28"/>
        <v>20</v>
      </c>
    </row>
    <row r="128" spans="1:23" x14ac:dyDescent="0.35">
      <c r="A128" s="32">
        <f t="shared" si="34"/>
        <v>104</v>
      </c>
      <c r="B128" s="28">
        <f t="shared" ca="1" si="29"/>
        <v>47554</v>
      </c>
      <c r="C128" s="28">
        <f t="shared" ca="1" si="30"/>
        <v>47554</v>
      </c>
      <c r="D128" s="32">
        <f t="shared" ca="1" si="38"/>
        <v>28</v>
      </c>
      <c r="E128" s="29">
        <f t="shared" si="39"/>
        <v>2266666.3233333412</v>
      </c>
      <c r="F128" s="29">
        <f>IF(AND(A127="",A129=""),"",IF(A128="",ROUND(SUM($F$25:F127),2),IF(A128=$D$8,$E$24-ROUND(SUM($F$25:F127),2),ROUND($E$24/$D$8,2))))</f>
        <v>16666.669999999998</v>
      </c>
      <c r="G128" s="213">
        <f ca="1">IF(A127=$D$8,ROUND(SUM($G$25:G127),2),IF(A128&gt;$F$8,"",IF(T128&lt;&gt;T127,ROUND(SUM(V128*$F$17*E127/T128,W128*$F$17*E127/T127),2),ROUND(E127*$F$17*D128/T127,2))))</f>
        <v>20090.830000000002</v>
      </c>
      <c r="H128" s="29">
        <f ca="1">IF(A127=$D$8,SUM($H$25:H127),IF(A127&gt;$D$8,"",F128+G128))</f>
        <v>36757.5</v>
      </c>
      <c r="I128" s="212" t="str">
        <f t="shared" si="40"/>
        <v/>
      </c>
      <c r="J128" s="212" t="str">
        <f t="shared" si="41"/>
        <v/>
      </c>
      <c r="K128" s="212"/>
      <c r="L128" s="212" t="str">
        <f t="shared" si="42"/>
        <v/>
      </c>
      <c r="M128" s="29" t="str">
        <f t="shared" si="37"/>
        <v/>
      </c>
      <c r="N128" s="29" t="str">
        <f t="shared" si="36"/>
        <v/>
      </c>
      <c r="O128" s="22"/>
      <c r="P128" s="217" t="str">
        <f>IF(A127=$D$8,XIRR(R$24:R127,C$24:C127),"")</f>
        <v/>
      </c>
      <c r="Q128" s="212" t="str">
        <f t="shared" si="35"/>
        <v/>
      </c>
      <c r="R128" s="29">
        <f t="shared" ca="1" si="31"/>
        <v>36757.5</v>
      </c>
      <c r="S128" s="22">
        <f t="shared" ca="1" si="32"/>
        <v>2030</v>
      </c>
      <c r="T128" s="22">
        <f t="shared" ca="1" si="33"/>
        <v>365</v>
      </c>
      <c r="U128" s="22">
        <f t="shared" ca="1" si="43"/>
        <v>12</v>
      </c>
      <c r="V128" s="23">
        <f t="shared" ca="1" si="44"/>
        <v>11</v>
      </c>
      <c r="W128" s="24">
        <f t="shared" ca="1" si="28"/>
        <v>17</v>
      </c>
    </row>
    <row r="129" spans="1:23" x14ac:dyDescent="0.35">
      <c r="A129" s="32">
        <f t="shared" si="34"/>
        <v>105</v>
      </c>
      <c r="B129" s="28">
        <f t="shared" ca="1" si="29"/>
        <v>47585</v>
      </c>
      <c r="C129" s="28">
        <f t="shared" ca="1" si="30"/>
        <v>47585</v>
      </c>
      <c r="D129" s="32">
        <f t="shared" ca="1" si="38"/>
        <v>31</v>
      </c>
      <c r="E129" s="29">
        <f t="shared" si="39"/>
        <v>2249999.6533333412</v>
      </c>
      <c r="F129" s="29">
        <f>IF(AND(A128="",A130=""),"",IF(A129="",ROUND(SUM($F$25:F128),2),IF(A129=$D$8,$E$24-ROUND(SUM($F$25:F128),2),ROUND($E$24/$D$8,2))))</f>
        <v>16666.669999999998</v>
      </c>
      <c r="G129" s="213">
        <f ca="1">IF(A128=$D$8,ROUND(SUM($G$25:G128),2),IF(A129&gt;$F$8,"",IF(T129&lt;&gt;T128,ROUND(SUM(V129*$F$17*E128/T129,W129*$F$17*E128/T128),2),ROUND(E128*$F$17*D129/T128,2))))</f>
        <v>22081.06</v>
      </c>
      <c r="H129" s="29">
        <f ca="1">IF(A128=$D$8,SUM($H$25:H128),IF(A128&gt;$D$8,"",F129+G129))</f>
        <v>38747.729999999996</v>
      </c>
      <c r="I129" s="212" t="str">
        <f t="shared" si="40"/>
        <v/>
      </c>
      <c r="J129" s="212" t="str">
        <f t="shared" si="41"/>
        <v/>
      </c>
      <c r="K129" s="212"/>
      <c r="L129" s="212" t="str">
        <f t="shared" si="42"/>
        <v/>
      </c>
      <c r="M129" s="29" t="str">
        <f t="shared" si="37"/>
        <v/>
      </c>
      <c r="N129" s="29" t="str">
        <f t="shared" si="36"/>
        <v/>
      </c>
      <c r="O129" s="22"/>
      <c r="P129" s="217" t="str">
        <f>IF(A128=$D$8,XIRR(R$24:R128,C$24:C128),"")</f>
        <v/>
      </c>
      <c r="Q129" s="212" t="str">
        <f t="shared" si="35"/>
        <v/>
      </c>
      <c r="R129" s="29">
        <f t="shared" ca="1" si="31"/>
        <v>38747.729999999996</v>
      </c>
      <c r="S129" s="22">
        <f t="shared" ca="1" si="32"/>
        <v>2030</v>
      </c>
      <c r="T129" s="22">
        <f t="shared" ca="1" si="33"/>
        <v>365</v>
      </c>
      <c r="U129" s="22">
        <f t="shared" ca="1" si="43"/>
        <v>12</v>
      </c>
      <c r="V129" s="23">
        <f t="shared" ca="1" si="44"/>
        <v>11</v>
      </c>
      <c r="W129" s="24">
        <f t="shared" ca="1" si="28"/>
        <v>20</v>
      </c>
    </row>
    <row r="130" spans="1:23" x14ac:dyDescent="0.35">
      <c r="A130" s="32">
        <f t="shared" si="34"/>
        <v>106</v>
      </c>
      <c r="B130" s="28">
        <f t="shared" ca="1" si="29"/>
        <v>47615</v>
      </c>
      <c r="C130" s="28">
        <f t="shared" ca="1" si="30"/>
        <v>47615</v>
      </c>
      <c r="D130" s="32">
        <f t="shared" ca="1" si="38"/>
        <v>30</v>
      </c>
      <c r="E130" s="29">
        <f t="shared" si="39"/>
        <v>2233332.9833333413</v>
      </c>
      <c r="F130" s="29">
        <f>IF(AND(A129="",A131=""),"",IF(A130="",ROUND(SUM($F$25:F129),2),IF(A130=$D$8,$E$24-ROUND(SUM($F$25:F129),2),ROUND($E$24/$D$8,2))))</f>
        <v>16666.669999999998</v>
      </c>
      <c r="G130" s="213">
        <f ca="1">IF(A129=$D$8,ROUND(SUM($G$25:G129),2),IF(A130&gt;$F$8,"",IF(T130&lt;&gt;T129,ROUND(SUM(V130*$F$17*E129/T130,W130*$F$17*E129/T129),2),ROUND(E129*$F$17*D130/T129,2))))</f>
        <v>21211.64</v>
      </c>
      <c r="H130" s="29">
        <f ca="1">IF(A129=$D$8,SUM($H$25:H129),IF(A129&gt;$D$8,"",F130+G130))</f>
        <v>37878.31</v>
      </c>
      <c r="I130" s="212" t="str">
        <f t="shared" si="40"/>
        <v/>
      </c>
      <c r="J130" s="212" t="str">
        <f t="shared" si="41"/>
        <v/>
      </c>
      <c r="K130" s="212"/>
      <c r="L130" s="212" t="str">
        <f t="shared" si="42"/>
        <v/>
      </c>
      <c r="M130" s="29" t="str">
        <f t="shared" si="37"/>
        <v/>
      </c>
      <c r="N130" s="29" t="str">
        <f t="shared" si="36"/>
        <v/>
      </c>
      <c r="O130" s="22"/>
      <c r="P130" s="217" t="str">
        <f>IF(A129=$D$8,XIRR(R$24:R129,C$24:C129),"")</f>
        <v/>
      </c>
      <c r="Q130" s="212" t="str">
        <f t="shared" si="35"/>
        <v/>
      </c>
      <c r="R130" s="29">
        <f t="shared" ca="1" si="31"/>
        <v>37878.31</v>
      </c>
      <c r="S130" s="22">
        <f t="shared" ca="1" si="32"/>
        <v>2030</v>
      </c>
      <c r="T130" s="22">
        <f t="shared" ca="1" si="33"/>
        <v>365</v>
      </c>
      <c r="U130" s="22">
        <f t="shared" ca="1" si="43"/>
        <v>12</v>
      </c>
      <c r="V130" s="23">
        <f t="shared" ca="1" si="44"/>
        <v>11</v>
      </c>
      <c r="W130" s="24">
        <f t="shared" ca="1" si="28"/>
        <v>19</v>
      </c>
    </row>
    <row r="131" spans="1:23" x14ac:dyDescent="0.35">
      <c r="A131" s="32">
        <f t="shared" si="34"/>
        <v>107</v>
      </c>
      <c r="B131" s="28">
        <f t="shared" ca="1" si="29"/>
        <v>47646</v>
      </c>
      <c r="C131" s="28">
        <f t="shared" ca="1" si="30"/>
        <v>47646</v>
      </c>
      <c r="D131" s="32">
        <f t="shared" ca="1" si="38"/>
        <v>31</v>
      </c>
      <c r="E131" s="29">
        <f t="shared" si="39"/>
        <v>2216666.3133333414</v>
      </c>
      <c r="F131" s="29">
        <f>IF(AND(A130="",A132=""),"",IF(A131="",ROUND(SUM($F$25:F130),2),IF(A131=$D$8,$E$24-ROUND(SUM($F$25:F130),2),ROUND($E$24/$D$8,2))))</f>
        <v>16666.669999999998</v>
      </c>
      <c r="G131" s="213">
        <f ca="1">IF(A130=$D$8,ROUND(SUM($G$25:G130),2),IF(A131&gt;$F$8,"",IF(T131&lt;&gt;T130,ROUND(SUM(V131*$F$17*E130/T131,W131*$F$17*E130/T130),2),ROUND(E130*$F$17*D131/T130,2))))</f>
        <v>21756.33</v>
      </c>
      <c r="H131" s="29">
        <f ca="1">IF(A130=$D$8,SUM($H$25:H130),IF(A130&gt;$D$8,"",F131+G131))</f>
        <v>38423</v>
      </c>
      <c r="I131" s="212" t="str">
        <f t="shared" si="40"/>
        <v/>
      </c>
      <c r="J131" s="212" t="str">
        <f t="shared" si="41"/>
        <v/>
      </c>
      <c r="K131" s="212"/>
      <c r="L131" s="212" t="str">
        <f t="shared" si="42"/>
        <v/>
      </c>
      <c r="M131" s="29" t="str">
        <f t="shared" si="37"/>
        <v/>
      </c>
      <c r="N131" s="29" t="str">
        <f t="shared" si="36"/>
        <v/>
      </c>
      <c r="O131" s="22"/>
      <c r="P131" s="217" t="str">
        <f>IF(A130=$D$8,XIRR(R$24:R130,C$24:C130),"")</f>
        <v/>
      </c>
      <c r="Q131" s="212" t="str">
        <f t="shared" si="35"/>
        <v/>
      </c>
      <c r="R131" s="29">
        <f t="shared" ca="1" si="31"/>
        <v>38423</v>
      </c>
      <c r="S131" s="22">
        <f t="shared" ca="1" si="32"/>
        <v>2030</v>
      </c>
      <c r="T131" s="22">
        <f t="shared" ca="1" si="33"/>
        <v>365</v>
      </c>
      <c r="U131" s="22">
        <f t="shared" ca="1" si="43"/>
        <v>12</v>
      </c>
      <c r="V131" s="23">
        <f t="shared" ca="1" si="44"/>
        <v>11</v>
      </c>
      <c r="W131" s="24">
        <f t="shared" ca="1" si="28"/>
        <v>20</v>
      </c>
    </row>
    <row r="132" spans="1:23" x14ac:dyDescent="0.35">
      <c r="A132" s="32">
        <f t="shared" si="34"/>
        <v>108</v>
      </c>
      <c r="B132" s="28">
        <f t="shared" ca="1" si="29"/>
        <v>47676</v>
      </c>
      <c r="C132" s="28">
        <f t="shared" ca="1" si="30"/>
        <v>47676</v>
      </c>
      <c r="D132" s="32">
        <f t="shared" ca="1" si="38"/>
        <v>30</v>
      </c>
      <c r="E132" s="29">
        <f t="shared" si="39"/>
        <v>2199999.6433333415</v>
      </c>
      <c r="F132" s="29">
        <f>IF(AND(A131="",A133=""),"",IF(A132="",ROUND(SUM($F$25:F131),2),IF(A132=$D$8,$E$24-ROUND(SUM($F$25:F131),2),ROUND($E$24/$D$8,2))))</f>
        <v>16666.669999999998</v>
      </c>
      <c r="G132" s="213">
        <f ca="1">IF(A131=$D$8,ROUND(SUM($G$25:G131),2),IF(A132&gt;$F$8,"",IF(T132&lt;&gt;T131,ROUND(SUM(V132*$F$17*E131/T132,W132*$F$17*E131/T131),2),ROUND(E131*$F$17*D132/T131,2))))</f>
        <v>20897.39</v>
      </c>
      <c r="H132" s="29">
        <f ca="1">IF(A131=$D$8,SUM($H$25:H131),IF(A131&gt;$D$8,"",F132+G132))</f>
        <v>37564.06</v>
      </c>
      <c r="I132" s="212" t="str">
        <f t="shared" si="40"/>
        <v/>
      </c>
      <c r="J132" s="212" t="str">
        <f t="shared" si="41"/>
        <v/>
      </c>
      <c r="K132" s="212"/>
      <c r="L132" s="212" t="str">
        <f t="shared" si="42"/>
        <v/>
      </c>
      <c r="M132" s="29" t="str">
        <f t="shared" si="37"/>
        <v/>
      </c>
      <c r="N132" s="29" t="str">
        <f t="shared" si="36"/>
        <v/>
      </c>
      <c r="O132" s="22"/>
      <c r="P132" s="217" t="str">
        <f>IF(A131=$D$8,XIRR(R$24:R131,C$24:C131),"")</f>
        <v/>
      </c>
      <c r="Q132" s="212" t="str">
        <f t="shared" si="35"/>
        <v/>
      </c>
      <c r="R132" s="29">
        <f t="shared" ca="1" si="31"/>
        <v>37564.06</v>
      </c>
      <c r="S132" s="22">
        <f t="shared" ca="1" si="32"/>
        <v>2030</v>
      </c>
      <c r="T132" s="22">
        <f t="shared" ca="1" si="33"/>
        <v>365</v>
      </c>
      <c r="U132" s="22">
        <f t="shared" ca="1" si="43"/>
        <v>12</v>
      </c>
      <c r="V132" s="23">
        <f t="shared" ca="1" si="44"/>
        <v>11</v>
      </c>
      <c r="W132" s="24">
        <f t="shared" ca="1" si="28"/>
        <v>19</v>
      </c>
    </row>
    <row r="133" spans="1:23" x14ac:dyDescent="0.35">
      <c r="A133" s="32">
        <f t="shared" si="34"/>
        <v>109</v>
      </c>
      <c r="B133" s="28">
        <f t="shared" ca="1" si="29"/>
        <v>47707</v>
      </c>
      <c r="C133" s="28">
        <f t="shared" ca="1" si="30"/>
        <v>47707</v>
      </c>
      <c r="D133" s="32">
        <f t="shared" ca="1" si="38"/>
        <v>31</v>
      </c>
      <c r="E133" s="29">
        <f t="shared" si="39"/>
        <v>2183332.9733333415</v>
      </c>
      <c r="F133" s="29">
        <f>IF(AND(A132="",A134=""),"",IF(A133="",ROUND(SUM($F$25:F132),2),IF(A133=$D$8,$E$24-ROUND(SUM($F$25:F132),2),ROUND($E$24/$D$8,2))))</f>
        <v>16666.669999999998</v>
      </c>
      <c r="G133" s="213">
        <f ca="1">IF(A132=$D$8,ROUND(SUM($G$25:G132),2),IF(A133&gt;$F$8,"",IF(T133&lt;&gt;T132,ROUND(SUM(V133*$F$17*E132/T133,W133*$F$17*E132/T132),2),ROUND(E132*$F$17*D133/T132,2))))</f>
        <v>21431.61</v>
      </c>
      <c r="H133" s="29">
        <f ca="1">IF(A132=$D$8,SUM($H$25:H132),IF(A132&gt;$D$8,"",F133+G133))</f>
        <v>38098.28</v>
      </c>
      <c r="I133" s="212" t="str">
        <f t="shared" si="40"/>
        <v/>
      </c>
      <c r="J133" s="212" t="str">
        <f t="shared" si="41"/>
        <v/>
      </c>
      <c r="K133" s="212">
        <f>IF($F$8&gt;108,($O$8+$O$10),IF($A$132=$F$8,$K$24*$G$8,""))</f>
        <v>17100</v>
      </c>
      <c r="L133" s="212" t="str">
        <f t="shared" si="42"/>
        <v/>
      </c>
      <c r="M133" s="29" t="str">
        <f t="shared" si="37"/>
        <v/>
      </c>
      <c r="N133" s="29" t="str">
        <f t="shared" si="36"/>
        <v/>
      </c>
      <c r="O133" s="22"/>
      <c r="P133" s="217" t="str">
        <f>IF(A132=$D$8,XIRR(R$24:R132,C$24:C132),"")</f>
        <v/>
      </c>
      <c r="Q133" s="212" t="str">
        <f t="shared" si="35"/>
        <v/>
      </c>
      <c r="R133" s="29">
        <f t="shared" ca="1" si="31"/>
        <v>55198.28</v>
      </c>
      <c r="S133" s="22">
        <f t="shared" ca="1" si="32"/>
        <v>2030</v>
      </c>
      <c r="T133" s="22">
        <f t="shared" ca="1" si="33"/>
        <v>365</v>
      </c>
      <c r="U133" s="22">
        <f t="shared" ca="1" si="43"/>
        <v>12</v>
      </c>
      <c r="V133" s="23">
        <f t="shared" ca="1" si="44"/>
        <v>11</v>
      </c>
      <c r="W133" s="24">
        <f t="shared" ca="1" si="28"/>
        <v>20</v>
      </c>
    </row>
    <row r="134" spans="1:23" x14ac:dyDescent="0.35">
      <c r="A134" s="32">
        <f t="shared" si="34"/>
        <v>110</v>
      </c>
      <c r="B134" s="28">
        <f t="shared" ca="1" si="29"/>
        <v>47738</v>
      </c>
      <c r="C134" s="28">
        <f t="shared" ca="1" si="30"/>
        <v>47738</v>
      </c>
      <c r="D134" s="32">
        <f t="shared" ca="1" si="38"/>
        <v>31</v>
      </c>
      <c r="E134" s="29">
        <f t="shared" si="39"/>
        <v>2166666.3033333416</v>
      </c>
      <c r="F134" s="29">
        <f>IF(AND(A133="",A135=""),"",IF(A134="",ROUND(SUM($F$25:F133),2),IF(A134=$D$8,$E$24-ROUND(SUM($F$25:F133),2),ROUND($E$24/$D$8,2))))</f>
        <v>16666.669999999998</v>
      </c>
      <c r="G134" s="213">
        <f ca="1">IF(A133=$D$8,ROUND(SUM($G$25:G133),2),IF(A134&gt;$F$8,"",IF(T134&lt;&gt;T133,ROUND(SUM(V134*$F$17*E133/T134,W134*$F$17*E133/T133),2),ROUND(E133*$F$17*D134/T133,2))))</f>
        <v>21269.25</v>
      </c>
      <c r="H134" s="29">
        <f ca="1">IF(A133=$D$8,SUM($H$25:H133),IF(A133&gt;$D$8,"",F134+G134))</f>
        <v>37935.919999999998</v>
      </c>
      <c r="I134" s="212" t="str">
        <f t="shared" si="40"/>
        <v/>
      </c>
      <c r="J134" s="212" t="str">
        <f t="shared" si="41"/>
        <v/>
      </c>
      <c r="K134" s="212"/>
      <c r="L134" s="212" t="str">
        <f t="shared" si="42"/>
        <v/>
      </c>
      <c r="M134" s="29" t="str">
        <f t="shared" si="37"/>
        <v/>
      </c>
      <c r="N134" s="29" t="str">
        <f t="shared" si="36"/>
        <v/>
      </c>
      <c r="O134" s="22"/>
      <c r="P134" s="217" t="str">
        <f>IF(A133=$D$8,XIRR(R$24:R133,C$24:C133),"")</f>
        <v/>
      </c>
      <c r="Q134" s="212" t="str">
        <f t="shared" si="35"/>
        <v/>
      </c>
      <c r="R134" s="29">
        <f t="shared" ca="1" si="31"/>
        <v>37935.919999999998</v>
      </c>
      <c r="S134" s="22">
        <f t="shared" ca="1" si="32"/>
        <v>2030</v>
      </c>
      <c r="T134" s="22">
        <f t="shared" ca="1" si="33"/>
        <v>365</v>
      </c>
      <c r="U134" s="22">
        <f t="shared" ca="1" si="43"/>
        <v>12</v>
      </c>
      <c r="V134" s="23">
        <f t="shared" ca="1" si="44"/>
        <v>11</v>
      </c>
      <c r="W134" s="24">
        <f t="shared" ca="1" si="28"/>
        <v>20</v>
      </c>
    </row>
    <row r="135" spans="1:23" x14ac:dyDescent="0.35">
      <c r="A135" s="32">
        <f t="shared" si="34"/>
        <v>111</v>
      </c>
      <c r="B135" s="28">
        <f t="shared" ca="1" si="29"/>
        <v>47768</v>
      </c>
      <c r="C135" s="28">
        <f t="shared" ca="1" si="30"/>
        <v>47768</v>
      </c>
      <c r="D135" s="32">
        <f t="shared" ca="1" si="38"/>
        <v>30</v>
      </c>
      <c r="E135" s="29">
        <f t="shared" si="39"/>
        <v>2149999.6333333417</v>
      </c>
      <c r="F135" s="29">
        <f>IF(AND(A134="",A136=""),"",IF(A135="",ROUND(SUM($F$25:F134),2),IF(A135=$D$8,$E$24-ROUND(SUM($F$25:F134),2),ROUND($E$24/$D$8,2))))</f>
        <v>16666.669999999998</v>
      </c>
      <c r="G135" s="213">
        <f ca="1">IF(A134=$D$8,ROUND(SUM($G$25:G134),2),IF(A135&gt;$F$8,"",IF(T135&lt;&gt;T134,ROUND(SUM(V135*$F$17*E134/T135,W135*$F$17*E134/T134),2),ROUND(E134*$F$17*D135/T134,2))))</f>
        <v>20426.02</v>
      </c>
      <c r="H135" s="29">
        <f ca="1">IF(A134=$D$8,SUM($H$25:H134),IF(A134&gt;$D$8,"",F135+G135))</f>
        <v>37092.69</v>
      </c>
      <c r="I135" s="212" t="str">
        <f t="shared" si="40"/>
        <v/>
      </c>
      <c r="J135" s="212" t="str">
        <f t="shared" si="41"/>
        <v/>
      </c>
      <c r="K135" s="212"/>
      <c r="L135" s="212" t="str">
        <f t="shared" si="42"/>
        <v/>
      </c>
      <c r="M135" s="29" t="str">
        <f t="shared" si="37"/>
        <v/>
      </c>
      <c r="N135" s="29" t="str">
        <f t="shared" si="36"/>
        <v/>
      </c>
      <c r="O135" s="22"/>
      <c r="P135" s="217" t="str">
        <f>IF(A134=$D$8,XIRR(R$24:R134,C$24:C134),"")</f>
        <v/>
      </c>
      <c r="Q135" s="212" t="str">
        <f t="shared" si="35"/>
        <v/>
      </c>
      <c r="R135" s="29">
        <f t="shared" ca="1" si="31"/>
        <v>37092.69</v>
      </c>
      <c r="S135" s="22">
        <f t="shared" ca="1" si="32"/>
        <v>2030</v>
      </c>
      <c r="T135" s="22">
        <f t="shared" ca="1" si="33"/>
        <v>365</v>
      </c>
      <c r="U135" s="22">
        <f t="shared" ca="1" si="43"/>
        <v>12</v>
      </c>
      <c r="V135" s="23">
        <f t="shared" ca="1" si="44"/>
        <v>11</v>
      </c>
      <c r="W135" s="24">
        <f t="shared" ca="1" si="28"/>
        <v>19</v>
      </c>
    </row>
    <row r="136" spans="1:23" x14ac:dyDescent="0.35">
      <c r="A136" s="32">
        <f t="shared" si="34"/>
        <v>112</v>
      </c>
      <c r="B136" s="28">
        <f t="shared" ca="1" si="29"/>
        <v>47799</v>
      </c>
      <c r="C136" s="28">
        <f t="shared" ca="1" si="30"/>
        <v>47799</v>
      </c>
      <c r="D136" s="32">
        <f t="shared" ca="1" si="38"/>
        <v>31</v>
      </c>
      <c r="E136" s="29">
        <f t="shared" si="39"/>
        <v>2133332.9633333418</v>
      </c>
      <c r="F136" s="29">
        <f>IF(AND(A135="",A137=""),"",IF(A136="",ROUND(SUM($F$25:F135),2),IF(A136=$D$8,$E$24-ROUND(SUM($F$25:F135),2),ROUND($E$24/$D$8,2))))</f>
        <v>16666.669999999998</v>
      </c>
      <c r="G136" s="213">
        <f ca="1">IF(A135=$D$8,ROUND(SUM($G$25:G135),2),IF(A136&gt;$F$8,"",IF(T136&lt;&gt;T135,ROUND(SUM(V136*$F$17*E135/T136,W136*$F$17*E135/T135),2),ROUND(E135*$F$17*D136/T135,2))))</f>
        <v>20944.53</v>
      </c>
      <c r="H136" s="29">
        <f ca="1">IF(A135=$D$8,SUM($H$25:H135),IF(A135&gt;$D$8,"",F136+G136))</f>
        <v>37611.199999999997</v>
      </c>
      <c r="I136" s="212" t="str">
        <f t="shared" si="40"/>
        <v/>
      </c>
      <c r="J136" s="212" t="str">
        <f t="shared" si="41"/>
        <v/>
      </c>
      <c r="K136" s="212"/>
      <c r="L136" s="212" t="str">
        <f t="shared" si="42"/>
        <v/>
      </c>
      <c r="M136" s="29" t="str">
        <f t="shared" si="37"/>
        <v/>
      </c>
      <c r="N136" s="29" t="str">
        <f t="shared" si="36"/>
        <v/>
      </c>
      <c r="O136" s="22"/>
      <c r="P136" s="217" t="str">
        <f>IF(A135=$D$8,XIRR(R$24:R135,C$24:C135),"")</f>
        <v/>
      </c>
      <c r="Q136" s="212" t="str">
        <f t="shared" si="35"/>
        <v/>
      </c>
      <c r="R136" s="29">
        <f t="shared" ca="1" si="31"/>
        <v>37611.199999999997</v>
      </c>
      <c r="S136" s="22">
        <f t="shared" ca="1" si="32"/>
        <v>2030</v>
      </c>
      <c r="T136" s="22">
        <f t="shared" ca="1" si="33"/>
        <v>365</v>
      </c>
      <c r="U136" s="22">
        <f t="shared" ca="1" si="43"/>
        <v>12</v>
      </c>
      <c r="V136" s="23">
        <f t="shared" ca="1" si="44"/>
        <v>11</v>
      </c>
      <c r="W136" s="24">
        <f t="shared" ca="1" si="28"/>
        <v>20</v>
      </c>
    </row>
    <row r="137" spans="1:23" x14ac:dyDescent="0.35">
      <c r="A137" s="32">
        <f t="shared" si="34"/>
        <v>113</v>
      </c>
      <c r="B137" s="28">
        <f t="shared" ca="1" si="29"/>
        <v>47829</v>
      </c>
      <c r="C137" s="28">
        <f t="shared" ca="1" si="30"/>
        <v>47829</v>
      </c>
      <c r="D137" s="32">
        <f t="shared" ca="1" si="38"/>
        <v>30</v>
      </c>
      <c r="E137" s="29">
        <f t="shared" si="39"/>
        <v>2116666.2933333418</v>
      </c>
      <c r="F137" s="29">
        <f>IF(AND(A136="",A138=""),"",IF(A137="",ROUND(SUM($F$25:F136),2),IF(A137=$D$8,$E$24-ROUND(SUM($F$25:F136),2),ROUND($E$24/$D$8,2))))</f>
        <v>16666.669999999998</v>
      </c>
      <c r="G137" s="213">
        <f ca="1">IF(A136=$D$8,ROUND(SUM($G$25:G136),2),IF(A137&gt;$F$8,"",IF(T137&lt;&gt;T136,ROUND(SUM(V137*$F$17*E136/T137,W137*$F$17*E136/T136),2),ROUND(E136*$F$17*D137/T136,2))))</f>
        <v>20111.78</v>
      </c>
      <c r="H137" s="29">
        <f ca="1">IF(A136=$D$8,SUM($H$25:H136),IF(A136&gt;$D$8,"",F137+G137))</f>
        <v>36778.449999999997</v>
      </c>
      <c r="I137" s="212" t="str">
        <f t="shared" si="40"/>
        <v/>
      </c>
      <c r="J137" s="212" t="str">
        <f t="shared" si="41"/>
        <v/>
      </c>
      <c r="K137" s="212"/>
      <c r="L137" s="212" t="str">
        <f t="shared" si="42"/>
        <v/>
      </c>
      <c r="M137" s="29" t="str">
        <f t="shared" si="37"/>
        <v/>
      </c>
      <c r="N137" s="29" t="str">
        <f t="shared" si="36"/>
        <v/>
      </c>
      <c r="O137" s="22"/>
      <c r="P137" s="217" t="str">
        <f>IF(A136=$D$8,XIRR(R$24:R136,C$24:C136),"")</f>
        <v/>
      </c>
      <c r="Q137" s="212" t="str">
        <f t="shared" si="35"/>
        <v/>
      </c>
      <c r="R137" s="29">
        <f t="shared" ca="1" si="31"/>
        <v>36778.449999999997</v>
      </c>
      <c r="S137" s="22">
        <f t="shared" ca="1" si="32"/>
        <v>2030</v>
      </c>
      <c r="T137" s="22">
        <f t="shared" ca="1" si="33"/>
        <v>365</v>
      </c>
      <c r="U137" s="22">
        <f t="shared" ca="1" si="43"/>
        <v>12</v>
      </c>
      <c r="V137" s="23">
        <f t="shared" ca="1" si="44"/>
        <v>11</v>
      </c>
      <c r="W137" s="24">
        <f t="shared" ca="1" si="28"/>
        <v>19</v>
      </c>
    </row>
    <row r="138" spans="1:23" x14ac:dyDescent="0.35">
      <c r="A138" s="32">
        <f t="shared" si="34"/>
        <v>114</v>
      </c>
      <c r="B138" s="28">
        <f t="shared" ca="1" si="29"/>
        <v>47860</v>
      </c>
      <c r="C138" s="28">
        <f t="shared" ca="1" si="30"/>
        <v>47860</v>
      </c>
      <c r="D138" s="32">
        <f t="shared" ca="1" si="38"/>
        <v>31</v>
      </c>
      <c r="E138" s="29">
        <f t="shared" si="39"/>
        <v>2099999.6233333419</v>
      </c>
      <c r="F138" s="29">
        <f>IF(AND(A137="",A139=""),"",IF(A138="",ROUND(SUM($F$25:F137),2),IF(A138=$D$8,$E$24-ROUND(SUM($F$25:F137),2),ROUND($E$24/$D$8,2))))</f>
        <v>16666.669999999998</v>
      </c>
      <c r="G138" s="213">
        <f ca="1">IF(A137=$D$8,ROUND(SUM($G$25:G137),2),IF(A138&gt;$F$8,"",IF(T138&lt;&gt;T137,ROUND(SUM(V138*$F$17*E137/T138,W138*$F$17*E137/T137),2),ROUND(E137*$F$17*D138/T137,2))))</f>
        <v>20619.810000000001</v>
      </c>
      <c r="H138" s="29">
        <f ca="1">IF(A137=$D$8,SUM($H$25:H137),IF(A137&gt;$D$8,"",F138+G138))</f>
        <v>37286.479999999996</v>
      </c>
      <c r="I138" s="212" t="str">
        <f t="shared" si="40"/>
        <v/>
      </c>
      <c r="J138" s="212" t="str">
        <f t="shared" si="41"/>
        <v/>
      </c>
      <c r="K138" s="212"/>
      <c r="L138" s="212" t="str">
        <f t="shared" si="42"/>
        <v/>
      </c>
      <c r="M138" s="29" t="str">
        <f t="shared" si="37"/>
        <v/>
      </c>
      <c r="N138" s="29" t="str">
        <f t="shared" si="36"/>
        <v/>
      </c>
      <c r="O138" s="22"/>
      <c r="P138" s="217" t="str">
        <f>IF(A137=$D$8,XIRR(R$24:R137,C$24:C137),"")</f>
        <v/>
      </c>
      <c r="Q138" s="212" t="str">
        <f t="shared" si="35"/>
        <v/>
      </c>
      <c r="R138" s="29">
        <f t="shared" ca="1" si="31"/>
        <v>37286.479999999996</v>
      </c>
      <c r="S138" s="22">
        <f t="shared" ca="1" si="32"/>
        <v>2031</v>
      </c>
      <c r="T138" s="22">
        <f t="shared" ca="1" si="33"/>
        <v>365</v>
      </c>
      <c r="U138" s="22">
        <f t="shared" ca="1" si="43"/>
        <v>12</v>
      </c>
      <c r="V138" s="23">
        <f t="shared" ca="1" si="44"/>
        <v>11</v>
      </c>
      <c r="W138" s="24">
        <f t="shared" ca="1" si="28"/>
        <v>20</v>
      </c>
    </row>
    <row r="139" spans="1:23" x14ac:dyDescent="0.35">
      <c r="A139" s="32">
        <f t="shared" si="34"/>
        <v>115</v>
      </c>
      <c r="B139" s="28">
        <f t="shared" ca="1" si="29"/>
        <v>47891</v>
      </c>
      <c r="C139" s="28">
        <f t="shared" ca="1" si="30"/>
        <v>47891</v>
      </c>
      <c r="D139" s="32">
        <f t="shared" ca="1" si="38"/>
        <v>31</v>
      </c>
      <c r="E139" s="29">
        <f t="shared" si="39"/>
        <v>2083332.953333342</v>
      </c>
      <c r="F139" s="29">
        <f>IF(AND(A138="",A140=""),"",IF(A139="",ROUND(SUM($F$25:F138),2),IF(A139=$D$8,$E$24-ROUND(SUM($F$25:F138),2),ROUND($E$24/$D$8,2))))</f>
        <v>16666.669999999998</v>
      </c>
      <c r="G139" s="213">
        <f ca="1">IF(A138=$D$8,ROUND(SUM($G$25:G138),2),IF(A139&gt;$F$8,"",IF(T139&lt;&gt;T138,ROUND(SUM(V139*$F$17*E138/T139,W139*$F$17*E138/T138),2),ROUND(E138*$F$17*D139/T138,2))))</f>
        <v>20457.45</v>
      </c>
      <c r="H139" s="29">
        <f ca="1">IF(A138=$D$8,SUM($H$25:H138),IF(A138&gt;$D$8,"",F139+G139))</f>
        <v>37124.119999999995</v>
      </c>
      <c r="I139" s="212" t="str">
        <f t="shared" si="40"/>
        <v/>
      </c>
      <c r="J139" s="212" t="str">
        <f t="shared" si="41"/>
        <v/>
      </c>
      <c r="K139" s="212"/>
      <c r="L139" s="212" t="str">
        <f t="shared" si="42"/>
        <v/>
      </c>
      <c r="M139" s="29" t="str">
        <f t="shared" si="37"/>
        <v/>
      </c>
      <c r="N139" s="29" t="str">
        <f t="shared" si="36"/>
        <v/>
      </c>
      <c r="O139" s="22"/>
      <c r="P139" s="217" t="str">
        <f>IF(A138=$D$8,XIRR(R$24:R138,C$24:C138),"")</f>
        <v/>
      </c>
      <c r="Q139" s="212" t="str">
        <f t="shared" si="35"/>
        <v/>
      </c>
      <c r="R139" s="29">
        <f t="shared" ca="1" si="31"/>
        <v>37124.119999999995</v>
      </c>
      <c r="S139" s="22">
        <f t="shared" ca="1" si="32"/>
        <v>2031</v>
      </c>
      <c r="T139" s="22">
        <f t="shared" ca="1" si="33"/>
        <v>365</v>
      </c>
      <c r="U139" s="22">
        <f t="shared" ca="1" si="43"/>
        <v>12</v>
      </c>
      <c r="V139" s="23">
        <f t="shared" ca="1" si="44"/>
        <v>11</v>
      </c>
      <c r="W139" s="24">
        <f t="shared" ca="1" si="28"/>
        <v>20</v>
      </c>
    </row>
    <row r="140" spans="1:23" x14ac:dyDescent="0.35">
      <c r="A140" s="32">
        <f t="shared" si="34"/>
        <v>116</v>
      </c>
      <c r="B140" s="28">
        <f t="shared" ca="1" si="29"/>
        <v>47919</v>
      </c>
      <c r="C140" s="28">
        <f t="shared" ca="1" si="30"/>
        <v>47919</v>
      </c>
      <c r="D140" s="32">
        <f t="shared" ca="1" si="38"/>
        <v>28</v>
      </c>
      <c r="E140" s="29">
        <f t="shared" si="39"/>
        <v>2066666.2833333421</v>
      </c>
      <c r="F140" s="29">
        <f>IF(AND(A139="",A141=""),"",IF(A140="",ROUND(SUM($F$25:F139),2),IF(A140=$D$8,$E$24-ROUND(SUM($F$25:F139),2),ROUND($E$24/$D$8,2))))</f>
        <v>16666.669999999998</v>
      </c>
      <c r="G140" s="213">
        <f ca="1">IF(A139=$D$8,ROUND(SUM($G$25:G139),2),IF(A140&gt;$F$8,"",IF(T140&lt;&gt;T139,ROUND(SUM(V140*$F$17*E139/T140,W140*$F$17*E139/T139),2),ROUND(E139*$F$17*D140/T139,2))))</f>
        <v>18331.05</v>
      </c>
      <c r="H140" s="29">
        <f ca="1">IF(A139=$D$8,SUM($H$25:H139),IF(A139&gt;$D$8,"",F140+G140))</f>
        <v>34997.72</v>
      </c>
      <c r="I140" s="212" t="str">
        <f t="shared" si="40"/>
        <v/>
      </c>
      <c r="J140" s="212" t="str">
        <f t="shared" si="41"/>
        <v/>
      </c>
      <c r="K140" s="212"/>
      <c r="L140" s="212" t="str">
        <f t="shared" si="42"/>
        <v/>
      </c>
      <c r="M140" s="29" t="str">
        <f t="shared" si="37"/>
        <v/>
      </c>
      <c r="N140" s="29" t="str">
        <f t="shared" si="36"/>
        <v/>
      </c>
      <c r="O140" s="22"/>
      <c r="P140" s="217" t="str">
        <f>IF(A139=$D$8,XIRR(R$24:R139,C$24:C139),"")</f>
        <v/>
      </c>
      <c r="Q140" s="212" t="str">
        <f t="shared" si="35"/>
        <v/>
      </c>
      <c r="R140" s="29">
        <f t="shared" ca="1" si="31"/>
        <v>34997.72</v>
      </c>
      <c r="S140" s="22">
        <f t="shared" ca="1" si="32"/>
        <v>2031</v>
      </c>
      <c r="T140" s="22">
        <f t="shared" ca="1" si="33"/>
        <v>365</v>
      </c>
      <c r="U140" s="22">
        <f t="shared" ca="1" si="43"/>
        <v>12</v>
      </c>
      <c r="V140" s="23">
        <f t="shared" ca="1" si="44"/>
        <v>11</v>
      </c>
      <c r="W140" s="24">
        <f t="shared" ca="1" si="28"/>
        <v>17</v>
      </c>
    </row>
    <row r="141" spans="1:23" x14ac:dyDescent="0.35">
      <c r="A141" s="32">
        <f t="shared" si="34"/>
        <v>117</v>
      </c>
      <c r="B141" s="28">
        <f t="shared" ca="1" si="29"/>
        <v>47950</v>
      </c>
      <c r="C141" s="28">
        <f t="shared" ca="1" si="30"/>
        <v>47950</v>
      </c>
      <c r="D141" s="32">
        <f t="shared" ca="1" si="38"/>
        <v>31</v>
      </c>
      <c r="E141" s="29">
        <f t="shared" si="39"/>
        <v>2049999.6133333421</v>
      </c>
      <c r="F141" s="29">
        <f>IF(AND(A140="",A142=""),"",IF(A141="",ROUND(SUM($F$25:F140),2),IF(A141=$D$8,$E$24-ROUND(SUM($F$25:F140),2),ROUND($E$24/$D$8,2))))</f>
        <v>16666.669999999998</v>
      </c>
      <c r="G141" s="213">
        <f ca="1">IF(A140=$D$8,ROUND(SUM($G$25:G140),2),IF(A141&gt;$F$8,"",IF(T141&lt;&gt;T140,ROUND(SUM(V141*$F$17*E140/T141,W141*$F$17*E140/T140),2),ROUND(E140*$F$17*D141/T140,2))))</f>
        <v>20132.73</v>
      </c>
      <c r="H141" s="29">
        <f ca="1">IF(A140=$D$8,SUM($H$25:H140),IF(A140&gt;$D$8,"",F141+G141))</f>
        <v>36799.399999999994</v>
      </c>
      <c r="I141" s="212" t="str">
        <f t="shared" si="40"/>
        <v/>
      </c>
      <c r="J141" s="212" t="str">
        <f t="shared" si="41"/>
        <v/>
      </c>
      <c r="K141" s="212"/>
      <c r="L141" s="212" t="str">
        <f t="shared" si="42"/>
        <v/>
      </c>
      <c r="M141" s="29" t="str">
        <f t="shared" si="37"/>
        <v/>
      </c>
      <c r="N141" s="29" t="str">
        <f t="shared" si="36"/>
        <v/>
      </c>
      <c r="O141" s="22"/>
      <c r="P141" s="217" t="str">
        <f>IF(A140=$D$8,XIRR(R$24:R140,C$24:C140),"")</f>
        <v/>
      </c>
      <c r="Q141" s="212" t="str">
        <f t="shared" si="35"/>
        <v/>
      </c>
      <c r="R141" s="29">
        <f t="shared" ca="1" si="31"/>
        <v>36799.399999999994</v>
      </c>
      <c r="S141" s="22">
        <f t="shared" ca="1" si="32"/>
        <v>2031</v>
      </c>
      <c r="T141" s="22">
        <f t="shared" ca="1" si="33"/>
        <v>365</v>
      </c>
      <c r="U141" s="22">
        <f t="shared" ca="1" si="43"/>
        <v>12</v>
      </c>
      <c r="V141" s="23">
        <f t="shared" ca="1" si="44"/>
        <v>11</v>
      </c>
      <c r="W141" s="24">
        <f t="shared" ca="1" si="28"/>
        <v>20</v>
      </c>
    </row>
    <row r="142" spans="1:23" x14ac:dyDescent="0.35">
      <c r="A142" s="32">
        <f t="shared" si="34"/>
        <v>118</v>
      </c>
      <c r="B142" s="28">
        <f t="shared" ca="1" si="29"/>
        <v>47980</v>
      </c>
      <c r="C142" s="28">
        <f t="shared" ca="1" si="30"/>
        <v>47980</v>
      </c>
      <c r="D142" s="32">
        <f t="shared" ca="1" si="38"/>
        <v>30</v>
      </c>
      <c r="E142" s="29">
        <f t="shared" si="39"/>
        <v>2033332.9433333422</v>
      </c>
      <c r="F142" s="29">
        <f>IF(AND(A141="",A143=""),"",IF(A142="",ROUND(SUM($F$25:F141),2),IF(A142=$D$8,$E$24-ROUND(SUM($F$25:F141),2),ROUND($E$24/$D$8,2))))</f>
        <v>16666.669999999998</v>
      </c>
      <c r="G142" s="213">
        <f ca="1">IF(A141=$D$8,ROUND(SUM($G$25:G141),2),IF(A142&gt;$F$8,"",IF(T142&lt;&gt;T141,ROUND(SUM(V142*$F$17*E141/T142,W142*$F$17*E141/T141),2),ROUND(E141*$F$17*D142/T141,2))))</f>
        <v>19326.16</v>
      </c>
      <c r="H142" s="29">
        <f ca="1">IF(A141=$D$8,SUM($H$25:H141),IF(A141&gt;$D$8,"",F142+G142))</f>
        <v>35992.83</v>
      </c>
      <c r="I142" s="212" t="str">
        <f t="shared" si="40"/>
        <v/>
      </c>
      <c r="J142" s="212" t="str">
        <f t="shared" si="41"/>
        <v/>
      </c>
      <c r="K142" s="212"/>
      <c r="L142" s="212" t="str">
        <f t="shared" si="42"/>
        <v/>
      </c>
      <c r="M142" s="29" t="str">
        <f t="shared" si="37"/>
        <v/>
      </c>
      <c r="N142" s="29" t="str">
        <f t="shared" si="36"/>
        <v/>
      </c>
      <c r="O142" s="22"/>
      <c r="P142" s="217" t="str">
        <f>IF(A141=$D$8,XIRR(R$24:R141,C$24:C141),"")</f>
        <v/>
      </c>
      <c r="Q142" s="212" t="str">
        <f t="shared" si="35"/>
        <v/>
      </c>
      <c r="R142" s="29">
        <f t="shared" ca="1" si="31"/>
        <v>35992.83</v>
      </c>
      <c r="S142" s="22">
        <f t="shared" ca="1" si="32"/>
        <v>2031</v>
      </c>
      <c r="T142" s="22">
        <f t="shared" ca="1" si="33"/>
        <v>365</v>
      </c>
      <c r="U142" s="22">
        <f t="shared" ca="1" si="43"/>
        <v>12</v>
      </c>
      <c r="V142" s="23">
        <f t="shared" ca="1" si="44"/>
        <v>11</v>
      </c>
      <c r="W142" s="24">
        <f t="shared" ca="1" si="28"/>
        <v>19</v>
      </c>
    </row>
    <row r="143" spans="1:23" x14ac:dyDescent="0.35">
      <c r="A143" s="32">
        <f t="shared" si="34"/>
        <v>119</v>
      </c>
      <c r="B143" s="28">
        <f t="shared" ca="1" si="29"/>
        <v>48011</v>
      </c>
      <c r="C143" s="28">
        <f t="shared" ca="1" si="30"/>
        <v>48011</v>
      </c>
      <c r="D143" s="32">
        <f t="shared" ca="1" si="38"/>
        <v>31</v>
      </c>
      <c r="E143" s="29">
        <f t="shared" si="39"/>
        <v>2016666.2733333423</v>
      </c>
      <c r="F143" s="29">
        <f>IF(AND(A142="",A144=""),"",IF(A143="",ROUND(SUM($F$25:F142),2),IF(A143=$D$8,$E$24-ROUND(SUM($F$25:F142),2),ROUND($E$24/$D$8,2))))</f>
        <v>16666.669999999998</v>
      </c>
      <c r="G143" s="213">
        <f ca="1">IF(A142=$D$8,ROUND(SUM($G$25:G142),2),IF(A143&gt;$F$8,"",IF(T143&lt;&gt;T142,ROUND(SUM(V143*$F$17*E142/T143,W143*$F$17*E142/T142),2),ROUND(E142*$F$17*D143/T142,2))))</f>
        <v>19808.009999999998</v>
      </c>
      <c r="H143" s="29">
        <f ca="1">IF(A142=$D$8,SUM($H$25:H142),IF(A142&gt;$D$8,"",F143+G143))</f>
        <v>36474.679999999993</v>
      </c>
      <c r="I143" s="212" t="str">
        <f t="shared" si="40"/>
        <v/>
      </c>
      <c r="J143" s="212" t="str">
        <f t="shared" si="41"/>
        <v/>
      </c>
      <c r="K143" s="212"/>
      <c r="L143" s="212" t="str">
        <f t="shared" si="42"/>
        <v/>
      </c>
      <c r="M143" s="29" t="str">
        <f t="shared" si="37"/>
        <v/>
      </c>
      <c r="N143" s="29" t="str">
        <f t="shared" si="36"/>
        <v/>
      </c>
      <c r="O143" s="22"/>
      <c r="P143" s="217" t="str">
        <f>IF(A142=$D$8,XIRR(R$24:R142,C$24:C142),"")</f>
        <v/>
      </c>
      <c r="Q143" s="212" t="str">
        <f t="shared" si="35"/>
        <v/>
      </c>
      <c r="R143" s="29">
        <f t="shared" ca="1" si="31"/>
        <v>36474.679999999993</v>
      </c>
      <c r="S143" s="22">
        <f t="shared" ca="1" si="32"/>
        <v>2031</v>
      </c>
      <c r="T143" s="22">
        <f t="shared" ca="1" si="33"/>
        <v>365</v>
      </c>
      <c r="U143" s="22">
        <f t="shared" ca="1" si="43"/>
        <v>12</v>
      </c>
      <c r="V143" s="23">
        <f t="shared" ca="1" si="44"/>
        <v>11</v>
      </c>
      <c r="W143" s="24">
        <f t="shared" ca="1" si="28"/>
        <v>20</v>
      </c>
    </row>
    <row r="144" spans="1:23" x14ac:dyDescent="0.35">
      <c r="A144" s="32">
        <f t="shared" si="34"/>
        <v>120</v>
      </c>
      <c r="B144" s="28">
        <f t="shared" ca="1" si="29"/>
        <v>48041</v>
      </c>
      <c r="C144" s="28">
        <f t="shared" ca="1" si="30"/>
        <v>48041</v>
      </c>
      <c r="D144" s="32">
        <f t="shared" ca="1" si="38"/>
        <v>30</v>
      </c>
      <c r="E144" s="29">
        <f t="shared" si="39"/>
        <v>1999999.6033333424</v>
      </c>
      <c r="F144" s="29">
        <f>IF(AND(A143="",A145=""),"",IF(A144="",ROUND(SUM($F$25:F143),2),IF(A144=$D$8,$E$24-ROUND(SUM($F$25:F143),2),ROUND($E$24/$D$8,2))))</f>
        <v>16666.669999999998</v>
      </c>
      <c r="G144" s="213">
        <f ca="1">IF(A143=$D$8,ROUND(SUM($G$25:G143),2),IF(A144&gt;$F$8,"",IF(T144&lt;&gt;T143,ROUND(SUM(V144*$F$17*E143/T144,W144*$F$17*E143/T143),2),ROUND(E143*$F$17*D144/T143,2))))</f>
        <v>19011.91</v>
      </c>
      <c r="H144" s="29">
        <f ca="1">IF(A143=$D$8,SUM($H$25:H143),IF(A143&gt;$D$8,"",F144+G144))</f>
        <v>35678.58</v>
      </c>
      <c r="I144" s="212" t="str">
        <f t="shared" si="40"/>
        <v/>
      </c>
      <c r="J144" s="212" t="str">
        <f t="shared" si="41"/>
        <v/>
      </c>
      <c r="K144" s="212"/>
      <c r="L144" s="212" t="str">
        <f t="shared" si="42"/>
        <v/>
      </c>
      <c r="M144" s="29" t="str">
        <f t="shared" si="37"/>
        <v/>
      </c>
      <c r="N144" s="29" t="str">
        <f t="shared" si="36"/>
        <v/>
      </c>
      <c r="O144" s="22"/>
      <c r="P144" s="217" t="str">
        <f>IF(A143=$D$8,XIRR(R$24:R143,C$24:C143),"")</f>
        <v/>
      </c>
      <c r="Q144" s="212" t="str">
        <f t="shared" si="35"/>
        <v/>
      </c>
      <c r="R144" s="29">
        <f t="shared" ca="1" si="31"/>
        <v>35678.58</v>
      </c>
      <c r="S144" s="22">
        <f t="shared" ca="1" si="32"/>
        <v>2031</v>
      </c>
      <c r="T144" s="22">
        <f t="shared" ca="1" si="33"/>
        <v>365</v>
      </c>
      <c r="U144" s="22">
        <f t="shared" ca="1" si="43"/>
        <v>12</v>
      </c>
      <c r="V144" s="23">
        <f t="shared" ca="1" si="44"/>
        <v>11</v>
      </c>
      <c r="W144" s="24">
        <f t="shared" ca="1" si="28"/>
        <v>19</v>
      </c>
    </row>
    <row r="145" spans="1:23" x14ac:dyDescent="0.35">
      <c r="A145" s="32">
        <f t="shared" si="34"/>
        <v>121</v>
      </c>
      <c r="B145" s="28">
        <f t="shared" ca="1" si="29"/>
        <v>48072</v>
      </c>
      <c r="C145" s="28">
        <f t="shared" ca="1" si="30"/>
        <v>48072</v>
      </c>
      <c r="D145" s="32">
        <f t="shared" ca="1" si="38"/>
        <v>31</v>
      </c>
      <c r="E145" s="29">
        <f t="shared" si="39"/>
        <v>1983332.9333333424</v>
      </c>
      <c r="F145" s="29">
        <f>IF(AND(A144="",A146=""),"",IF(A145="",ROUND(SUM($F$25:F144),2),IF(A145=$D$8,$E$24-ROUND(SUM($F$25:F144),2),ROUND($E$24/$D$8,2))))</f>
        <v>16666.669999999998</v>
      </c>
      <c r="G145" s="213">
        <f ca="1">IF(A144=$D$8,ROUND(SUM($G$25:G144),2),IF(A145&gt;$F$8,"",IF(T145&lt;&gt;T144,ROUND(SUM(V145*$F$17*E144/T145,W145*$F$17*E144/T144),2),ROUND(E144*$F$17*D145/T144,2))))</f>
        <v>19483.28</v>
      </c>
      <c r="H145" s="29">
        <f ca="1">IF(A144=$D$8,SUM($H$25:H144),IF(A144&gt;$D$8,"",F145+G145))</f>
        <v>36149.949999999997</v>
      </c>
      <c r="I145" s="212" t="str">
        <f t="shared" si="40"/>
        <v/>
      </c>
      <c r="J145" s="212" t="str">
        <f t="shared" si="41"/>
        <v/>
      </c>
      <c r="K145" s="212">
        <f>IF($F$8&gt;120,($O$8+$O$10),IF($A$144=$F$8,$K$24*$G$8,""))</f>
        <v>17100</v>
      </c>
      <c r="L145" s="212" t="str">
        <f t="shared" si="42"/>
        <v/>
      </c>
      <c r="M145" s="29" t="str">
        <f t="shared" si="37"/>
        <v/>
      </c>
      <c r="N145" s="29" t="str">
        <f t="shared" si="36"/>
        <v/>
      </c>
      <c r="O145" s="22"/>
      <c r="P145" s="217" t="str">
        <f>IF(A144=$D$8,XIRR(R$24:R144,C$24:C144),"")</f>
        <v/>
      </c>
      <c r="Q145" s="212" t="str">
        <f t="shared" si="35"/>
        <v/>
      </c>
      <c r="R145" s="29">
        <f t="shared" ca="1" si="31"/>
        <v>53249.95</v>
      </c>
      <c r="S145" s="22">
        <f t="shared" ca="1" si="32"/>
        <v>2031</v>
      </c>
      <c r="T145" s="22">
        <f t="shared" ca="1" si="33"/>
        <v>365</v>
      </c>
      <c r="U145" s="22">
        <f t="shared" ca="1" si="43"/>
        <v>12</v>
      </c>
      <c r="V145" s="23">
        <f t="shared" ca="1" si="44"/>
        <v>11</v>
      </c>
      <c r="W145" s="24">
        <f t="shared" ca="1" si="28"/>
        <v>20</v>
      </c>
    </row>
    <row r="146" spans="1:23" x14ac:dyDescent="0.35">
      <c r="A146" s="32">
        <f t="shared" si="34"/>
        <v>122</v>
      </c>
      <c r="B146" s="28">
        <f t="shared" ca="1" si="29"/>
        <v>48103</v>
      </c>
      <c r="C146" s="28">
        <f t="shared" ca="1" si="30"/>
        <v>48103</v>
      </c>
      <c r="D146" s="32">
        <f t="shared" ca="1" si="38"/>
        <v>31</v>
      </c>
      <c r="E146" s="29">
        <f t="shared" si="39"/>
        <v>1966666.2633333425</v>
      </c>
      <c r="F146" s="29">
        <f>IF(AND(A145="",A147=""),"",IF(A146="",ROUND(SUM($F$25:F145),2),IF(A146=$D$8,$E$24-ROUND(SUM($F$25:F145),2),ROUND($E$24/$D$8,2))))</f>
        <v>16666.669999999998</v>
      </c>
      <c r="G146" s="213">
        <f ca="1">IF(A145=$D$8,ROUND(SUM($G$25:G145),2),IF(A146&gt;$F$8,"",IF(T146&lt;&gt;T145,ROUND(SUM(V146*$F$17*E145/T146,W146*$F$17*E145/T145),2),ROUND(E145*$F$17*D146/T145,2))))</f>
        <v>19320.919999999998</v>
      </c>
      <c r="H146" s="29">
        <f ca="1">IF(A145=$D$8,SUM($H$25:H145),IF(A145&gt;$D$8,"",F146+G146))</f>
        <v>35987.589999999997</v>
      </c>
      <c r="I146" s="212" t="str">
        <f t="shared" si="40"/>
        <v/>
      </c>
      <c r="J146" s="212" t="str">
        <f t="shared" si="41"/>
        <v/>
      </c>
      <c r="K146" s="212"/>
      <c r="L146" s="212" t="str">
        <f t="shared" si="42"/>
        <v/>
      </c>
      <c r="M146" s="29" t="str">
        <f t="shared" si="37"/>
        <v/>
      </c>
      <c r="N146" s="29" t="str">
        <f t="shared" si="36"/>
        <v/>
      </c>
      <c r="O146" s="22"/>
      <c r="P146" s="217" t="str">
        <f>IF(A145=$D$8,XIRR(R$24:R145,C$24:C145),"")</f>
        <v/>
      </c>
      <c r="Q146" s="212" t="str">
        <f t="shared" si="35"/>
        <v/>
      </c>
      <c r="R146" s="29">
        <f t="shared" ca="1" si="31"/>
        <v>35987.589999999997</v>
      </c>
      <c r="S146" s="22">
        <f t="shared" ca="1" si="32"/>
        <v>2031</v>
      </c>
      <c r="T146" s="22">
        <f t="shared" ca="1" si="33"/>
        <v>365</v>
      </c>
      <c r="U146" s="22">
        <f t="shared" ca="1" si="43"/>
        <v>12</v>
      </c>
      <c r="V146" s="23">
        <f t="shared" ca="1" si="44"/>
        <v>11</v>
      </c>
      <c r="W146" s="24">
        <f t="shared" ca="1" si="28"/>
        <v>20</v>
      </c>
    </row>
    <row r="147" spans="1:23" x14ac:dyDescent="0.35">
      <c r="A147" s="32">
        <f t="shared" si="34"/>
        <v>123</v>
      </c>
      <c r="B147" s="28">
        <f t="shared" ca="1" si="29"/>
        <v>48133</v>
      </c>
      <c r="C147" s="28">
        <f t="shared" ca="1" si="30"/>
        <v>48133</v>
      </c>
      <c r="D147" s="32">
        <f t="shared" ca="1" si="38"/>
        <v>30</v>
      </c>
      <c r="E147" s="29">
        <f t="shared" si="39"/>
        <v>1949999.5933333426</v>
      </c>
      <c r="F147" s="29">
        <f>IF(AND(A146="",A148=""),"",IF(A147="",ROUND(SUM($F$25:F146),2),IF(A147=$D$8,$E$24-ROUND(SUM($F$25:F146),2),ROUND($E$24/$D$8,2))))</f>
        <v>16666.669999999998</v>
      </c>
      <c r="G147" s="213">
        <f ca="1">IF(A146=$D$8,ROUND(SUM($G$25:G146),2),IF(A147&gt;$F$8,"",IF(T147&lt;&gt;T146,ROUND(SUM(V147*$F$17*E146/T147,W147*$F$17*E146/T146),2),ROUND(E146*$F$17*D147/T146,2))))</f>
        <v>18540.54</v>
      </c>
      <c r="H147" s="29">
        <f ca="1">IF(A146=$D$8,SUM($H$25:H146),IF(A146&gt;$D$8,"",F147+G147))</f>
        <v>35207.21</v>
      </c>
      <c r="I147" s="212" t="str">
        <f t="shared" si="40"/>
        <v/>
      </c>
      <c r="J147" s="212" t="str">
        <f t="shared" si="41"/>
        <v/>
      </c>
      <c r="K147" s="212"/>
      <c r="L147" s="212" t="str">
        <f t="shared" si="42"/>
        <v/>
      </c>
      <c r="M147" s="29" t="str">
        <f t="shared" si="37"/>
        <v/>
      </c>
      <c r="N147" s="29" t="str">
        <f t="shared" si="36"/>
        <v/>
      </c>
      <c r="O147" s="22"/>
      <c r="P147" s="217" t="str">
        <f>IF(A146=$D$8,XIRR(R$24:R146,C$24:C146),"")</f>
        <v/>
      </c>
      <c r="Q147" s="212" t="str">
        <f t="shared" si="35"/>
        <v/>
      </c>
      <c r="R147" s="29">
        <f t="shared" ca="1" si="31"/>
        <v>35207.21</v>
      </c>
      <c r="S147" s="22">
        <f t="shared" ca="1" si="32"/>
        <v>2031</v>
      </c>
      <c r="T147" s="22">
        <f t="shared" ca="1" si="33"/>
        <v>365</v>
      </c>
      <c r="U147" s="22">
        <f t="shared" ca="1" si="43"/>
        <v>12</v>
      </c>
      <c r="V147" s="23">
        <f t="shared" ca="1" si="44"/>
        <v>11</v>
      </c>
      <c r="W147" s="24">
        <f t="shared" ca="1" si="28"/>
        <v>19</v>
      </c>
    </row>
    <row r="148" spans="1:23" x14ac:dyDescent="0.35">
      <c r="A148" s="32">
        <f t="shared" si="34"/>
        <v>124</v>
      </c>
      <c r="B148" s="28">
        <f t="shared" ca="1" si="29"/>
        <v>48164</v>
      </c>
      <c r="C148" s="28">
        <f t="shared" ca="1" si="30"/>
        <v>48164</v>
      </c>
      <c r="D148" s="32">
        <f t="shared" ca="1" si="38"/>
        <v>31</v>
      </c>
      <c r="E148" s="29">
        <f t="shared" si="39"/>
        <v>1933332.9233333427</v>
      </c>
      <c r="F148" s="29">
        <f>IF(AND(A147="",A149=""),"",IF(A148="",ROUND(SUM($F$25:F147),2),IF(A148=$D$8,$E$24-ROUND(SUM($F$25:F147),2),ROUND($E$24/$D$8,2))))</f>
        <v>16666.669999999998</v>
      </c>
      <c r="G148" s="213">
        <f ca="1">IF(A147=$D$8,ROUND(SUM($G$25:G147),2),IF(A148&gt;$F$8,"",IF(T148&lt;&gt;T147,ROUND(SUM(V148*$F$17*E147/T148,W148*$F$17*E147/T147),2),ROUND(E147*$F$17*D148/T147,2))))</f>
        <v>18996.2</v>
      </c>
      <c r="H148" s="29">
        <f ca="1">IF(A147=$D$8,SUM($H$25:H147),IF(A147&gt;$D$8,"",F148+G148))</f>
        <v>35662.869999999995</v>
      </c>
      <c r="I148" s="212" t="str">
        <f t="shared" si="40"/>
        <v/>
      </c>
      <c r="J148" s="212" t="str">
        <f t="shared" si="41"/>
        <v/>
      </c>
      <c r="K148" s="212"/>
      <c r="L148" s="212" t="str">
        <f t="shared" si="42"/>
        <v/>
      </c>
      <c r="M148" s="29" t="str">
        <f t="shared" si="37"/>
        <v/>
      </c>
      <c r="N148" s="29" t="str">
        <f t="shared" si="36"/>
        <v/>
      </c>
      <c r="O148" s="22"/>
      <c r="P148" s="217" t="str">
        <f>IF(A147=$D$8,XIRR(R$24:R147,C$24:C147),"")</f>
        <v/>
      </c>
      <c r="Q148" s="212" t="str">
        <f t="shared" si="35"/>
        <v/>
      </c>
      <c r="R148" s="29">
        <f t="shared" ca="1" si="31"/>
        <v>35662.869999999995</v>
      </c>
      <c r="S148" s="22">
        <f t="shared" ca="1" si="32"/>
        <v>2031</v>
      </c>
      <c r="T148" s="22">
        <f t="shared" ca="1" si="33"/>
        <v>365</v>
      </c>
      <c r="U148" s="22">
        <f t="shared" ca="1" si="43"/>
        <v>12</v>
      </c>
      <c r="V148" s="23">
        <f t="shared" ca="1" si="44"/>
        <v>11</v>
      </c>
      <c r="W148" s="24">
        <f t="shared" ca="1" si="28"/>
        <v>20</v>
      </c>
    </row>
    <row r="149" spans="1:23" x14ac:dyDescent="0.35">
      <c r="A149" s="32">
        <f t="shared" si="34"/>
        <v>125</v>
      </c>
      <c r="B149" s="28">
        <f t="shared" ca="1" si="29"/>
        <v>48194</v>
      </c>
      <c r="C149" s="28">
        <f t="shared" ca="1" si="30"/>
        <v>48194</v>
      </c>
      <c r="D149" s="32">
        <f t="shared" ca="1" si="38"/>
        <v>30</v>
      </c>
      <c r="E149" s="29">
        <f t="shared" si="39"/>
        <v>1916666.2533333427</v>
      </c>
      <c r="F149" s="29">
        <f>IF(AND(A148="",A150=""),"",IF(A149="",ROUND(SUM($F$25:F148),2),IF(A149=$D$8,$E$24-ROUND(SUM($F$25:F148),2),ROUND($E$24/$D$8,2))))</f>
        <v>16666.669999999998</v>
      </c>
      <c r="G149" s="213">
        <f ca="1">IF(A148=$D$8,ROUND(SUM($G$25:G148),2),IF(A149&gt;$F$8,"",IF(T149&lt;&gt;T148,ROUND(SUM(V149*$F$17*E148/T149,W149*$F$17*E148/T148),2),ROUND(E148*$F$17*D149/T148,2))))</f>
        <v>18226.3</v>
      </c>
      <c r="H149" s="29">
        <f ca="1">IF(A148=$D$8,SUM($H$25:H148),IF(A148&gt;$D$8,"",F149+G149))</f>
        <v>34892.97</v>
      </c>
      <c r="I149" s="212" t="str">
        <f t="shared" si="40"/>
        <v/>
      </c>
      <c r="J149" s="212" t="str">
        <f t="shared" si="41"/>
        <v/>
      </c>
      <c r="K149" s="212"/>
      <c r="L149" s="212" t="str">
        <f t="shared" si="42"/>
        <v/>
      </c>
      <c r="M149" s="29" t="str">
        <f t="shared" si="37"/>
        <v/>
      </c>
      <c r="N149" s="29" t="str">
        <f t="shared" si="36"/>
        <v/>
      </c>
      <c r="O149" s="22"/>
      <c r="P149" s="217" t="str">
        <f>IF(A148=$D$8,XIRR(R$24:R148,C$24:C148),"")</f>
        <v/>
      </c>
      <c r="Q149" s="212" t="str">
        <f t="shared" si="35"/>
        <v/>
      </c>
      <c r="R149" s="29">
        <f t="shared" ca="1" si="31"/>
        <v>34892.97</v>
      </c>
      <c r="S149" s="22">
        <f t="shared" ca="1" si="32"/>
        <v>2031</v>
      </c>
      <c r="T149" s="22">
        <f t="shared" ca="1" si="33"/>
        <v>365</v>
      </c>
      <c r="U149" s="22">
        <f t="shared" ca="1" si="43"/>
        <v>12</v>
      </c>
      <c r="V149" s="23">
        <f t="shared" ca="1" si="44"/>
        <v>11</v>
      </c>
      <c r="W149" s="24">
        <f t="shared" ref="W149:W212" ca="1" si="45">D149-V149</f>
        <v>19</v>
      </c>
    </row>
    <row r="150" spans="1:23" x14ac:dyDescent="0.35">
      <c r="A150" s="32">
        <f t="shared" si="34"/>
        <v>126</v>
      </c>
      <c r="B150" s="28">
        <f t="shared" ca="1" si="29"/>
        <v>48225</v>
      </c>
      <c r="C150" s="28">
        <f t="shared" ca="1" si="30"/>
        <v>48225</v>
      </c>
      <c r="D150" s="32">
        <f t="shared" ca="1" si="38"/>
        <v>31</v>
      </c>
      <c r="E150" s="29">
        <f t="shared" si="39"/>
        <v>1899999.5833333428</v>
      </c>
      <c r="F150" s="29">
        <f>IF(AND(A149="",A151=""),"",IF(A150="",ROUND(SUM($F$25:F149),2),IF(A150=$D$8,$E$24-ROUND(SUM($F$25:F149),2),ROUND($E$24/$D$8,2))))</f>
        <v>16666.669999999998</v>
      </c>
      <c r="G150" s="213">
        <f ca="1">IF(A149=$D$8,ROUND(SUM($G$25:G149),2),IF(A150&gt;$F$8,"",IF(T150&lt;&gt;T149,ROUND(SUM(V150*$F$17*E149/T150,W150*$F$17*E149/T149),2),ROUND(E149*$F$17*D150/T149,2))))</f>
        <v>18653.38</v>
      </c>
      <c r="H150" s="29">
        <f ca="1">IF(A149=$D$8,SUM($H$25:H149),IF(A149&gt;$D$8,"",F150+G150))</f>
        <v>35320.050000000003</v>
      </c>
      <c r="I150" s="212" t="str">
        <f t="shared" si="40"/>
        <v/>
      </c>
      <c r="J150" s="212" t="str">
        <f t="shared" si="41"/>
        <v/>
      </c>
      <c r="K150" s="212"/>
      <c r="L150" s="212" t="str">
        <f t="shared" si="42"/>
        <v/>
      </c>
      <c r="M150" s="29" t="str">
        <f t="shared" si="37"/>
        <v/>
      </c>
      <c r="N150" s="29" t="str">
        <f t="shared" si="36"/>
        <v/>
      </c>
      <c r="O150" s="22"/>
      <c r="P150" s="217" t="str">
        <f>IF(A149=$D$8,XIRR(R$24:R149,C$24:C149),"")</f>
        <v/>
      </c>
      <c r="Q150" s="212" t="str">
        <f t="shared" si="35"/>
        <v/>
      </c>
      <c r="R150" s="29">
        <f t="shared" ca="1" si="31"/>
        <v>35320.050000000003</v>
      </c>
      <c r="S150" s="22">
        <f t="shared" ca="1" si="32"/>
        <v>2032</v>
      </c>
      <c r="T150" s="22">
        <f t="shared" ca="1" si="33"/>
        <v>366</v>
      </c>
      <c r="U150" s="22">
        <f t="shared" ca="1" si="43"/>
        <v>12</v>
      </c>
      <c r="V150" s="23">
        <f t="shared" ca="1" si="44"/>
        <v>11</v>
      </c>
      <c r="W150" s="24">
        <f t="shared" ca="1" si="45"/>
        <v>20</v>
      </c>
    </row>
    <row r="151" spans="1:23" x14ac:dyDescent="0.35">
      <c r="A151" s="32">
        <f t="shared" si="34"/>
        <v>127</v>
      </c>
      <c r="B151" s="28">
        <f t="shared" ca="1" si="29"/>
        <v>48256</v>
      </c>
      <c r="C151" s="28">
        <f t="shared" ca="1" si="30"/>
        <v>48256</v>
      </c>
      <c r="D151" s="32">
        <f t="shared" ca="1" si="38"/>
        <v>31</v>
      </c>
      <c r="E151" s="29">
        <f t="shared" si="39"/>
        <v>1883332.9133333429</v>
      </c>
      <c r="F151" s="29">
        <f>IF(AND(A150="",A152=""),"",IF(A151="",ROUND(SUM($F$25:F150),2),IF(A151=$D$8,$E$24-ROUND(SUM($F$25:F150),2),ROUND($E$24/$D$8,2))))</f>
        <v>16666.669999999998</v>
      </c>
      <c r="G151" s="213">
        <f ca="1">IF(A150=$D$8,ROUND(SUM($G$25:G150),2),IF(A151&gt;$F$8,"",IF(T151&lt;&gt;T150,ROUND(SUM(V151*$F$17*E150/T151,W151*$F$17*E150/T150),2),ROUND(E150*$F$17*D151/T150,2))))</f>
        <v>18458.55</v>
      </c>
      <c r="H151" s="29">
        <f ca="1">IF(A150=$D$8,SUM($H$25:H150),IF(A150&gt;$D$8,"",F151+G151))</f>
        <v>35125.22</v>
      </c>
      <c r="I151" s="212" t="str">
        <f t="shared" si="40"/>
        <v/>
      </c>
      <c r="J151" s="212" t="str">
        <f t="shared" si="41"/>
        <v/>
      </c>
      <c r="K151" s="212"/>
      <c r="L151" s="212" t="str">
        <f t="shared" si="42"/>
        <v/>
      </c>
      <c r="M151" s="29" t="str">
        <f t="shared" si="37"/>
        <v/>
      </c>
      <c r="N151" s="29" t="str">
        <f t="shared" si="36"/>
        <v/>
      </c>
      <c r="O151" s="22"/>
      <c r="P151" s="217" t="str">
        <f>IF(A150=$D$8,XIRR(R$24:R150,C$24:C150),"")</f>
        <v/>
      </c>
      <c r="Q151" s="212" t="str">
        <f t="shared" si="35"/>
        <v/>
      </c>
      <c r="R151" s="29">
        <f t="shared" ca="1" si="31"/>
        <v>35125.22</v>
      </c>
      <c r="S151" s="22">
        <f t="shared" ca="1" si="32"/>
        <v>2032</v>
      </c>
      <c r="T151" s="22">
        <f t="shared" ca="1" si="33"/>
        <v>366</v>
      </c>
      <c r="U151" s="22">
        <f t="shared" ca="1" si="43"/>
        <v>12</v>
      </c>
      <c r="V151" s="23">
        <f t="shared" ca="1" si="44"/>
        <v>11</v>
      </c>
      <c r="W151" s="24">
        <f t="shared" ca="1" si="45"/>
        <v>20</v>
      </c>
    </row>
    <row r="152" spans="1:23" x14ac:dyDescent="0.35">
      <c r="A152" s="32">
        <f t="shared" si="34"/>
        <v>128</v>
      </c>
      <c r="B152" s="28">
        <f t="shared" ca="1" si="29"/>
        <v>48285</v>
      </c>
      <c r="C152" s="28">
        <f t="shared" ca="1" si="30"/>
        <v>48285</v>
      </c>
      <c r="D152" s="32">
        <f t="shared" ca="1" si="38"/>
        <v>29</v>
      </c>
      <c r="E152" s="29">
        <f t="shared" si="39"/>
        <v>1866666.243333343</v>
      </c>
      <c r="F152" s="29">
        <f>IF(AND(A151="",A153=""),"",IF(A152="",ROUND(SUM($F$25:F151),2),IF(A152=$D$8,$E$24-ROUND(SUM($F$25:F151),2),ROUND($E$24/$D$8,2))))</f>
        <v>16666.669999999998</v>
      </c>
      <c r="G152" s="213">
        <f ca="1">IF(A151=$D$8,ROUND(SUM($G$25:G151),2),IF(A152&gt;$F$8,"",IF(T152&lt;&gt;T151,ROUND(SUM(V152*$F$17*E151/T152,W152*$F$17*E151/T151),2),ROUND(E151*$F$17*D152/T151,2))))</f>
        <v>17116.2</v>
      </c>
      <c r="H152" s="29">
        <f ca="1">IF(A151=$D$8,SUM($H$25:H151),IF(A151&gt;$D$8,"",F152+G152))</f>
        <v>33782.869999999995</v>
      </c>
      <c r="I152" s="212" t="str">
        <f t="shared" si="40"/>
        <v/>
      </c>
      <c r="J152" s="212" t="str">
        <f t="shared" si="41"/>
        <v/>
      </c>
      <c r="K152" s="212"/>
      <c r="L152" s="212" t="str">
        <f t="shared" si="42"/>
        <v/>
      </c>
      <c r="M152" s="29" t="str">
        <f t="shared" si="37"/>
        <v/>
      </c>
      <c r="N152" s="29" t="str">
        <f t="shared" si="36"/>
        <v/>
      </c>
      <c r="O152" s="22"/>
      <c r="P152" s="217" t="str">
        <f>IF(A151=$D$8,XIRR(R$24:R151,C$24:C151),"")</f>
        <v/>
      </c>
      <c r="Q152" s="212" t="str">
        <f t="shared" si="35"/>
        <v/>
      </c>
      <c r="R152" s="29">
        <f t="shared" ca="1" si="31"/>
        <v>33782.869999999995</v>
      </c>
      <c r="S152" s="22">
        <f t="shared" ca="1" si="32"/>
        <v>2032</v>
      </c>
      <c r="T152" s="22">
        <f t="shared" ca="1" si="33"/>
        <v>366</v>
      </c>
      <c r="U152" s="22">
        <f t="shared" ca="1" si="43"/>
        <v>12</v>
      </c>
      <c r="V152" s="23">
        <f t="shared" ca="1" si="44"/>
        <v>11</v>
      </c>
      <c r="W152" s="24">
        <f t="shared" ca="1" si="45"/>
        <v>18</v>
      </c>
    </row>
    <row r="153" spans="1:23" x14ac:dyDescent="0.35">
      <c r="A153" s="32">
        <f t="shared" si="34"/>
        <v>129</v>
      </c>
      <c r="B153" s="28">
        <f t="shared" ca="1" si="29"/>
        <v>48316</v>
      </c>
      <c r="C153" s="28">
        <f t="shared" ca="1" si="30"/>
        <v>48316</v>
      </c>
      <c r="D153" s="32">
        <f t="shared" ca="1" si="38"/>
        <v>31</v>
      </c>
      <c r="E153" s="29">
        <f t="shared" si="39"/>
        <v>1849999.573333343</v>
      </c>
      <c r="F153" s="29">
        <f>IF(AND(A152="",A154=""),"",IF(A153="",ROUND(SUM($F$25:F152),2),IF(A153=$D$8,$E$24-ROUND(SUM($F$25:F152),2),ROUND($E$24/$D$8,2))))</f>
        <v>16666.669999999998</v>
      </c>
      <c r="G153" s="213">
        <f ca="1">IF(A152=$D$8,ROUND(SUM($G$25:G152),2),IF(A153&gt;$F$8,"",IF(T153&lt;&gt;T152,ROUND(SUM(V153*$F$17*E152/T153,W153*$F$17*E152/T152),2),ROUND(E152*$F$17*D153/T152,2))))</f>
        <v>18134.71</v>
      </c>
      <c r="H153" s="29">
        <f ca="1">IF(A152=$D$8,SUM($H$25:H152),IF(A152&gt;$D$8,"",F153+G153))</f>
        <v>34801.379999999997</v>
      </c>
      <c r="I153" s="212" t="str">
        <f t="shared" si="40"/>
        <v/>
      </c>
      <c r="J153" s="212" t="str">
        <f t="shared" si="41"/>
        <v/>
      </c>
      <c r="K153" s="212"/>
      <c r="L153" s="212" t="str">
        <f t="shared" si="42"/>
        <v/>
      </c>
      <c r="M153" s="29" t="str">
        <f t="shared" si="37"/>
        <v/>
      </c>
      <c r="N153" s="29" t="str">
        <f t="shared" si="36"/>
        <v/>
      </c>
      <c r="O153" s="22"/>
      <c r="P153" s="217" t="str">
        <f>IF(A152=$D$8,XIRR(R$24:R152,C$24:C152),"")</f>
        <v/>
      </c>
      <c r="Q153" s="212" t="str">
        <f t="shared" si="35"/>
        <v/>
      </c>
      <c r="R153" s="29">
        <f t="shared" ca="1" si="31"/>
        <v>34801.379999999997</v>
      </c>
      <c r="S153" s="22">
        <f t="shared" ca="1" si="32"/>
        <v>2032</v>
      </c>
      <c r="T153" s="22">
        <f t="shared" ca="1" si="33"/>
        <v>366</v>
      </c>
      <c r="U153" s="22">
        <f t="shared" ca="1" si="43"/>
        <v>12</v>
      </c>
      <c r="V153" s="23">
        <f t="shared" ca="1" si="44"/>
        <v>11</v>
      </c>
      <c r="W153" s="24">
        <f t="shared" ca="1" si="45"/>
        <v>20</v>
      </c>
    </row>
    <row r="154" spans="1:23" x14ac:dyDescent="0.35">
      <c r="A154" s="32">
        <f t="shared" si="34"/>
        <v>130</v>
      </c>
      <c r="B154" s="28">
        <f t="shared" ref="B154:B217" ca="1" si="46">EDATE($B$24,A154)</f>
        <v>48346</v>
      </c>
      <c r="C154" s="28">
        <f t="shared" ref="C154:C217" ca="1" si="47">IF(B154=$D$10,B154-1,(IF(B154&gt;$D$10," ",B154)))</f>
        <v>48346</v>
      </c>
      <c r="D154" s="32">
        <f t="shared" ca="1" si="38"/>
        <v>30</v>
      </c>
      <c r="E154" s="29">
        <f t="shared" si="39"/>
        <v>1833332.9033333431</v>
      </c>
      <c r="F154" s="29">
        <f>IF(AND(A153="",A155=""),"",IF(A154="",ROUND(SUM($F$25:F153),2),IF(A154=$D$8,$E$24-ROUND(SUM($F$25:F153),2),ROUND($E$24/$D$8,2))))</f>
        <v>16666.669999999998</v>
      </c>
      <c r="G154" s="213">
        <f ca="1">IF(A153=$D$8,ROUND(SUM($G$25:G153),2),IF(A154&gt;$F$8,"",IF(T154&lt;&gt;T153,ROUND(SUM(V154*$F$17*E153/T154,W154*$F$17*E153/T153),2),ROUND(E153*$F$17*D154/T153,2))))</f>
        <v>17393.03</v>
      </c>
      <c r="H154" s="29">
        <f ca="1">IF(A153=$D$8,SUM($H$25:H153),IF(A153&gt;$D$8,"",F154+G154))</f>
        <v>34059.699999999997</v>
      </c>
      <c r="I154" s="212" t="str">
        <f t="shared" si="40"/>
        <v/>
      </c>
      <c r="J154" s="212" t="str">
        <f t="shared" si="41"/>
        <v/>
      </c>
      <c r="K154" s="212"/>
      <c r="L154" s="212" t="str">
        <f t="shared" si="42"/>
        <v/>
      </c>
      <c r="M154" s="29" t="str">
        <f t="shared" si="37"/>
        <v/>
      </c>
      <c r="N154" s="29" t="str">
        <f t="shared" si="36"/>
        <v/>
      </c>
      <c r="O154" s="22"/>
      <c r="P154" s="217" t="str">
        <f>IF(A153=$D$8,XIRR(R$24:R153,C$24:C153),"")</f>
        <v/>
      </c>
      <c r="Q154" s="212" t="str">
        <f t="shared" si="35"/>
        <v/>
      </c>
      <c r="R154" s="29">
        <f t="shared" ref="R154:R217" ca="1" si="48">SUM(H154:Q154)</f>
        <v>34059.699999999997</v>
      </c>
      <c r="S154" s="22">
        <f t="shared" ref="S154:S217" ca="1" si="49">IF(C154="","",YEAR(C154))</f>
        <v>2032</v>
      </c>
      <c r="T154" s="22">
        <f t="shared" ref="T154:T217" ca="1" si="50">IF(OR(S154=2024,S154=2028,S154=2016,S154=2020,S154=2024,S154=2028,S154=2032,S154=2036,S154=2040),366,365)</f>
        <v>366</v>
      </c>
      <c r="U154" s="22">
        <f t="shared" ca="1" si="43"/>
        <v>12</v>
      </c>
      <c r="V154" s="23">
        <f t="shared" ca="1" si="44"/>
        <v>11</v>
      </c>
      <c r="W154" s="24">
        <f t="shared" ca="1" si="45"/>
        <v>19</v>
      </c>
    </row>
    <row r="155" spans="1:23" x14ac:dyDescent="0.35">
      <c r="A155" s="32">
        <f t="shared" ref="A155:A218" si="51">IF(A154&lt;$D$8,A154+1,"")</f>
        <v>131</v>
      </c>
      <c r="B155" s="28">
        <f t="shared" ca="1" si="46"/>
        <v>48377</v>
      </c>
      <c r="C155" s="28">
        <f t="shared" ca="1" si="47"/>
        <v>48377</v>
      </c>
      <c r="D155" s="32">
        <f t="shared" ca="1" si="38"/>
        <v>31</v>
      </c>
      <c r="E155" s="29">
        <f t="shared" si="39"/>
        <v>1816666.2333333432</v>
      </c>
      <c r="F155" s="29">
        <f>IF(AND(A154="",A156=""),"",IF(A155="",ROUND(SUM($F$25:F154),2),IF(A155=$D$8,$E$24-ROUND(SUM($F$25:F154),2),ROUND($E$24/$D$8,2))))</f>
        <v>16666.669999999998</v>
      </c>
      <c r="G155" s="213">
        <f ca="1">IF(A154=$D$8,ROUND(SUM($G$25:G154),2),IF(A155&gt;$F$8,"",IF(T155&lt;&gt;T154,ROUND(SUM(V155*$F$17*E154/T155,W155*$F$17*E154/T154),2),ROUND(E154*$F$17*D155/T154,2))))</f>
        <v>17810.88</v>
      </c>
      <c r="H155" s="29">
        <f ca="1">IF(A154=$D$8,SUM($H$25:H154),IF(A154&gt;$D$8,"",F155+G155))</f>
        <v>34477.550000000003</v>
      </c>
      <c r="I155" s="212" t="str">
        <f t="shared" si="40"/>
        <v/>
      </c>
      <c r="J155" s="212" t="str">
        <f t="shared" si="41"/>
        <v/>
      </c>
      <c r="K155" s="212"/>
      <c r="L155" s="212" t="str">
        <f t="shared" si="42"/>
        <v/>
      </c>
      <c r="M155" s="29" t="str">
        <f t="shared" si="37"/>
        <v/>
      </c>
      <c r="N155" s="29" t="str">
        <f t="shared" si="36"/>
        <v/>
      </c>
      <c r="O155" s="22"/>
      <c r="P155" s="217" t="str">
        <f>IF(A154=$D$8,XIRR(R$24:R154,C$24:C154),"")</f>
        <v/>
      </c>
      <c r="Q155" s="212" t="str">
        <f t="shared" si="35"/>
        <v/>
      </c>
      <c r="R155" s="29">
        <f t="shared" ca="1" si="48"/>
        <v>34477.550000000003</v>
      </c>
      <c r="S155" s="22">
        <f t="shared" ca="1" si="49"/>
        <v>2032</v>
      </c>
      <c r="T155" s="22">
        <f t="shared" ca="1" si="50"/>
        <v>366</v>
      </c>
      <c r="U155" s="22">
        <f t="shared" ca="1" si="43"/>
        <v>12</v>
      </c>
      <c r="V155" s="23">
        <f t="shared" ca="1" si="44"/>
        <v>11</v>
      </c>
      <c r="W155" s="24">
        <f t="shared" ca="1" si="45"/>
        <v>20</v>
      </c>
    </row>
    <row r="156" spans="1:23" x14ac:dyDescent="0.35">
      <c r="A156" s="32">
        <f t="shared" si="51"/>
        <v>132</v>
      </c>
      <c r="B156" s="28">
        <f t="shared" ca="1" si="46"/>
        <v>48407</v>
      </c>
      <c r="C156" s="28">
        <f t="shared" ca="1" si="47"/>
        <v>48407</v>
      </c>
      <c r="D156" s="32">
        <f t="shared" ca="1" si="38"/>
        <v>30</v>
      </c>
      <c r="E156" s="29">
        <f t="shared" si="39"/>
        <v>1799999.5633333432</v>
      </c>
      <c r="F156" s="29">
        <f>IF(AND(A155="",A157=""),"",IF(A156="",ROUND(SUM($F$25:F155),2),IF(A156=$D$8,$E$24-ROUND(SUM($F$25:F155),2),ROUND($E$24/$D$8,2))))</f>
        <v>16666.669999999998</v>
      </c>
      <c r="G156" s="213">
        <f ca="1">IF(A155=$D$8,ROUND(SUM($G$25:G155),2),IF(A156&gt;$F$8,"",IF(T156&lt;&gt;T155,ROUND(SUM(V156*$F$17*E155/T156,W156*$F$17*E155/T155),2),ROUND(E155*$F$17*D156/T155,2))))</f>
        <v>17079.64</v>
      </c>
      <c r="H156" s="29">
        <f ca="1">IF(A155=$D$8,SUM($H$25:H155),IF(A155&gt;$D$8,"",F156+G156))</f>
        <v>33746.31</v>
      </c>
      <c r="I156" s="212" t="str">
        <f t="shared" si="40"/>
        <v/>
      </c>
      <c r="J156" s="212" t="str">
        <f t="shared" si="41"/>
        <v/>
      </c>
      <c r="K156" s="212"/>
      <c r="L156" s="212" t="str">
        <f t="shared" si="42"/>
        <v/>
      </c>
      <c r="M156" s="29" t="str">
        <f t="shared" si="37"/>
        <v/>
      </c>
      <c r="N156" s="29" t="str">
        <f t="shared" si="36"/>
        <v/>
      </c>
      <c r="O156" s="22"/>
      <c r="P156" s="217" t="str">
        <f>IF(A155=$D$8,XIRR(R$24:R155,C$24:C155),"")</f>
        <v/>
      </c>
      <c r="Q156" s="212" t="str">
        <f t="shared" ref="Q156:Q219" si="52">IF(A155=$D$8,G156+M156+F156+I156+J156+K156+L156+N156+O156,"")</f>
        <v/>
      </c>
      <c r="R156" s="29">
        <f t="shared" ca="1" si="48"/>
        <v>33746.31</v>
      </c>
      <c r="S156" s="22">
        <f t="shared" ca="1" si="49"/>
        <v>2032</v>
      </c>
      <c r="T156" s="22">
        <f t="shared" ca="1" si="50"/>
        <v>366</v>
      </c>
      <c r="U156" s="22">
        <f t="shared" ca="1" si="43"/>
        <v>12</v>
      </c>
      <c r="V156" s="23">
        <f t="shared" ca="1" si="44"/>
        <v>11</v>
      </c>
      <c r="W156" s="24">
        <f t="shared" ca="1" si="45"/>
        <v>19</v>
      </c>
    </row>
    <row r="157" spans="1:23" x14ac:dyDescent="0.35">
      <c r="A157" s="32">
        <f t="shared" si="51"/>
        <v>133</v>
      </c>
      <c r="B157" s="28">
        <f t="shared" ca="1" si="46"/>
        <v>48438</v>
      </c>
      <c r="C157" s="28">
        <f t="shared" ca="1" si="47"/>
        <v>48438</v>
      </c>
      <c r="D157" s="32">
        <f t="shared" ca="1" si="38"/>
        <v>31</v>
      </c>
      <c r="E157" s="29">
        <f t="shared" si="39"/>
        <v>1783332.8933333433</v>
      </c>
      <c r="F157" s="29">
        <f>IF(AND(A156="",A158=""),"",IF(A157="",ROUND(SUM($F$25:F156),2),IF(A157=$D$8,$E$24-ROUND(SUM($F$25:F156),2),ROUND($E$24/$D$8,2))))</f>
        <v>16666.669999999998</v>
      </c>
      <c r="G157" s="213">
        <f ca="1">IF(A156=$D$8,ROUND(SUM($G$25:G156),2),IF(A157&gt;$F$8,"",IF(T157&lt;&gt;T156,ROUND(SUM(V157*$F$17*E156/T157,W157*$F$17*E156/T156),2),ROUND(E156*$F$17*D157/T156,2))))</f>
        <v>17487.04</v>
      </c>
      <c r="H157" s="29">
        <f ca="1">IF(A156=$D$8,SUM($H$25:H156),IF(A156&gt;$D$8,"",F157+G157))</f>
        <v>34153.71</v>
      </c>
      <c r="I157" s="212" t="str">
        <f t="shared" si="40"/>
        <v/>
      </c>
      <c r="J157" s="212" t="str">
        <f t="shared" si="41"/>
        <v/>
      </c>
      <c r="K157" s="212">
        <f>IF($F$8&gt;132,($O$8+$O$10),IF($A$156=$F$8,$K$24*$G$8,""))</f>
        <v>17100</v>
      </c>
      <c r="L157" s="212" t="str">
        <f t="shared" si="42"/>
        <v/>
      </c>
      <c r="M157" s="29" t="str">
        <f t="shared" si="37"/>
        <v/>
      </c>
      <c r="N157" s="29" t="str">
        <f t="shared" si="36"/>
        <v/>
      </c>
      <c r="O157" s="22"/>
      <c r="P157" s="217" t="str">
        <f>IF(A156=$D$8,XIRR(R$24:R156,C$24:C156),"")</f>
        <v/>
      </c>
      <c r="Q157" s="212" t="str">
        <f t="shared" si="52"/>
        <v/>
      </c>
      <c r="R157" s="29">
        <f t="shared" ca="1" si="48"/>
        <v>51253.71</v>
      </c>
      <c r="S157" s="22">
        <f t="shared" ca="1" si="49"/>
        <v>2032</v>
      </c>
      <c r="T157" s="22">
        <f t="shared" ca="1" si="50"/>
        <v>366</v>
      </c>
      <c r="U157" s="22">
        <f t="shared" ca="1" si="43"/>
        <v>12</v>
      </c>
      <c r="V157" s="23">
        <f t="shared" ca="1" si="44"/>
        <v>11</v>
      </c>
      <c r="W157" s="24">
        <f t="shared" ca="1" si="45"/>
        <v>20</v>
      </c>
    </row>
    <row r="158" spans="1:23" x14ac:dyDescent="0.35">
      <c r="A158" s="32">
        <f t="shared" si="51"/>
        <v>134</v>
      </c>
      <c r="B158" s="28">
        <f t="shared" ca="1" si="46"/>
        <v>48469</v>
      </c>
      <c r="C158" s="28">
        <f t="shared" ca="1" si="47"/>
        <v>48469</v>
      </c>
      <c r="D158" s="32">
        <f t="shared" ca="1" si="38"/>
        <v>31</v>
      </c>
      <c r="E158" s="29">
        <f t="shared" si="39"/>
        <v>1766666.2233333434</v>
      </c>
      <c r="F158" s="29">
        <f>IF(AND(A157="",A159=""),"",IF(A158="",ROUND(SUM($F$25:F157),2),IF(A158=$D$8,$E$24-ROUND(SUM($F$25:F157),2),ROUND($E$24/$D$8,2))))</f>
        <v>16666.669999999998</v>
      </c>
      <c r="G158" s="213">
        <f ca="1">IF(A157=$D$8,ROUND(SUM($G$25:G157),2),IF(A158&gt;$F$8,"",IF(T158&lt;&gt;T157,ROUND(SUM(V158*$F$17*E157/T158,W158*$F$17*E157/T157),2),ROUND(E157*$F$17*D158/T157,2))))</f>
        <v>17325.13</v>
      </c>
      <c r="H158" s="29">
        <f ca="1">IF(A157=$D$8,SUM($H$25:H157),IF(A157&gt;$D$8,"",F158+G158))</f>
        <v>33991.800000000003</v>
      </c>
      <c r="I158" s="212" t="str">
        <f t="shared" si="40"/>
        <v/>
      </c>
      <c r="J158" s="212" t="str">
        <f t="shared" si="41"/>
        <v/>
      </c>
      <c r="K158" s="212"/>
      <c r="L158" s="212" t="str">
        <f t="shared" si="42"/>
        <v/>
      </c>
      <c r="M158" s="29" t="str">
        <f t="shared" si="37"/>
        <v/>
      </c>
      <c r="N158" s="29" t="str">
        <f t="shared" ref="N158:N221" si="53">IF(A157=$D$8,$N$24,"")</f>
        <v/>
      </c>
      <c r="O158" s="22"/>
      <c r="P158" s="217" t="str">
        <f>IF(A157=$D$8,XIRR(R$24:R157,C$24:C157),"")</f>
        <v/>
      </c>
      <c r="Q158" s="212" t="str">
        <f t="shared" si="52"/>
        <v/>
      </c>
      <c r="R158" s="29">
        <f t="shared" ca="1" si="48"/>
        <v>33991.800000000003</v>
      </c>
      <c r="S158" s="22">
        <f t="shared" ca="1" si="49"/>
        <v>2032</v>
      </c>
      <c r="T158" s="22">
        <f t="shared" ca="1" si="50"/>
        <v>366</v>
      </c>
      <c r="U158" s="22">
        <f t="shared" ca="1" si="43"/>
        <v>12</v>
      </c>
      <c r="V158" s="23">
        <f t="shared" ca="1" si="44"/>
        <v>11</v>
      </c>
      <c r="W158" s="24">
        <f t="shared" ca="1" si="45"/>
        <v>20</v>
      </c>
    </row>
    <row r="159" spans="1:23" x14ac:dyDescent="0.35">
      <c r="A159" s="32">
        <f t="shared" si="51"/>
        <v>135</v>
      </c>
      <c r="B159" s="28">
        <f t="shared" ca="1" si="46"/>
        <v>48499</v>
      </c>
      <c r="C159" s="28">
        <f t="shared" ca="1" si="47"/>
        <v>48499</v>
      </c>
      <c r="D159" s="32">
        <f t="shared" ca="1" si="38"/>
        <v>30</v>
      </c>
      <c r="E159" s="29">
        <f t="shared" si="39"/>
        <v>1749999.5533333435</v>
      </c>
      <c r="F159" s="29">
        <f>IF(AND(A158="",A160=""),"",IF(A159="",ROUND(SUM($F$25:F158),2),IF(A159=$D$8,$E$24-ROUND(SUM($F$25:F158),2),ROUND($E$24/$D$8,2))))</f>
        <v>16666.669999999998</v>
      </c>
      <c r="G159" s="213">
        <f ca="1">IF(A158=$D$8,ROUND(SUM($G$25:G158),2),IF(A159&gt;$F$8,"",IF(T159&lt;&gt;T158,ROUND(SUM(V159*$F$17*E158/T159,W159*$F$17*E158/T158),2),ROUND(E158*$F$17*D159/T158,2))))</f>
        <v>16609.560000000001</v>
      </c>
      <c r="H159" s="29">
        <f ca="1">IF(A158=$D$8,SUM($H$25:H158),IF(A158&gt;$D$8,"",F159+G159))</f>
        <v>33276.229999999996</v>
      </c>
      <c r="I159" s="212" t="str">
        <f t="shared" si="40"/>
        <v/>
      </c>
      <c r="J159" s="212" t="str">
        <f t="shared" si="41"/>
        <v/>
      </c>
      <c r="K159" s="212"/>
      <c r="L159" s="212" t="str">
        <f t="shared" si="42"/>
        <v/>
      </c>
      <c r="M159" s="29" t="str">
        <f t="shared" si="37"/>
        <v/>
      </c>
      <c r="N159" s="29" t="str">
        <f t="shared" si="53"/>
        <v/>
      </c>
      <c r="O159" s="22"/>
      <c r="P159" s="217" t="str">
        <f>IF(A158=$D$8,XIRR(R$24:R158,C$24:C158),"")</f>
        <v/>
      </c>
      <c r="Q159" s="212" t="str">
        <f t="shared" si="52"/>
        <v/>
      </c>
      <c r="R159" s="29">
        <f t="shared" ca="1" si="48"/>
        <v>33276.229999999996</v>
      </c>
      <c r="S159" s="22">
        <f t="shared" ca="1" si="49"/>
        <v>2032</v>
      </c>
      <c r="T159" s="22">
        <f t="shared" ca="1" si="50"/>
        <v>366</v>
      </c>
      <c r="U159" s="22">
        <f t="shared" ca="1" si="43"/>
        <v>12</v>
      </c>
      <c r="V159" s="23">
        <f t="shared" ca="1" si="44"/>
        <v>11</v>
      </c>
      <c r="W159" s="24">
        <f t="shared" ca="1" si="45"/>
        <v>19</v>
      </c>
    </row>
    <row r="160" spans="1:23" x14ac:dyDescent="0.35">
      <c r="A160" s="32">
        <f t="shared" si="51"/>
        <v>136</v>
      </c>
      <c r="B160" s="28">
        <f t="shared" ca="1" si="46"/>
        <v>48530</v>
      </c>
      <c r="C160" s="28">
        <f t="shared" ca="1" si="47"/>
        <v>48530</v>
      </c>
      <c r="D160" s="32">
        <f t="shared" ca="1" si="38"/>
        <v>31</v>
      </c>
      <c r="E160" s="29">
        <f t="shared" si="39"/>
        <v>1733332.8833333435</v>
      </c>
      <c r="F160" s="29">
        <f>IF(AND(A159="",A161=""),"",IF(A160="",ROUND(SUM($F$25:F159),2),IF(A160=$D$8,$E$24-ROUND(SUM($F$25:F159),2),ROUND($E$24/$D$8,2))))</f>
        <v>16666.669999999998</v>
      </c>
      <c r="G160" s="213">
        <f ca="1">IF(A159=$D$8,ROUND(SUM($G$25:G159),2),IF(A160&gt;$F$8,"",IF(T160&lt;&gt;T159,ROUND(SUM(V160*$F$17*E159/T160,W160*$F$17*E159/T159),2),ROUND(E159*$F$17*D160/T159,2))))</f>
        <v>17001.29</v>
      </c>
      <c r="H160" s="29">
        <f ca="1">IF(A159=$D$8,SUM($H$25:H159),IF(A159&gt;$D$8,"",F160+G160))</f>
        <v>33667.96</v>
      </c>
      <c r="I160" s="212" t="str">
        <f t="shared" si="40"/>
        <v/>
      </c>
      <c r="J160" s="212" t="str">
        <f t="shared" si="41"/>
        <v/>
      </c>
      <c r="K160" s="212"/>
      <c r="L160" s="212" t="str">
        <f t="shared" si="42"/>
        <v/>
      </c>
      <c r="M160" s="29" t="str">
        <f t="shared" ref="M160:M223" si="54">IF(A159=$D$8,$M$24,"")</f>
        <v/>
      </c>
      <c r="N160" s="29" t="str">
        <f t="shared" si="53"/>
        <v/>
      </c>
      <c r="O160" s="22"/>
      <c r="P160" s="217" t="str">
        <f>IF(A159=$D$8,XIRR(R$24:R159,C$24:C159),"")</f>
        <v/>
      </c>
      <c r="Q160" s="212" t="str">
        <f t="shared" si="52"/>
        <v/>
      </c>
      <c r="R160" s="29">
        <f t="shared" ca="1" si="48"/>
        <v>33667.96</v>
      </c>
      <c r="S160" s="22">
        <f t="shared" ca="1" si="49"/>
        <v>2032</v>
      </c>
      <c r="T160" s="22">
        <f t="shared" ca="1" si="50"/>
        <v>366</v>
      </c>
      <c r="U160" s="22">
        <f t="shared" ca="1" si="43"/>
        <v>12</v>
      </c>
      <c r="V160" s="23">
        <f t="shared" ca="1" si="44"/>
        <v>11</v>
      </c>
      <c r="W160" s="24">
        <f t="shared" ca="1" si="45"/>
        <v>20</v>
      </c>
    </row>
    <row r="161" spans="1:23" x14ac:dyDescent="0.35">
      <c r="A161" s="32">
        <f t="shared" si="51"/>
        <v>137</v>
      </c>
      <c r="B161" s="28">
        <f t="shared" ca="1" si="46"/>
        <v>48560</v>
      </c>
      <c r="C161" s="28">
        <f t="shared" ca="1" si="47"/>
        <v>48560</v>
      </c>
      <c r="D161" s="32">
        <f t="shared" ca="1" si="38"/>
        <v>30</v>
      </c>
      <c r="E161" s="29">
        <f t="shared" si="39"/>
        <v>1716666.2133333436</v>
      </c>
      <c r="F161" s="29">
        <f>IF(AND(A160="",A162=""),"",IF(A161="",ROUND(SUM($F$25:F160),2),IF(A161=$D$8,$E$24-ROUND(SUM($F$25:F160),2),ROUND($E$24/$D$8,2))))</f>
        <v>16666.669999999998</v>
      </c>
      <c r="G161" s="213">
        <f ca="1">IF(A160=$D$8,ROUND(SUM($G$25:G160),2),IF(A161&gt;$F$8,"",IF(T161&lt;&gt;T160,ROUND(SUM(V161*$F$17*E160/T161,W161*$F$17*E160/T160),2),ROUND(E160*$F$17*D161/T160,2))))</f>
        <v>16296.17</v>
      </c>
      <c r="H161" s="29">
        <f ca="1">IF(A160=$D$8,SUM($H$25:H160),IF(A160&gt;$D$8,"",F161+G161))</f>
        <v>32962.839999999997</v>
      </c>
      <c r="I161" s="212" t="str">
        <f t="shared" si="40"/>
        <v/>
      </c>
      <c r="J161" s="212" t="str">
        <f t="shared" si="41"/>
        <v/>
      </c>
      <c r="K161" s="212"/>
      <c r="L161" s="212" t="str">
        <f t="shared" si="42"/>
        <v/>
      </c>
      <c r="M161" s="29" t="str">
        <f t="shared" si="54"/>
        <v/>
      </c>
      <c r="N161" s="29" t="str">
        <f t="shared" si="53"/>
        <v/>
      </c>
      <c r="O161" s="22"/>
      <c r="P161" s="217" t="str">
        <f>IF(A160=$D$8,XIRR(R$24:R160,C$24:C160),"")</f>
        <v/>
      </c>
      <c r="Q161" s="212" t="str">
        <f t="shared" si="52"/>
        <v/>
      </c>
      <c r="R161" s="29">
        <f t="shared" ca="1" si="48"/>
        <v>32962.839999999997</v>
      </c>
      <c r="S161" s="22">
        <f t="shared" ca="1" si="49"/>
        <v>2032</v>
      </c>
      <c r="T161" s="22">
        <f t="shared" ca="1" si="50"/>
        <v>366</v>
      </c>
      <c r="U161" s="22">
        <f t="shared" ca="1" si="43"/>
        <v>12</v>
      </c>
      <c r="V161" s="23">
        <f t="shared" ca="1" si="44"/>
        <v>11</v>
      </c>
      <c r="W161" s="24">
        <f t="shared" ca="1" si="45"/>
        <v>19</v>
      </c>
    </row>
    <row r="162" spans="1:23" x14ac:dyDescent="0.35">
      <c r="A162" s="32">
        <f t="shared" si="51"/>
        <v>138</v>
      </c>
      <c r="B162" s="28">
        <f t="shared" ca="1" si="46"/>
        <v>48591</v>
      </c>
      <c r="C162" s="28">
        <f t="shared" ca="1" si="47"/>
        <v>48591</v>
      </c>
      <c r="D162" s="32">
        <f t="shared" ca="1" si="38"/>
        <v>31</v>
      </c>
      <c r="E162" s="29">
        <f t="shared" si="39"/>
        <v>1699999.5433333437</v>
      </c>
      <c r="F162" s="29">
        <f>IF(AND(A161="",A163=""),"",IF(A162="",ROUND(SUM($F$25:F161),2),IF(A162=$D$8,$E$24-ROUND(SUM($F$25:F161),2),ROUND($E$24/$D$8,2))))</f>
        <v>16666.669999999998</v>
      </c>
      <c r="G162" s="213">
        <f ca="1">IF(A161=$D$8,ROUND(SUM($G$25:G161),2),IF(A162&gt;$F$8,"",IF(T162&lt;&gt;T161,ROUND(SUM(V162*$F$17*E161/T162,W162*$F$17*E161/T161),2),ROUND(E161*$F$17*D162/T161,2))))</f>
        <v>16693.669999999998</v>
      </c>
      <c r="H162" s="29">
        <f ca="1">IF(A161=$D$8,SUM($H$25:H161),IF(A161&gt;$D$8,"",F162+G162))</f>
        <v>33360.339999999997</v>
      </c>
      <c r="I162" s="212" t="str">
        <f t="shared" si="40"/>
        <v/>
      </c>
      <c r="J162" s="212" t="str">
        <f t="shared" si="41"/>
        <v/>
      </c>
      <c r="K162" s="212"/>
      <c r="L162" s="212" t="str">
        <f t="shared" si="42"/>
        <v/>
      </c>
      <c r="M162" s="29" t="str">
        <f t="shared" si="54"/>
        <v/>
      </c>
      <c r="N162" s="29" t="str">
        <f t="shared" si="53"/>
        <v/>
      </c>
      <c r="O162" s="22"/>
      <c r="P162" s="217" t="str">
        <f>IF(A161=$D$8,XIRR(R$24:R161,C$24:C161),"")</f>
        <v/>
      </c>
      <c r="Q162" s="212" t="str">
        <f t="shared" si="52"/>
        <v/>
      </c>
      <c r="R162" s="29">
        <f t="shared" ca="1" si="48"/>
        <v>33360.339999999997</v>
      </c>
      <c r="S162" s="22">
        <f t="shared" ca="1" si="49"/>
        <v>2033</v>
      </c>
      <c r="T162" s="22">
        <f t="shared" ca="1" si="50"/>
        <v>365</v>
      </c>
      <c r="U162" s="22">
        <f t="shared" ca="1" si="43"/>
        <v>12</v>
      </c>
      <c r="V162" s="23">
        <f t="shared" ca="1" si="44"/>
        <v>11</v>
      </c>
      <c r="W162" s="24">
        <f t="shared" ca="1" si="45"/>
        <v>20</v>
      </c>
    </row>
    <row r="163" spans="1:23" x14ac:dyDescent="0.35">
      <c r="A163" s="32">
        <f t="shared" si="51"/>
        <v>139</v>
      </c>
      <c r="B163" s="28">
        <f t="shared" ca="1" si="46"/>
        <v>48622</v>
      </c>
      <c r="C163" s="28">
        <f t="shared" ca="1" si="47"/>
        <v>48622</v>
      </c>
      <c r="D163" s="32">
        <f t="shared" ca="1" si="38"/>
        <v>31</v>
      </c>
      <c r="E163" s="29">
        <f t="shared" si="39"/>
        <v>1683332.8733333438</v>
      </c>
      <c r="F163" s="29">
        <f>IF(AND(A162="",A164=""),"",IF(A163="",ROUND(SUM($F$25:F162),2),IF(A163=$D$8,$E$24-ROUND(SUM($F$25:F162),2),ROUND($E$24/$D$8,2))))</f>
        <v>16666.669999999998</v>
      </c>
      <c r="G163" s="213">
        <f ca="1">IF(A162=$D$8,ROUND(SUM($G$25:G162),2),IF(A163&gt;$F$8,"",IF(T163&lt;&gt;T162,ROUND(SUM(V163*$F$17*E162/T163,W163*$F$17*E162/T162),2),ROUND(E162*$F$17*D163/T162,2))))</f>
        <v>16560.79</v>
      </c>
      <c r="H163" s="29">
        <f ca="1">IF(A162=$D$8,SUM($H$25:H162),IF(A162&gt;$D$8,"",F163+G163))</f>
        <v>33227.46</v>
      </c>
      <c r="I163" s="212" t="str">
        <f t="shared" si="40"/>
        <v/>
      </c>
      <c r="J163" s="212" t="str">
        <f t="shared" si="41"/>
        <v/>
      </c>
      <c r="K163" s="212"/>
      <c r="L163" s="212" t="str">
        <f t="shared" si="42"/>
        <v/>
      </c>
      <c r="M163" s="29" t="str">
        <f t="shared" si="54"/>
        <v/>
      </c>
      <c r="N163" s="29" t="str">
        <f t="shared" si="53"/>
        <v/>
      </c>
      <c r="O163" s="22"/>
      <c r="P163" s="217" t="str">
        <f>IF(A162=$D$8,XIRR(R$24:R162,C$24:C162),"")</f>
        <v/>
      </c>
      <c r="Q163" s="212" t="str">
        <f t="shared" si="52"/>
        <v/>
      </c>
      <c r="R163" s="29">
        <f t="shared" ca="1" si="48"/>
        <v>33227.46</v>
      </c>
      <c r="S163" s="22">
        <f t="shared" ca="1" si="49"/>
        <v>2033</v>
      </c>
      <c r="T163" s="22">
        <f t="shared" ca="1" si="50"/>
        <v>365</v>
      </c>
      <c r="U163" s="22">
        <f t="shared" ca="1" si="43"/>
        <v>12</v>
      </c>
      <c r="V163" s="23">
        <f t="shared" ca="1" si="44"/>
        <v>11</v>
      </c>
      <c r="W163" s="24">
        <f t="shared" ca="1" si="45"/>
        <v>20</v>
      </c>
    </row>
    <row r="164" spans="1:23" x14ac:dyDescent="0.35">
      <c r="A164" s="32">
        <f t="shared" si="51"/>
        <v>140</v>
      </c>
      <c r="B164" s="28">
        <f t="shared" ca="1" si="46"/>
        <v>48650</v>
      </c>
      <c r="C164" s="28">
        <f t="shared" ca="1" si="47"/>
        <v>48650</v>
      </c>
      <c r="D164" s="32">
        <f t="shared" ca="1" si="38"/>
        <v>28</v>
      </c>
      <c r="E164" s="29">
        <f t="shared" si="39"/>
        <v>1666666.2033333438</v>
      </c>
      <c r="F164" s="29">
        <f>IF(AND(A163="",A165=""),"",IF(A164="",ROUND(SUM($F$25:F163),2),IF(A164=$D$8,$E$24-ROUND(SUM($F$25:F163),2),ROUND($E$24/$D$8,2))))</f>
        <v>16666.669999999998</v>
      </c>
      <c r="G164" s="213">
        <f ca="1">IF(A163=$D$8,ROUND(SUM($G$25:G163),2),IF(A164&gt;$F$8,"",IF(T164&lt;&gt;T163,ROUND(SUM(V164*$F$17*E163/T164,W164*$F$17*E163/T163),2),ROUND(E163*$F$17*D164/T163,2))))</f>
        <v>14811.48</v>
      </c>
      <c r="H164" s="29">
        <f ca="1">IF(A163=$D$8,SUM($H$25:H163),IF(A163&gt;$D$8,"",F164+G164))</f>
        <v>31478.149999999998</v>
      </c>
      <c r="I164" s="212" t="str">
        <f t="shared" si="40"/>
        <v/>
      </c>
      <c r="J164" s="212" t="str">
        <f t="shared" si="41"/>
        <v/>
      </c>
      <c r="K164" s="212"/>
      <c r="L164" s="212" t="str">
        <f t="shared" si="42"/>
        <v/>
      </c>
      <c r="M164" s="29" t="str">
        <f t="shared" si="54"/>
        <v/>
      </c>
      <c r="N164" s="29" t="str">
        <f t="shared" si="53"/>
        <v/>
      </c>
      <c r="O164" s="22"/>
      <c r="P164" s="217" t="str">
        <f>IF(A163=$D$8,XIRR(R$24:R163,C$24:C163),"")</f>
        <v/>
      </c>
      <c r="Q164" s="212" t="str">
        <f t="shared" si="52"/>
        <v/>
      </c>
      <c r="R164" s="29">
        <f t="shared" ca="1" si="48"/>
        <v>31478.149999999998</v>
      </c>
      <c r="S164" s="22">
        <f t="shared" ca="1" si="49"/>
        <v>2033</v>
      </c>
      <c r="T164" s="22">
        <f t="shared" ca="1" si="50"/>
        <v>365</v>
      </c>
      <c r="U164" s="22">
        <f t="shared" ca="1" si="43"/>
        <v>12</v>
      </c>
      <c r="V164" s="23">
        <f t="shared" ca="1" si="44"/>
        <v>11</v>
      </c>
      <c r="W164" s="24">
        <f t="shared" ca="1" si="45"/>
        <v>17</v>
      </c>
    </row>
    <row r="165" spans="1:23" x14ac:dyDescent="0.35">
      <c r="A165" s="32">
        <f t="shared" si="51"/>
        <v>141</v>
      </c>
      <c r="B165" s="28">
        <f t="shared" ca="1" si="46"/>
        <v>48681</v>
      </c>
      <c r="C165" s="28">
        <f t="shared" ca="1" si="47"/>
        <v>48681</v>
      </c>
      <c r="D165" s="32">
        <f t="shared" ca="1" si="38"/>
        <v>31</v>
      </c>
      <c r="E165" s="29">
        <f t="shared" si="39"/>
        <v>1649999.5333333439</v>
      </c>
      <c r="F165" s="29">
        <f>IF(AND(A164="",A166=""),"",IF(A165="",ROUND(SUM($F$25:F164),2),IF(A165=$D$8,$E$24-ROUND(SUM($F$25:F164),2),ROUND($E$24/$D$8,2))))</f>
        <v>16666.669999999998</v>
      </c>
      <c r="G165" s="213">
        <f ca="1">IF(A164=$D$8,ROUND(SUM($G$25:G164),2),IF(A165&gt;$F$8,"",IF(T165&lt;&gt;T164,ROUND(SUM(V165*$F$17*E164/T165,W165*$F$17*E164/T164),2),ROUND(E164*$F$17*D165/T164,2))))</f>
        <v>16236.07</v>
      </c>
      <c r="H165" s="29">
        <f ca="1">IF(A164=$D$8,SUM($H$25:H164),IF(A164&gt;$D$8,"",F165+G165))</f>
        <v>32902.74</v>
      </c>
      <c r="I165" s="212" t="str">
        <f t="shared" si="40"/>
        <v/>
      </c>
      <c r="J165" s="212" t="str">
        <f t="shared" si="41"/>
        <v/>
      </c>
      <c r="K165" s="212"/>
      <c r="L165" s="212" t="str">
        <f t="shared" si="42"/>
        <v/>
      </c>
      <c r="M165" s="29" t="str">
        <f t="shared" si="54"/>
        <v/>
      </c>
      <c r="N165" s="29" t="str">
        <f t="shared" si="53"/>
        <v/>
      </c>
      <c r="O165" s="22"/>
      <c r="P165" s="217" t="str">
        <f>IF(A164=$D$8,XIRR(R$24:R164,C$24:C164),"")</f>
        <v/>
      </c>
      <c r="Q165" s="212" t="str">
        <f t="shared" si="52"/>
        <v/>
      </c>
      <c r="R165" s="29">
        <f t="shared" ca="1" si="48"/>
        <v>32902.74</v>
      </c>
      <c r="S165" s="22">
        <f t="shared" ca="1" si="49"/>
        <v>2033</v>
      </c>
      <c r="T165" s="22">
        <f t="shared" ca="1" si="50"/>
        <v>365</v>
      </c>
      <c r="U165" s="22">
        <f t="shared" ca="1" si="43"/>
        <v>12</v>
      </c>
      <c r="V165" s="23">
        <f t="shared" ca="1" si="44"/>
        <v>11</v>
      </c>
      <c r="W165" s="24">
        <f t="shared" ca="1" si="45"/>
        <v>20</v>
      </c>
    </row>
    <row r="166" spans="1:23" x14ac:dyDescent="0.35">
      <c r="A166" s="32">
        <f t="shared" si="51"/>
        <v>142</v>
      </c>
      <c r="B166" s="28">
        <f t="shared" ca="1" si="46"/>
        <v>48711</v>
      </c>
      <c r="C166" s="28">
        <f t="shared" ca="1" si="47"/>
        <v>48711</v>
      </c>
      <c r="D166" s="32">
        <f t="shared" ref="D166:D229" ca="1" si="55">IF(A166&gt;$D$8,"",C166-C165)</f>
        <v>30</v>
      </c>
      <c r="E166" s="29">
        <f t="shared" ref="E166:E229" si="56">IF(A166&gt;$D$8,"",E165-F166)</f>
        <v>1633332.863333344</v>
      </c>
      <c r="F166" s="29">
        <f>IF(AND(A165="",A167=""),"",IF(A166="",ROUND(SUM($F$25:F165),2),IF(A166=$D$8,$E$24-ROUND(SUM($F$25:F165),2),ROUND($E$24/$D$8,2))))</f>
        <v>16666.669999999998</v>
      </c>
      <c r="G166" s="213">
        <f ca="1">IF(A165=$D$8,ROUND(SUM($G$25:G165),2),IF(A166&gt;$F$8,"",IF(T166&lt;&gt;T165,ROUND(SUM(V166*$F$17*E165/T166,W166*$F$17*E165/T165),2),ROUND(E165*$F$17*D166/T165,2))))</f>
        <v>15555.2</v>
      </c>
      <c r="H166" s="29">
        <f ca="1">IF(A165=$D$8,SUM($H$25:H165),IF(A165&gt;$D$8,"",F166+G166))</f>
        <v>32221.87</v>
      </c>
      <c r="I166" s="212" t="str">
        <f t="shared" ref="I166:I229" si="57">IF(A165=$F$8,$I$24,"")</f>
        <v/>
      </c>
      <c r="J166" s="212" t="str">
        <f t="shared" ref="J166:J229" si="58">IF(A165=$F$8,$J$24,"")</f>
        <v/>
      </c>
      <c r="K166" s="212"/>
      <c r="L166" s="212" t="str">
        <f t="shared" ref="L166:L229" si="59">IF(A165=$F$8,$L$24,"")</f>
        <v/>
      </c>
      <c r="M166" s="29" t="str">
        <f t="shared" si="54"/>
        <v/>
      </c>
      <c r="N166" s="29" t="str">
        <f t="shared" si="53"/>
        <v/>
      </c>
      <c r="O166" s="22"/>
      <c r="P166" s="217" t="str">
        <f>IF(A165=$D$8,XIRR(R$24:R165,C$24:C165),"")</f>
        <v/>
      </c>
      <c r="Q166" s="212" t="str">
        <f t="shared" si="52"/>
        <v/>
      </c>
      <c r="R166" s="29">
        <f t="shared" ca="1" si="48"/>
        <v>32221.87</v>
      </c>
      <c r="S166" s="22">
        <f t="shared" ca="1" si="49"/>
        <v>2033</v>
      </c>
      <c r="T166" s="22">
        <f t="shared" ca="1" si="50"/>
        <v>365</v>
      </c>
      <c r="U166" s="22">
        <f t="shared" ca="1" si="43"/>
        <v>12</v>
      </c>
      <c r="V166" s="23">
        <f t="shared" ca="1" si="44"/>
        <v>11</v>
      </c>
      <c r="W166" s="24">
        <f t="shared" ca="1" si="45"/>
        <v>19</v>
      </c>
    </row>
    <row r="167" spans="1:23" x14ac:dyDescent="0.35">
      <c r="A167" s="32">
        <f t="shared" si="51"/>
        <v>143</v>
      </c>
      <c r="B167" s="28">
        <f t="shared" ca="1" si="46"/>
        <v>48742</v>
      </c>
      <c r="C167" s="28">
        <f t="shared" ca="1" si="47"/>
        <v>48742</v>
      </c>
      <c r="D167" s="32">
        <f t="shared" ca="1" si="55"/>
        <v>31</v>
      </c>
      <c r="E167" s="29">
        <f t="shared" si="56"/>
        <v>1616666.1933333441</v>
      </c>
      <c r="F167" s="29">
        <f>IF(AND(A166="",A168=""),"",IF(A167="",ROUND(SUM($F$25:F166),2),IF(A167=$D$8,$E$24-ROUND(SUM($F$25:F166),2),ROUND($E$24/$D$8,2))))</f>
        <v>16666.669999999998</v>
      </c>
      <c r="G167" s="213">
        <f ca="1">IF(A166=$D$8,ROUND(SUM($G$25:G166),2),IF(A167&gt;$F$8,"",IF(T167&lt;&gt;T166,ROUND(SUM(V167*$F$17*E166/T167,W167*$F$17*E166/T166),2),ROUND(E166*$F$17*D167/T166,2))))</f>
        <v>15911.35</v>
      </c>
      <c r="H167" s="29">
        <f ca="1">IF(A166=$D$8,SUM($H$25:H166),IF(A166&gt;$D$8,"",F167+G167))</f>
        <v>32578.019999999997</v>
      </c>
      <c r="I167" s="212" t="str">
        <f t="shared" si="57"/>
        <v/>
      </c>
      <c r="J167" s="212" t="str">
        <f t="shared" si="58"/>
        <v/>
      </c>
      <c r="K167" s="212"/>
      <c r="L167" s="212" t="str">
        <f t="shared" si="59"/>
        <v/>
      </c>
      <c r="M167" s="29" t="str">
        <f t="shared" si="54"/>
        <v/>
      </c>
      <c r="N167" s="29" t="str">
        <f t="shared" si="53"/>
        <v/>
      </c>
      <c r="O167" s="22"/>
      <c r="P167" s="217" t="str">
        <f>IF(A166=$D$8,XIRR(R$24:R166,C$24:C166),"")</f>
        <v/>
      </c>
      <c r="Q167" s="212" t="str">
        <f t="shared" si="52"/>
        <v/>
      </c>
      <c r="R167" s="29">
        <f t="shared" ca="1" si="48"/>
        <v>32578.019999999997</v>
      </c>
      <c r="S167" s="22">
        <f t="shared" ca="1" si="49"/>
        <v>2033</v>
      </c>
      <c r="T167" s="22">
        <f t="shared" ca="1" si="50"/>
        <v>365</v>
      </c>
      <c r="U167" s="22">
        <f t="shared" ca="1" si="43"/>
        <v>12</v>
      </c>
      <c r="V167" s="23">
        <f t="shared" ca="1" si="44"/>
        <v>11</v>
      </c>
      <c r="W167" s="24">
        <f t="shared" ca="1" si="45"/>
        <v>20</v>
      </c>
    </row>
    <row r="168" spans="1:23" x14ac:dyDescent="0.35">
      <c r="A168" s="32">
        <f t="shared" si="51"/>
        <v>144</v>
      </c>
      <c r="B168" s="28">
        <f t="shared" ca="1" si="46"/>
        <v>48772</v>
      </c>
      <c r="C168" s="28">
        <f t="shared" ca="1" si="47"/>
        <v>48772</v>
      </c>
      <c r="D168" s="32">
        <f t="shared" ca="1" si="55"/>
        <v>30</v>
      </c>
      <c r="E168" s="29">
        <f t="shared" si="56"/>
        <v>1599999.5233333441</v>
      </c>
      <c r="F168" s="29">
        <f>IF(AND(A167="",A169=""),"",IF(A168="",ROUND(SUM($F$25:F167),2),IF(A168=$D$8,$E$24-ROUND(SUM($F$25:F167),2),ROUND($E$24/$D$8,2))))</f>
        <v>16666.669999999998</v>
      </c>
      <c r="G168" s="213">
        <f ca="1">IF(A167=$D$8,ROUND(SUM($G$25:G167),2),IF(A168&gt;$F$8,"",IF(T168&lt;&gt;T167,ROUND(SUM(V168*$F$17*E167/T168,W168*$F$17*E167/T167),2),ROUND(E167*$F$17*D168/T167,2))))</f>
        <v>15240.95</v>
      </c>
      <c r="H168" s="29">
        <f ca="1">IF(A167=$D$8,SUM($H$25:H167),IF(A167&gt;$D$8,"",F168+G168))</f>
        <v>31907.62</v>
      </c>
      <c r="I168" s="212" t="str">
        <f t="shared" si="57"/>
        <v/>
      </c>
      <c r="J168" s="212" t="str">
        <f t="shared" si="58"/>
        <v/>
      </c>
      <c r="K168" s="212"/>
      <c r="L168" s="212" t="str">
        <f t="shared" si="59"/>
        <v/>
      </c>
      <c r="M168" s="29" t="str">
        <f t="shared" si="54"/>
        <v/>
      </c>
      <c r="N168" s="29" t="str">
        <f t="shared" si="53"/>
        <v/>
      </c>
      <c r="O168" s="22"/>
      <c r="P168" s="217" t="str">
        <f>IF(A167=$D$8,XIRR(R$24:R167,C$24:C167),"")</f>
        <v/>
      </c>
      <c r="Q168" s="212" t="str">
        <f t="shared" si="52"/>
        <v/>
      </c>
      <c r="R168" s="29">
        <f t="shared" ca="1" si="48"/>
        <v>31907.62</v>
      </c>
      <c r="S168" s="22">
        <f t="shared" ca="1" si="49"/>
        <v>2033</v>
      </c>
      <c r="T168" s="22">
        <f t="shared" ca="1" si="50"/>
        <v>365</v>
      </c>
      <c r="U168" s="22">
        <f t="shared" ca="1" si="43"/>
        <v>12</v>
      </c>
      <c r="V168" s="23">
        <f t="shared" ca="1" si="44"/>
        <v>11</v>
      </c>
      <c r="W168" s="24">
        <f t="shared" ca="1" si="45"/>
        <v>19</v>
      </c>
    </row>
    <row r="169" spans="1:23" x14ac:dyDescent="0.35">
      <c r="A169" s="32">
        <f t="shared" si="51"/>
        <v>145</v>
      </c>
      <c r="B169" s="28">
        <f t="shared" ca="1" si="46"/>
        <v>48803</v>
      </c>
      <c r="C169" s="28">
        <f t="shared" ca="1" si="47"/>
        <v>48803</v>
      </c>
      <c r="D169" s="32">
        <f t="shared" ca="1" si="55"/>
        <v>31</v>
      </c>
      <c r="E169" s="29">
        <f t="shared" si="56"/>
        <v>1583332.8533333442</v>
      </c>
      <c r="F169" s="29">
        <f>IF(AND(A168="",A170=""),"",IF(A169="",ROUND(SUM($F$25:F168),2),IF(A169=$D$8,$E$24-ROUND(SUM($F$25:F168),2),ROUND($E$24/$D$8,2))))</f>
        <v>16666.669999999998</v>
      </c>
      <c r="G169" s="213">
        <f ca="1">IF(A168=$D$8,ROUND(SUM($G$25:G168),2),IF(A169&gt;$F$8,"",IF(T169&lt;&gt;T168,ROUND(SUM(V169*$F$17*E168/T169,W169*$F$17*E168/T168),2),ROUND(E168*$F$17*D169/T168,2))))</f>
        <v>15586.63</v>
      </c>
      <c r="H169" s="29">
        <f ca="1">IF(A168=$D$8,SUM($H$25:H168),IF(A168&gt;$D$8,"",F169+G169))</f>
        <v>32253.299999999996</v>
      </c>
      <c r="I169" s="212" t="str">
        <f t="shared" si="57"/>
        <v/>
      </c>
      <c r="J169" s="212" t="str">
        <f t="shared" si="58"/>
        <v/>
      </c>
      <c r="K169" s="212">
        <f>IF($F$8&gt;144,($O$8+$O$10),IF($A$168=$F$8,$K$24*$G$8,""))</f>
        <v>17100</v>
      </c>
      <c r="L169" s="212" t="str">
        <f t="shared" si="59"/>
        <v/>
      </c>
      <c r="M169" s="29" t="str">
        <f t="shared" si="54"/>
        <v/>
      </c>
      <c r="N169" s="29" t="str">
        <f t="shared" si="53"/>
        <v/>
      </c>
      <c r="O169" s="22"/>
      <c r="P169" s="217" t="str">
        <f>IF(A168=$D$8,XIRR(R$24:R168,C$24:C168),"")</f>
        <v/>
      </c>
      <c r="Q169" s="212" t="str">
        <f t="shared" si="52"/>
        <v/>
      </c>
      <c r="R169" s="29">
        <f t="shared" ca="1" si="48"/>
        <v>49353.299999999996</v>
      </c>
      <c r="S169" s="22">
        <f t="shared" ca="1" si="49"/>
        <v>2033</v>
      </c>
      <c r="T169" s="22">
        <f t="shared" ca="1" si="50"/>
        <v>365</v>
      </c>
      <c r="U169" s="22">
        <f t="shared" ca="1" si="43"/>
        <v>12</v>
      </c>
      <c r="V169" s="23">
        <f t="shared" ca="1" si="44"/>
        <v>11</v>
      </c>
      <c r="W169" s="24">
        <f t="shared" ca="1" si="45"/>
        <v>20</v>
      </c>
    </row>
    <row r="170" spans="1:23" x14ac:dyDescent="0.35">
      <c r="A170" s="32">
        <f t="shared" si="51"/>
        <v>146</v>
      </c>
      <c r="B170" s="28">
        <f t="shared" ca="1" si="46"/>
        <v>48834</v>
      </c>
      <c r="C170" s="28">
        <f t="shared" ca="1" si="47"/>
        <v>48834</v>
      </c>
      <c r="D170" s="32">
        <f t="shared" ca="1" si="55"/>
        <v>31</v>
      </c>
      <c r="E170" s="29">
        <f t="shared" si="56"/>
        <v>1566666.1833333443</v>
      </c>
      <c r="F170" s="29">
        <f>IF(AND(A169="",A171=""),"",IF(A170="",ROUND(SUM($F$25:F169),2),IF(A170=$D$8,$E$24-ROUND(SUM($F$25:F169),2),ROUND($E$24/$D$8,2))))</f>
        <v>16666.669999999998</v>
      </c>
      <c r="G170" s="213">
        <f ca="1">IF(A169=$D$8,ROUND(SUM($G$25:G169),2),IF(A170&gt;$F$8,"",IF(T170&lt;&gt;T169,ROUND(SUM(V170*$F$17*E169/T170,W170*$F$17*E169/T169),2),ROUND(E169*$F$17*D170/T169,2))))</f>
        <v>15424.26</v>
      </c>
      <c r="H170" s="29">
        <f ca="1">IF(A169=$D$8,SUM($H$25:H169),IF(A169&gt;$D$8,"",F170+G170))</f>
        <v>32090.93</v>
      </c>
      <c r="I170" s="212" t="str">
        <f t="shared" si="57"/>
        <v/>
      </c>
      <c r="J170" s="212" t="str">
        <f t="shared" si="58"/>
        <v/>
      </c>
      <c r="K170" s="212"/>
      <c r="L170" s="212" t="str">
        <f t="shared" si="59"/>
        <v/>
      </c>
      <c r="M170" s="29" t="str">
        <f t="shared" si="54"/>
        <v/>
      </c>
      <c r="N170" s="29" t="str">
        <f t="shared" si="53"/>
        <v/>
      </c>
      <c r="O170" s="22"/>
      <c r="P170" s="217" t="str">
        <f>IF(A169=$D$8,XIRR(R$24:R169,C$24:C169),"")</f>
        <v/>
      </c>
      <c r="Q170" s="212" t="str">
        <f t="shared" si="52"/>
        <v/>
      </c>
      <c r="R170" s="29">
        <f t="shared" ca="1" si="48"/>
        <v>32090.93</v>
      </c>
      <c r="S170" s="22">
        <f t="shared" ca="1" si="49"/>
        <v>2033</v>
      </c>
      <c r="T170" s="22">
        <f t="shared" ca="1" si="50"/>
        <v>365</v>
      </c>
      <c r="U170" s="22">
        <f t="shared" ca="1" si="43"/>
        <v>12</v>
      </c>
      <c r="V170" s="23">
        <f t="shared" ca="1" si="44"/>
        <v>11</v>
      </c>
      <c r="W170" s="24">
        <f t="shared" ca="1" si="45"/>
        <v>20</v>
      </c>
    </row>
    <row r="171" spans="1:23" x14ac:dyDescent="0.35">
      <c r="A171" s="32">
        <f t="shared" si="51"/>
        <v>147</v>
      </c>
      <c r="B171" s="28">
        <f t="shared" ca="1" si="46"/>
        <v>48864</v>
      </c>
      <c r="C171" s="28">
        <f t="shared" ca="1" si="47"/>
        <v>48864</v>
      </c>
      <c r="D171" s="32">
        <f t="shared" ca="1" si="55"/>
        <v>30</v>
      </c>
      <c r="E171" s="29">
        <f t="shared" si="56"/>
        <v>1549999.5133333444</v>
      </c>
      <c r="F171" s="29">
        <f>IF(AND(A170="",A172=""),"",IF(A171="",ROUND(SUM($F$25:F170),2),IF(A171=$D$8,$E$24-ROUND(SUM($F$25:F170),2),ROUND($E$24/$D$8,2))))</f>
        <v>16666.669999999998</v>
      </c>
      <c r="G171" s="213">
        <f ca="1">IF(A170=$D$8,ROUND(SUM($G$25:G170),2),IF(A171&gt;$F$8,"",IF(T171&lt;&gt;T170,ROUND(SUM(V171*$F$17*E170/T171,W171*$F$17*E170/T170),2),ROUND(E170*$F$17*D171/T170,2))))</f>
        <v>14769.58</v>
      </c>
      <c r="H171" s="29">
        <f ca="1">IF(A170=$D$8,SUM($H$25:H170),IF(A170&gt;$D$8,"",F171+G171))</f>
        <v>31436.25</v>
      </c>
      <c r="I171" s="212" t="str">
        <f t="shared" si="57"/>
        <v/>
      </c>
      <c r="J171" s="212" t="str">
        <f t="shared" si="58"/>
        <v/>
      </c>
      <c r="K171" s="212"/>
      <c r="L171" s="212" t="str">
        <f t="shared" si="59"/>
        <v/>
      </c>
      <c r="M171" s="29" t="str">
        <f t="shared" si="54"/>
        <v/>
      </c>
      <c r="N171" s="29" t="str">
        <f t="shared" si="53"/>
        <v/>
      </c>
      <c r="O171" s="22"/>
      <c r="P171" s="217" t="str">
        <f>IF(A170=$D$8,XIRR(R$24:R170,C$24:C170),"")</f>
        <v/>
      </c>
      <c r="Q171" s="212" t="str">
        <f t="shared" si="52"/>
        <v/>
      </c>
      <c r="R171" s="29">
        <f t="shared" ca="1" si="48"/>
        <v>31436.25</v>
      </c>
      <c r="S171" s="22">
        <f t="shared" ca="1" si="49"/>
        <v>2033</v>
      </c>
      <c r="T171" s="22">
        <f t="shared" ca="1" si="50"/>
        <v>365</v>
      </c>
      <c r="U171" s="22">
        <f t="shared" ca="1" si="43"/>
        <v>12</v>
      </c>
      <c r="V171" s="23">
        <f t="shared" ca="1" si="44"/>
        <v>11</v>
      </c>
      <c r="W171" s="24">
        <f t="shared" ca="1" si="45"/>
        <v>19</v>
      </c>
    </row>
    <row r="172" spans="1:23" x14ac:dyDescent="0.35">
      <c r="A172" s="32">
        <f t="shared" si="51"/>
        <v>148</v>
      </c>
      <c r="B172" s="28">
        <f t="shared" ca="1" si="46"/>
        <v>48895</v>
      </c>
      <c r="C172" s="28">
        <f t="shared" ca="1" si="47"/>
        <v>48895</v>
      </c>
      <c r="D172" s="32">
        <f t="shared" ca="1" si="55"/>
        <v>31</v>
      </c>
      <c r="E172" s="29">
        <f t="shared" si="56"/>
        <v>1533332.8433333444</v>
      </c>
      <c r="F172" s="29">
        <f>IF(AND(A171="",A173=""),"",IF(A172="",ROUND(SUM($F$25:F171),2),IF(A172=$D$8,$E$24-ROUND(SUM($F$25:F171),2),ROUND($E$24/$D$8,2))))</f>
        <v>16666.669999999998</v>
      </c>
      <c r="G172" s="213">
        <f ca="1">IF(A171=$D$8,ROUND(SUM($G$25:G171),2),IF(A172&gt;$F$8,"",IF(T172&lt;&gt;T171,ROUND(SUM(V172*$F$17*E171/T172,W172*$F$17*E171/T171),2),ROUND(E171*$F$17*D172/T171,2))))</f>
        <v>15099.54</v>
      </c>
      <c r="H172" s="29">
        <f ca="1">IF(A171=$D$8,SUM($H$25:H171),IF(A171&gt;$D$8,"",F172+G172))</f>
        <v>31766.21</v>
      </c>
      <c r="I172" s="212" t="str">
        <f t="shared" si="57"/>
        <v/>
      </c>
      <c r="J172" s="212" t="str">
        <f t="shared" si="58"/>
        <v/>
      </c>
      <c r="K172" s="212"/>
      <c r="L172" s="212" t="str">
        <f t="shared" si="59"/>
        <v/>
      </c>
      <c r="M172" s="29" t="str">
        <f t="shared" si="54"/>
        <v/>
      </c>
      <c r="N172" s="29" t="str">
        <f t="shared" si="53"/>
        <v/>
      </c>
      <c r="O172" s="22"/>
      <c r="P172" s="217" t="str">
        <f>IF(A171=$D$8,XIRR(R$24:R171,C$24:C171),"")</f>
        <v/>
      </c>
      <c r="Q172" s="212" t="str">
        <f t="shared" si="52"/>
        <v/>
      </c>
      <c r="R172" s="29">
        <f t="shared" ca="1" si="48"/>
        <v>31766.21</v>
      </c>
      <c r="S172" s="22">
        <f t="shared" ca="1" si="49"/>
        <v>2033</v>
      </c>
      <c r="T172" s="22">
        <f t="shared" ca="1" si="50"/>
        <v>365</v>
      </c>
      <c r="U172" s="22">
        <f t="shared" ca="1" si="43"/>
        <v>12</v>
      </c>
      <c r="V172" s="23">
        <f t="shared" ca="1" si="44"/>
        <v>11</v>
      </c>
      <c r="W172" s="24">
        <f t="shared" ca="1" si="45"/>
        <v>20</v>
      </c>
    </row>
    <row r="173" spans="1:23" x14ac:dyDescent="0.35">
      <c r="A173" s="32">
        <f t="shared" si="51"/>
        <v>149</v>
      </c>
      <c r="B173" s="28">
        <f t="shared" ca="1" si="46"/>
        <v>48925</v>
      </c>
      <c r="C173" s="28">
        <f t="shared" ca="1" si="47"/>
        <v>48925</v>
      </c>
      <c r="D173" s="32">
        <f t="shared" ca="1" si="55"/>
        <v>30</v>
      </c>
      <c r="E173" s="29">
        <f t="shared" si="56"/>
        <v>1516666.1733333445</v>
      </c>
      <c r="F173" s="29">
        <f>IF(AND(A172="",A174=""),"",IF(A173="",ROUND(SUM($F$25:F172),2),IF(A173=$D$8,$E$24-ROUND(SUM($F$25:F172),2),ROUND($E$24/$D$8,2))))</f>
        <v>16666.669999999998</v>
      </c>
      <c r="G173" s="213">
        <f ca="1">IF(A172=$D$8,ROUND(SUM($G$25:G172),2),IF(A173&gt;$F$8,"",IF(T173&lt;&gt;T172,ROUND(SUM(V173*$F$17*E172/T173,W173*$F$17*E172/T172),2),ROUND(E172*$F$17*D173/T172,2))))</f>
        <v>14455.34</v>
      </c>
      <c r="H173" s="29">
        <f ca="1">IF(A172=$D$8,SUM($H$25:H172),IF(A172&gt;$D$8,"",F173+G173))</f>
        <v>31122.01</v>
      </c>
      <c r="I173" s="212" t="str">
        <f t="shared" si="57"/>
        <v/>
      </c>
      <c r="J173" s="212" t="str">
        <f t="shared" si="58"/>
        <v/>
      </c>
      <c r="K173" s="212"/>
      <c r="L173" s="212" t="str">
        <f t="shared" si="59"/>
        <v/>
      </c>
      <c r="M173" s="29" t="str">
        <f t="shared" si="54"/>
        <v/>
      </c>
      <c r="N173" s="29" t="str">
        <f t="shared" si="53"/>
        <v/>
      </c>
      <c r="O173" s="22"/>
      <c r="P173" s="217" t="str">
        <f>IF(A172=$D$8,XIRR(R$24:R172,C$24:C172),"")</f>
        <v/>
      </c>
      <c r="Q173" s="212" t="str">
        <f t="shared" si="52"/>
        <v/>
      </c>
      <c r="R173" s="29">
        <f t="shared" ca="1" si="48"/>
        <v>31122.01</v>
      </c>
      <c r="S173" s="22">
        <f t="shared" ca="1" si="49"/>
        <v>2033</v>
      </c>
      <c r="T173" s="22">
        <f t="shared" ca="1" si="50"/>
        <v>365</v>
      </c>
      <c r="U173" s="22">
        <f t="shared" ref="U173:U236" ca="1" si="60">IF(C173="","",DAY(C173))</f>
        <v>12</v>
      </c>
      <c r="V173" s="23">
        <f t="shared" ref="V173:V236" ca="1" si="61">U173-1</f>
        <v>11</v>
      </c>
      <c r="W173" s="24">
        <f t="shared" ca="1" si="45"/>
        <v>19</v>
      </c>
    </row>
    <row r="174" spans="1:23" x14ac:dyDescent="0.35">
      <c r="A174" s="32">
        <f t="shared" si="51"/>
        <v>150</v>
      </c>
      <c r="B174" s="28">
        <f t="shared" ca="1" si="46"/>
        <v>48956</v>
      </c>
      <c r="C174" s="28">
        <f t="shared" ca="1" si="47"/>
        <v>48956</v>
      </c>
      <c r="D174" s="32">
        <f t="shared" ca="1" si="55"/>
        <v>31</v>
      </c>
      <c r="E174" s="29">
        <f t="shared" si="56"/>
        <v>1499999.5033333446</v>
      </c>
      <c r="F174" s="29">
        <f>IF(AND(A173="",A175=""),"",IF(A174="",ROUND(SUM($F$25:F173),2),IF(A174=$D$8,$E$24-ROUND(SUM($F$25:F173),2),ROUND($E$24/$D$8,2))))</f>
        <v>16666.669999999998</v>
      </c>
      <c r="G174" s="213">
        <f ca="1">IF(A173=$D$8,ROUND(SUM($G$25:G173),2),IF(A174&gt;$F$8,"",IF(T174&lt;&gt;T173,ROUND(SUM(V174*$F$17*E173/T174,W174*$F$17*E173/T173),2),ROUND(E173*$F$17*D174/T173,2))))</f>
        <v>14774.82</v>
      </c>
      <c r="H174" s="29">
        <f ca="1">IF(A173=$D$8,SUM($H$25:H173),IF(A173&gt;$D$8,"",F174+G174))</f>
        <v>31441.489999999998</v>
      </c>
      <c r="I174" s="212" t="str">
        <f t="shared" si="57"/>
        <v/>
      </c>
      <c r="J174" s="212" t="str">
        <f t="shared" si="58"/>
        <v/>
      </c>
      <c r="K174" s="212"/>
      <c r="L174" s="212" t="str">
        <f t="shared" si="59"/>
        <v/>
      </c>
      <c r="M174" s="29" t="str">
        <f t="shared" si="54"/>
        <v/>
      </c>
      <c r="N174" s="29" t="str">
        <f t="shared" si="53"/>
        <v/>
      </c>
      <c r="O174" s="22"/>
      <c r="P174" s="217" t="str">
        <f>IF(A173=$D$8,XIRR(R$24:R173,C$24:C173),"")</f>
        <v/>
      </c>
      <c r="Q174" s="212" t="str">
        <f t="shared" si="52"/>
        <v/>
      </c>
      <c r="R174" s="29">
        <f t="shared" ca="1" si="48"/>
        <v>31441.489999999998</v>
      </c>
      <c r="S174" s="22">
        <f t="shared" ca="1" si="49"/>
        <v>2034</v>
      </c>
      <c r="T174" s="22">
        <f t="shared" ca="1" si="50"/>
        <v>365</v>
      </c>
      <c r="U174" s="22">
        <f t="shared" ca="1" si="60"/>
        <v>12</v>
      </c>
      <c r="V174" s="23">
        <f t="shared" ca="1" si="61"/>
        <v>11</v>
      </c>
      <c r="W174" s="24">
        <f t="shared" ca="1" si="45"/>
        <v>20</v>
      </c>
    </row>
    <row r="175" spans="1:23" x14ac:dyDescent="0.35">
      <c r="A175" s="32">
        <f t="shared" si="51"/>
        <v>151</v>
      </c>
      <c r="B175" s="28">
        <f t="shared" ca="1" si="46"/>
        <v>48987</v>
      </c>
      <c r="C175" s="28">
        <f t="shared" ca="1" si="47"/>
        <v>48987</v>
      </c>
      <c r="D175" s="32">
        <f t="shared" ca="1" si="55"/>
        <v>31</v>
      </c>
      <c r="E175" s="29">
        <f t="shared" si="56"/>
        <v>1483332.8333333447</v>
      </c>
      <c r="F175" s="29">
        <f>IF(AND(A174="",A176=""),"",IF(A175="",ROUND(SUM($F$25:F174),2),IF(A175=$D$8,$E$24-ROUND(SUM($F$25:F174),2),ROUND($E$24/$D$8,2))))</f>
        <v>16666.669999999998</v>
      </c>
      <c r="G175" s="213">
        <f ca="1">IF(A174=$D$8,ROUND(SUM($G$25:G174),2),IF(A175&gt;$F$8,"",IF(T175&lt;&gt;T174,ROUND(SUM(V175*$F$17*E174/T175,W175*$F$17*E174/T174),2),ROUND(E174*$F$17*D175/T174,2))))</f>
        <v>14612.46</v>
      </c>
      <c r="H175" s="29">
        <f ca="1">IF(A174=$D$8,SUM($H$25:H174),IF(A174&gt;$D$8,"",F175+G175))</f>
        <v>31279.129999999997</v>
      </c>
      <c r="I175" s="212" t="str">
        <f t="shared" si="57"/>
        <v/>
      </c>
      <c r="J175" s="212" t="str">
        <f t="shared" si="58"/>
        <v/>
      </c>
      <c r="K175" s="212"/>
      <c r="L175" s="212" t="str">
        <f t="shared" si="59"/>
        <v/>
      </c>
      <c r="M175" s="29" t="str">
        <f t="shared" si="54"/>
        <v/>
      </c>
      <c r="N175" s="29" t="str">
        <f t="shared" si="53"/>
        <v/>
      </c>
      <c r="O175" s="22"/>
      <c r="P175" s="217" t="str">
        <f>IF(A174=$D$8,XIRR(R$24:R174,C$24:C174),"")</f>
        <v/>
      </c>
      <c r="Q175" s="212" t="str">
        <f t="shared" si="52"/>
        <v/>
      </c>
      <c r="R175" s="29">
        <f t="shared" ca="1" si="48"/>
        <v>31279.129999999997</v>
      </c>
      <c r="S175" s="22">
        <f t="shared" ca="1" si="49"/>
        <v>2034</v>
      </c>
      <c r="T175" s="22">
        <f t="shared" ca="1" si="50"/>
        <v>365</v>
      </c>
      <c r="U175" s="22">
        <f t="shared" ca="1" si="60"/>
        <v>12</v>
      </c>
      <c r="V175" s="23">
        <f t="shared" ca="1" si="61"/>
        <v>11</v>
      </c>
      <c r="W175" s="24">
        <f t="shared" ca="1" si="45"/>
        <v>20</v>
      </c>
    </row>
    <row r="176" spans="1:23" x14ac:dyDescent="0.35">
      <c r="A176" s="32">
        <f t="shared" si="51"/>
        <v>152</v>
      </c>
      <c r="B176" s="28">
        <f t="shared" ca="1" si="46"/>
        <v>49015</v>
      </c>
      <c r="C176" s="28">
        <f t="shared" ca="1" si="47"/>
        <v>49015</v>
      </c>
      <c r="D176" s="32">
        <f t="shared" ca="1" si="55"/>
        <v>28</v>
      </c>
      <c r="E176" s="29">
        <f t="shared" si="56"/>
        <v>1466666.1633333447</v>
      </c>
      <c r="F176" s="29">
        <f>IF(AND(A175="",A177=""),"",IF(A176="",ROUND(SUM($F$25:F175),2),IF(A176=$D$8,$E$24-ROUND(SUM($F$25:F175),2),ROUND($E$24/$D$8,2))))</f>
        <v>16666.669999999998</v>
      </c>
      <c r="G176" s="213">
        <f ca="1">IF(A175=$D$8,ROUND(SUM($G$25:G175),2),IF(A176&gt;$F$8,"",IF(T176&lt;&gt;T175,ROUND(SUM(V176*$F$17*E175/T176,W176*$F$17*E175/T175),2),ROUND(E175*$F$17*D176/T175,2))))</f>
        <v>13051.7</v>
      </c>
      <c r="H176" s="29">
        <f ca="1">IF(A175=$D$8,SUM($H$25:H175),IF(A175&gt;$D$8,"",F176+G176))</f>
        <v>29718.37</v>
      </c>
      <c r="I176" s="212" t="str">
        <f t="shared" si="57"/>
        <v/>
      </c>
      <c r="J176" s="212" t="str">
        <f t="shared" si="58"/>
        <v/>
      </c>
      <c r="K176" s="212"/>
      <c r="L176" s="212" t="str">
        <f t="shared" si="59"/>
        <v/>
      </c>
      <c r="M176" s="29" t="str">
        <f t="shared" si="54"/>
        <v/>
      </c>
      <c r="N176" s="29" t="str">
        <f t="shared" si="53"/>
        <v/>
      </c>
      <c r="O176" s="22"/>
      <c r="P176" s="217" t="str">
        <f>IF(A175=$D$8,XIRR(R$24:R175,C$24:C175),"")</f>
        <v/>
      </c>
      <c r="Q176" s="212" t="str">
        <f t="shared" si="52"/>
        <v/>
      </c>
      <c r="R176" s="29">
        <f t="shared" ca="1" si="48"/>
        <v>29718.37</v>
      </c>
      <c r="S176" s="22">
        <f t="shared" ca="1" si="49"/>
        <v>2034</v>
      </c>
      <c r="T176" s="22">
        <f t="shared" ca="1" si="50"/>
        <v>365</v>
      </c>
      <c r="U176" s="22">
        <f t="shared" ca="1" si="60"/>
        <v>12</v>
      </c>
      <c r="V176" s="23">
        <f t="shared" ca="1" si="61"/>
        <v>11</v>
      </c>
      <c r="W176" s="24">
        <f t="shared" ca="1" si="45"/>
        <v>17</v>
      </c>
    </row>
    <row r="177" spans="1:23" x14ac:dyDescent="0.35">
      <c r="A177" s="32">
        <f t="shared" si="51"/>
        <v>153</v>
      </c>
      <c r="B177" s="28">
        <f t="shared" ca="1" si="46"/>
        <v>49046</v>
      </c>
      <c r="C177" s="28">
        <f t="shared" ca="1" si="47"/>
        <v>49046</v>
      </c>
      <c r="D177" s="32">
        <f t="shared" ca="1" si="55"/>
        <v>31</v>
      </c>
      <c r="E177" s="29">
        <f t="shared" si="56"/>
        <v>1449999.4933333448</v>
      </c>
      <c r="F177" s="29">
        <f>IF(AND(A176="",A178=""),"",IF(A177="",ROUND(SUM($F$25:F176),2),IF(A177=$D$8,$E$24-ROUND(SUM($F$25:F176),2),ROUND($E$24/$D$8,2))))</f>
        <v>16666.669999999998</v>
      </c>
      <c r="G177" s="213">
        <f ca="1">IF(A176=$D$8,ROUND(SUM($G$25:G176),2),IF(A177&gt;$F$8,"",IF(T177&lt;&gt;T176,ROUND(SUM(V177*$F$17*E176/T177,W177*$F$17*E176/T176),2),ROUND(E176*$F$17*D177/T176,2))))</f>
        <v>14287.74</v>
      </c>
      <c r="H177" s="29">
        <f ca="1">IF(A176=$D$8,SUM($H$25:H176),IF(A176&gt;$D$8,"",F177+G177))</f>
        <v>30954.409999999996</v>
      </c>
      <c r="I177" s="212" t="str">
        <f t="shared" si="57"/>
        <v/>
      </c>
      <c r="J177" s="212" t="str">
        <f t="shared" si="58"/>
        <v/>
      </c>
      <c r="K177" s="212"/>
      <c r="L177" s="212" t="str">
        <f t="shared" si="59"/>
        <v/>
      </c>
      <c r="M177" s="29" t="str">
        <f t="shared" si="54"/>
        <v/>
      </c>
      <c r="N177" s="29" t="str">
        <f t="shared" si="53"/>
        <v/>
      </c>
      <c r="O177" s="22"/>
      <c r="P177" s="217" t="str">
        <f>IF(A176=$D$8,XIRR(R$24:R176,C$24:C176),"")</f>
        <v/>
      </c>
      <c r="Q177" s="212" t="str">
        <f t="shared" si="52"/>
        <v/>
      </c>
      <c r="R177" s="29">
        <f t="shared" ca="1" si="48"/>
        <v>30954.409999999996</v>
      </c>
      <c r="S177" s="22">
        <f t="shared" ca="1" si="49"/>
        <v>2034</v>
      </c>
      <c r="T177" s="22">
        <f t="shared" ca="1" si="50"/>
        <v>365</v>
      </c>
      <c r="U177" s="22">
        <f t="shared" ca="1" si="60"/>
        <v>12</v>
      </c>
      <c r="V177" s="23">
        <f t="shared" ca="1" si="61"/>
        <v>11</v>
      </c>
      <c r="W177" s="24">
        <f t="shared" ca="1" si="45"/>
        <v>20</v>
      </c>
    </row>
    <row r="178" spans="1:23" x14ac:dyDescent="0.35">
      <c r="A178" s="32">
        <f t="shared" si="51"/>
        <v>154</v>
      </c>
      <c r="B178" s="28">
        <f t="shared" ca="1" si="46"/>
        <v>49076</v>
      </c>
      <c r="C178" s="28">
        <f t="shared" ca="1" si="47"/>
        <v>49076</v>
      </c>
      <c r="D178" s="32">
        <f t="shared" ca="1" si="55"/>
        <v>30</v>
      </c>
      <c r="E178" s="29">
        <f t="shared" si="56"/>
        <v>1433332.8233333449</v>
      </c>
      <c r="F178" s="29">
        <f>IF(AND(A177="",A179=""),"",IF(A178="",ROUND(SUM($F$25:F177),2),IF(A178=$D$8,$E$24-ROUND(SUM($F$25:F177),2),ROUND($E$24/$D$8,2))))</f>
        <v>16666.669999999998</v>
      </c>
      <c r="G178" s="213">
        <f ca="1">IF(A177=$D$8,ROUND(SUM($G$25:G177),2),IF(A178&gt;$F$8,"",IF(T178&lt;&gt;T177,ROUND(SUM(V178*$F$17*E177/T178,W178*$F$17*E177/T177),2),ROUND(E177*$F$17*D178/T177,2))))</f>
        <v>13669.72</v>
      </c>
      <c r="H178" s="29">
        <f ca="1">IF(A177=$D$8,SUM($H$25:H177),IF(A177&gt;$D$8,"",F178+G178))</f>
        <v>30336.39</v>
      </c>
      <c r="I178" s="212" t="str">
        <f t="shared" si="57"/>
        <v/>
      </c>
      <c r="J178" s="212" t="str">
        <f t="shared" si="58"/>
        <v/>
      </c>
      <c r="K178" s="212"/>
      <c r="L178" s="212" t="str">
        <f t="shared" si="59"/>
        <v/>
      </c>
      <c r="M178" s="29" t="str">
        <f t="shared" si="54"/>
        <v/>
      </c>
      <c r="N178" s="29" t="str">
        <f t="shared" si="53"/>
        <v/>
      </c>
      <c r="O178" s="22"/>
      <c r="P178" s="217" t="str">
        <f>IF(A177=$D$8,XIRR(R$24:R177,C$24:C177),"")</f>
        <v/>
      </c>
      <c r="Q178" s="212" t="str">
        <f t="shared" si="52"/>
        <v/>
      </c>
      <c r="R178" s="29">
        <f t="shared" ca="1" si="48"/>
        <v>30336.39</v>
      </c>
      <c r="S178" s="22">
        <f t="shared" ca="1" si="49"/>
        <v>2034</v>
      </c>
      <c r="T178" s="22">
        <f t="shared" ca="1" si="50"/>
        <v>365</v>
      </c>
      <c r="U178" s="22">
        <f t="shared" ca="1" si="60"/>
        <v>12</v>
      </c>
      <c r="V178" s="23">
        <f t="shared" ca="1" si="61"/>
        <v>11</v>
      </c>
      <c r="W178" s="24">
        <f t="shared" ca="1" si="45"/>
        <v>19</v>
      </c>
    </row>
    <row r="179" spans="1:23" x14ac:dyDescent="0.35">
      <c r="A179" s="32">
        <f t="shared" si="51"/>
        <v>155</v>
      </c>
      <c r="B179" s="28">
        <f t="shared" ca="1" si="46"/>
        <v>49107</v>
      </c>
      <c r="C179" s="28">
        <f t="shared" ca="1" si="47"/>
        <v>49107</v>
      </c>
      <c r="D179" s="32">
        <f t="shared" ca="1" si="55"/>
        <v>31</v>
      </c>
      <c r="E179" s="29">
        <f t="shared" si="56"/>
        <v>1416666.153333345</v>
      </c>
      <c r="F179" s="29">
        <f>IF(AND(A178="",A180=""),"",IF(A179="",ROUND(SUM($F$25:F178),2),IF(A179=$D$8,$E$24-ROUND(SUM($F$25:F178),2),ROUND($E$24/$D$8,2))))</f>
        <v>16666.669999999998</v>
      </c>
      <c r="G179" s="213">
        <f ca="1">IF(A178=$D$8,ROUND(SUM($G$25:G178),2),IF(A179&gt;$F$8,"",IF(T179&lt;&gt;T178,ROUND(SUM(V179*$F$17*E178/T179,W179*$F$17*E178/T178),2),ROUND(E178*$F$17*D179/T178,2))))</f>
        <v>13963.02</v>
      </c>
      <c r="H179" s="29">
        <f ca="1">IF(A178=$D$8,SUM($H$25:H178),IF(A178&gt;$D$8,"",F179+G179))</f>
        <v>30629.69</v>
      </c>
      <c r="I179" s="212" t="str">
        <f t="shared" si="57"/>
        <v/>
      </c>
      <c r="J179" s="212" t="str">
        <f t="shared" si="58"/>
        <v/>
      </c>
      <c r="K179" s="212"/>
      <c r="L179" s="212" t="str">
        <f t="shared" si="59"/>
        <v/>
      </c>
      <c r="M179" s="29" t="str">
        <f t="shared" si="54"/>
        <v/>
      </c>
      <c r="N179" s="29" t="str">
        <f t="shared" si="53"/>
        <v/>
      </c>
      <c r="O179" s="22"/>
      <c r="P179" s="217" t="str">
        <f>IF(A178=$D$8,XIRR(R$24:R178,C$24:C178),"")</f>
        <v/>
      </c>
      <c r="Q179" s="212" t="str">
        <f t="shared" si="52"/>
        <v/>
      </c>
      <c r="R179" s="29">
        <f t="shared" ca="1" si="48"/>
        <v>30629.69</v>
      </c>
      <c r="S179" s="22">
        <f t="shared" ca="1" si="49"/>
        <v>2034</v>
      </c>
      <c r="T179" s="22">
        <f t="shared" ca="1" si="50"/>
        <v>365</v>
      </c>
      <c r="U179" s="22">
        <f t="shared" ca="1" si="60"/>
        <v>12</v>
      </c>
      <c r="V179" s="23">
        <f t="shared" ca="1" si="61"/>
        <v>11</v>
      </c>
      <c r="W179" s="24">
        <f t="shared" ca="1" si="45"/>
        <v>20</v>
      </c>
    </row>
    <row r="180" spans="1:23" x14ac:dyDescent="0.35">
      <c r="A180" s="32">
        <f t="shared" si="51"/>
        <v>156</v>
      </c>
      <c r="B180" s="28">
        <f t="shared" ca="1" si="46"/>
        <v>49137</v>
      </c>
      <c r="C180" s="28">
        <f t="shared" ca="1" si="47"/>
        <v>49137</v>
      </c>
      <c r="D180" s="32">
        <f t="shared" ca="1" si="55"/>
        <v>30</v>
      </c>
      <c r="E180" s="29">
        <f t="shared" si="56"/>
        <v>1399999.483333345</v>
      </c>
      <c r="F180" s="29">
        <f>IF(AND(A179="",A181=""),"",IF(A180="",ROUND(SUM($F$25:F179),2),IF(A180=$D$8,$E$24-ROUND(SUM($F$25:F179),2),ROUND($E$24/$D$8,2))))</f>
        <v>16666.669999999998</v>
      </c>
      <c r="G180" s="213">
        <f ca="1">IF(A179=$D$8,ROUND(SUM($G$25:G179),2),IF(A180&gt;$F$8,"",IF(T180&lt;&gt;T179,ROUND(SUM(V180*$F$17*E179/T180,W180*$F$17*E179/T179),2),ROUND(E179*$F$17*D180/T179,2))))</f>
        <v>13355.47</v>
      </c>
      <c r="H180" s="29">
        <f ca="1">IF(A179=$D$8,SUM($H$25:H179),IF(A179&gt;$D$8,"",F180+G180))</f>
        <v>30022.14</v>
      </c>
      <c r="I180" s="212" t="str">
        <f t="shared" si="57"/>
        <v/>
      </c>
      <c r="J180" s="212" t="str">
        <f t="shared" si="58"/>
        <v/>
      </c>
      <c r="K180" s="212"/>
      <c r="L180" s="212" t="str">
        <f t="shared" si="59"/>
        <v/>
      </c>
      <c r="M180" s="29" t="str">
        <f t="shared" si="54"/>
        <v/>
      </c>
      <c r="N180" s="29" t="str">
        <f t="shared" si="53"/>
        <v/>
      </c>
      <c r="O180" s="22"/>
      <c r="P180" s="217" t="str">
        <f>IF(A179=$D$8,XIRR(R$24:R179,C$24:C179),"")</f>
        <v/>
      </c>
      <c r="Q180" s="212" t="str">
        <f t="shared" si="52"/>
        <v/>
      </c>
      <c r="R180" s="29">
        <f t="shared" ca="1" si="48"/>
        <v>30022.14</v>
      </c>
      <c r="S180" s="22">
        <f t="shared" ca="1" si="49"/>
        <v>2034</v>
      </c>
      <c r="T180" s="22">
        <f t="shared" ca="1" si="50"/>
        <v>365</v>
      </c>
      <c r="U180" s="22">
        <f t="shared" ca="1" si="60"/>
        <v>12</v>
      </c>
      <c r="V180" s="23">
        <f t="shared" ca="1" si="61"/>
        <v>11</v>
      </c>
      <c r="W180" s="24">
        <f t="shared" ca="1" si="45"/>
        <v>19</v>
      </c>
    </row>
    <row r="181" spans="1:23" x14ac:dyDescent="0.35">
      <c r="A181" s="32">
        <f t="shared" si="51"/>
        <v>157</v>
      </c>
      <c r="B181" s="28">
        <f t="shared" ca="1" si="46"/>
        <v>49168</v>
      </c>
      <c r="C181" s="28">
        <f t="shared" ca="1" si="47"/>
        <v>49168</v>
      </c>
      <c r="D181" s="32">
        <f t="shared" ca="1" si="55"/>
        <v>31</v>
      </c>
      <c r="E181" s="29">
        <f t="shared" si="56"/>
        <v>1383332.8133333451</v>
      </c>
      <c r="F181" s="29">
        <f>IF(AND(A180="",A182=""),"",IF(A181="",ROUND(SUM($F$25:F180),2),IF(A181=$D$8,$E$24-ROUND(SUM($F$25:F180),2),ROUND($E$24/$D$8,2))))</f>
        <v>16666.669999999998</v>
      </c>
      <c r="G181" s="213">
        <f ca="1">IF(A180=$D$8,ROUND(SUM($G$25:G180),2),IF(A181&gt;$F$8,"",IF(T181&lt;&gt;T180,ROUND(SUM(V181*$F$17*E180/T181,W181*$F$17*E180/T180),2),ROUND(E180*$F$17*D181/T180,2))))</f>
        <v>13638.3</v>
      </c>
      <c r="H181" s="29">
        <f ca="1">IF(A180=$D$8,SUM($H$25:H180),IF(A180&gt;$D$8,"",F181+G181))</f>
        <v>30304.969999999998</v>
      </c>
      <c r="I181" s="212" t="str">
        <f t="shared" si="57"/>
        <v/>
      </c>
      <c r="J181" s="212" t="str">
        <f t="shared" si="58"/>
        <v/>
      </c>
      <c r="K181" s="212">
        <f>IF($F$8&gt;156,($O$8+$O$10),IF($A$180=$F$8,$K$24*$G$8,""))</f>
        <v>17100</v>
      </c>
      <c r="L181" s="212" t="str">
        <f t="shared" si="59"/>
        <v/>
      </c>
      <c r="M181" s="29" t="str">
        <f t="shared" si="54"/>
        <v/>
      </c>
      <c r="N181" s="29" t="str">
        <f t="shared" si="53"/>
        <v/>
      </c>
      <c r="O181" s="22"/>
      <c r="P181" s="217" t="str">
        <f>IF(A180=$D$8,XIRR(R$24:R180,C$24:C180),"")</f>
        <v/>
      </c>
      <c r="Q181" s="212" t="str">
        <f t="shared" si="52"/>
        <v/>
      </c>
      <c r="R181" s="29">
        <f t="shared" ca="1" si="48"/>
        <v>47404.97</v>
      </c>
      <c r="S181" s="22">
        <f t="shared" ca="1" si="49"/>
        <v>2034</v>
      </c>
      <c r="T181" s="22">
        <f t="shared" ca="1" si="50"/>
        <v>365</v>
      </c>
      <c r="U181" s="22">
        <f t="shared" ca="1" si="60"/>
        <v>12</v>
      </c>
      <c r="V181" s="23">
        <f t="shared" ca="1" si="61"/>
        <v>11</v>
      </c>
      <c r="W181" s="24">
        <f t="shared" ca="1" si="45"/>
        <v>20</v>
      </c>
    </row>
    <row r="182" spans="1:23" x14ac:dyDescent="0.35">
      <c r="A182" s="32">
        <f t="shared" si="51"/>
        <v>158</v>
      </c>
      <c r="B182" s="28">
        <f t="shared" ca="1" si="46"/>
        <v>49199</v>
      </c>
      <c r="C182" s="28">
        <f t="shared" ca="1" si="47"/>
        <v>49199</v>
      </c>
      <c r="D182" s="32">
        <f t="shared" ca="1" si="55"/>
        <v>31</v>
      </c>
      <c r="E182" s="29">
        <f t="shared" si="56"/>
        <v>1366666.1433333452</v>
      </c>
      <c r="F182" s="29">
        <f>IF(AND(A181="",A183=""),"",IF(A182="",ROUND(SUM($F$25:F181),2),IF(A182=$D$8,$E$24-ROUND(SUM($F$25:F181),2),ROUND($E$24/$D$8,2))))</f>
        <v>16666.669999999998</v>
      </c>
      <c r="G182" s="213">
        <f ca="1">IF(A181=$D$8,ROUND(SUM($G$25:G181),2),IF(A182&gt;$F$8,"",IF(T182&lt;&gt;T181,ROUND(SUM(V182*$F$17*E181/T182,W182*$F$17*E181/T181),2),ROUND(E181*$F$17*D182/T181,2))))</f>
        <v>13475.94</v>
      </c>
      <c r="H182" s="29">
        <f ca="1">IF(A181=$D$8,SUM($H$25:H181),IF(A181&gt;$D$8,"",F182+G182))</f>
        <v>30142.61</v>
      </c>
      <c r="I182" s="212" t="str">
        <f t="shared" si="57"/>
        <v/>
      </c>
      <c r="J182" s="212" t="str">
        <f t="shared" si="58"/>
        <v/>
      </c>
      <c r="K182" s="212"/>
      <c r="L182" s="212" t="str">
        <f t="shared" si="59"/>
        <v/>
      </c>
      <c r="M182" s="29" t="str">
        <f t="shared" si="54"/>
        <v/>
      </c>
      <c r="N182" s="29" t="str">
        <f t="shared" si="53"/>
        <v/>
      </c>
      <c r="O182" s="22"/>
      <c r="P182" s="217" t="str">
        <f>IF(A181=$D$8,XIRR(R$24:R181,C$24:C181),"")</f>
        <v/>
      </c>
      <c r="Q182" s="212" t="str">
        <f t="shared" si="52"/>
        <v/>
      </c>
      <c r="R182" s="29">
        <f t="shared" ca="1" si="48"/>
        <v>30142.61</v>
      </c>
      <c r="S182" s="22">
        <f t="shared" ca="1" si="49"/>
        <v>2034</v>
      </c>
      <c r="T182" s="22">
        <f t="shared" ca="1" si="50"/>
        <v>365</v>
      </c>
      <c r="U182" s="22">
        <f t="shared" ca="1" si="60"/>
        <v>12</v>
      </c>
      <c r="V182" s="23">
        <f t="shared" ca="1" si="61"/>
        <v>11</v>
      </c>
      <c r="W182" s="24">
        <f t="shared" ca="1" si="45"/>
        <v>20</v>
      </c>
    </row>
    <row r="183" spans="1:23" x14ac:dyDescent="0.35">
      <c r="A183" s="32">
        <f t="shared" si="51"/>
        <v>159</v>
      </c>
      <c r="B183" s="28">
        <f t="shared" ca="1" si="46"/>
        <v>49229</v>
      </c>
      <c r="C183" s="28">
        <f t="shared" ca="1" si="47"/>
        <v>49229</v>
      </c>
      <c r="D183" s="32">
        <f t="shared" ca="1" si="55"/>
        <v>30</v>
      </c>
      <c r="E183" s="29">
        <f t="shared" si="56"/>
        <v>1349999.4733333453</v>
      </c>
      <c r="F183" s="29">
        <f>IF(AND(A182="",A184=""),"",IF(A183="",ROUND(SUM($F$25:F182),2),IF(A183=$D$8,$E$24-ROUND(SUM($F$25:F182),2),ROUND($E$24/$D$8,2))))</f>
        <v>16666.669999999998</v>
      </c>
      <c r="G183" s="213">
        <f ca="1">IF(A182=$D$8,ROUND(SUM($G$25:G182),2),IF(A183&gt;$F$8,"",IF(T183&lt;&gt;T182,ROUND(SUM(V183*$F$17*E182/T183,W183*$F$17*E182/T182),2),ROUND(E182*$F$17*D183/T182,2))))</f>
        <v>12884.1</v>
      </c>
      <c r="H183" s="29">
        <f ca="1">IF(A182=$D$8,SUM($H$25:H182),IF(A182&gt;$D$8,"",F183+G183))</f>
        <v>29550.769999999997</v>
      </c>
      <c r="I183" s="212" t="str">
        <f t="shared" si="57"/>
        <v/>
      </c>
      <c r="J183" s="212" t="str">
        <f t="shared" si="58"/>
        <v/>
      </c>
      <c r="K183" s="212"/>
      <c r="L183" s="212" t="str">
        <f t="shared" si="59"/>
        <v/>
      </c>
      <c r="M183" s="29" t="str">
        <f t="shared" si="54"/>
        <v/>
      </c>
      <c r="N183" s="29" t="str">
        <f t="shared" si="53"/>
        <v/>
      </c>
      <c r="O183" s="22"/>
      <c r="P183" s="217" t="str">
        <f>IF(A182=$D$8,XIRR(R$24:R182,C$24:C182),"")</f>
        <v/>
      </c>
      <c r="Q183" s="212" t="str">
        <f t="shared" si="52"/>
        <v/>
      </c>
      <c r="R183" s="29">
        <f t="shared" ca="1" si="48"/>
        <v>29550.769999999997</v>
      </c>
      <c r="S183" s="22">
        <f t="shared" ca="1" si="49"/>
        <v>2034</v>
      </c>
      <c r="T183" s="22">
        <f t="shared" ca="1" si="50"/>
        <v>365</v>
      </c>
      <c r="U183" s="22">
        <f t="shared" ca="1" si="60"/>
        <v>12</v>
      </c>
      <c r="V183" s="23">
        <f t="shared" ca="1" si="61"/>
        <v>11</v>
      </c>
      <c r="W183" s="24">
        <f t="shared" ca="1" si="45"/>
        <v>19</v>
      </c>
    </row>
    <row r="184" spans="1:23" x14ac:dyDescent="0.35">
      <c r="A184" s="32">
        <f t="shared" si="51"/>
        <v>160</v>
      </c>
      <c r="B184" s="28">
        <f t="shared" ca="1" si="46"/>
        <v>49260</v>
      </c>
      <c r="C184" s="28">
        <f t="shared" ca="1" si="47"/>
        <v>49260</v>
      </c>
      <c r="D184" s="32">
        <f t="shared" ca="1" si="55"/>
        <v>31</v>
      </c>
      <c r="E184" s="29">
        <f t="shared" si="56"/>
        <v>1333332.8033333453</v>
      </c>
      <c r="F184" s="29">
        <f>IF(AND(A183="",A185=""),"",IF(A184="",ROUND(SUM($F$25:F183),2),IF(A184=$D$8,$E$24-ROUND(SUM($F$25:F183),2),ROUND($E$24/$D$8,2))))</f>
        <v>16666.669999999998</v>
      </c>
      <c r="G184" s="213">
        <f ca="1">IF(A183=$D$8,ROUND(SUM($G$25:G183),2),IF(A184&gt;$F$8,"",IF(T184&lt;&gt;T183,ROUND(SUM(V184*$F$17*E183/T184,W184*$F$17*E183/T183),2),ROUND(E183*$F$17*D184/T183,2))))</f>
        <v>13151.21</v>
      </c>
      <c r="H184" s="29">
        <f ca="1">IF(A183=$D$8,SUM($H$25:H183),IF(A183&gt;$D$8,"",F184+G184))</f>
        <v>29817.879999999997</v>
      </c>
      <c r="I184" s="212" t="str">
        <f t="shared" si="57"/>
        <v/>
      </c>
      <c r="J184" s="212" t="str">
        <f t="shared" si="58"/>
        <v/>
      </c>
      <c r="K184" s="212"/>
      <c r="L184" s="212" t="str">
        <f t="shared" si="59"/>
        <v/>
      </c>
      <c r="M184" s="29" t="str">
        <f t="shared" si="54"/>
        <v/>
      </c>
      <c r="N184" s="29" t="str">
        <f t="shared" si="53"/>
        <v/>
      </c>
      <c r="O184" s="22"/>
      <c r="P184" s="217" t="str">
        <f>IF(A183=$D$8,XIRR(R$24:R183,C$24:C183),"")</f>
        <v/>
      </c>
      <c r="Q184" s="212" t="str">
        <f t="shared" si="52"/>
        <v/>
      </c>
      <c r="R184" s="29">
        <f t="shared" ca="1" si="48"/>
        <v>29817.879999999997</v>
      </c>
      <c r="S184" s="22">
        <f t="shared" ca="1" si="49"/>
        <v>2034</v>
      </c>
      <c r="T184" s="22">
        <f t="shared" ca="1" si="50"/>
        <v>365</v>
      </c>
      <c r="U184" s="22">
        <f t="shared" ca="1" si="60"/>
        <v>12</v>
      </c>
      <c r="V184" s="23">
        <f t="shared" ca="1" si="61"/>
        <v>11</v>
      </c>
      <c r="W184" s="24">
        <f t="shared" ca="1" si="45"/>
        <v>20</v>
      </c>
    </row>
    <row r="185" spans="1:23" x14ac:dyDescent="0.35">
      <c r="A185" s="32">
        <f t="shared" si="51"/>
        <v>161</v>
      </c>
      <c r="B185" s="28">
        <f t="shared" ca="1" si="46"/>
        <v>49290</v>
      </c>
      <c r="C185" s="28">
        <f t="shared" ca="1" si="47"/>
        <v>49290</v>
      </c>
      <c r="D185" s="32">
        <f t="shared" ca="1" si="55"/>
        <v>30</v>
      </c>
      <c r="E185" s="29">
        <f t="shared" si="56"/>
        <v>1316666.1333333454</v>
      </c>
      <c r="F185" s="29">
        <f>IF(AND(A184="",A186=""),"",IF(A185="",ROUND(SUM($F$25:F184),2),IF(A185=$D$8,$E$24-ROUND(SUM($F$25:F184),2),ROUND($E$24/$D$8,2))))</f>
        <v>16666.669999999998</v>
      </c>
      <c r="G185" s="213">
        <f ca="1">IF(A184=$D$8,ROUND(SUM($G$25:G184),2),IF(A185&gt;$F$8,"",IF(T185&lt;&gt;T184,ROUND(SUM(V185*$F$17*E184/T185,W185*$F$17*E184/T184),2),ROUND(E184*$F$17*D185/T184,2))))</f>
        <v>12569.86</v>
      </c>
      <c r="H185" s="29">
        <f ca="1">IF(A184=$D$8,SUM($H$25:H184),IF(A184&gt;$D$8,"",F185+G185))</f>
        <v>29236.53</v>
      </c>
      <c r="I185" s="212" t="str">
        <f t="shared" si="57"/>
        <v/>
      </c>
      <c r="J185" s="212" t="str">
        <f t="shared" si="58"/>
        <v/>
      </c>
      <c r="K185" s="212"/>
      <c r="L185" s="212" t="str">
        <f t="shared" si="59"/>
        <v/>
      </c>
      <c r="M185" s="29" t="str">
        <f t="shared" si="54"/>
        <v/>
      </c>
      <c r="N185" s="29" t="str">
        <f t="shared" si="53"/>
        <v/>
      </c>
      <c r="O185" s="22"/>
      <c r="P185" s="217" t="str">
        <f>IF(A184=$D$8,XIRR(R$24:R184,C$24:C184),"")</f>
        <v/>
      </c>
      <c r="Q185" s="212" t="str">
        <f t="shared" si="52"/>
        <v/>
      </c>
      <c r="R185" s="29">
        <f t="shared" ca="1" si="48"/>
        <v>29236.53</v>
      </c>
      <c r="S185" s="22">
        <f t="shared" ca="1" si="49"/>
        <v>2034</v>
      </c>
      <c r="T185" s="22">
        <f t="shared" ca="1" si="50"/>
        <v>365</v>
      </c>
      <c r="U185" s="22">
        <f t="shared" ca="1" si="60"/>
        <v>12</v>
      </c>
      <c r="V185" s="23">
        <f t="shared" ca="1" si="61"/>
        <v>11</v>
      </c>
      <c r="W185" s="24">
        <f t="shared" ca="1" si="45"/>
        <v>19</v>
      </c>
    </row>
    <row r="186" spans="1:23" x14ac:dyDescent="0.35">
      <c r="A186" s="32">
        <f t="shared" si="51"/>
        <v>162</v>
      </c>
      <c r="B186" s="28">
        <f t="shared" ca="1" si="46"/>
        <v>49321</v>
      </c>
      <c r="C186" s="28">
        <f t="shared" ca="1" si="47"/>
        <v>49321</v>
      </c>
      <c r="D186" s="32">
        <f t="shared" ca="1" si="55"/>
        <v>31</v>
      </c>
      <c r="E186" s="29">
        <f t="shared" si="56"/>
        <v>1299999.4633333455</v>
      </c>
      <c r="F186" s="29">
        <f>IF(AND(A185="",A187=""),"",IF(A186="",ROUND(SUM($F$25:F185),2),IF(A186=$D$8,$E$24-ROUND(SUM($F$25:F185),2),ROUND($E$24/$D$8,2))))</f>
        <v>16666.669999999998</v>
      </c>
      <c r="G186" s="213">
        <f ca="1">IF(A185=$D$8,ROUND(SUM($G$25:G185),2),IF(A186&gt;$F$8,"",IF(T186&lt;&gt;T185,ROUND(SUM(V186*$F$17*E185/T186,W186*$F$17*E185/T185),2),ROUND(E185*$F$17*D186/T185,2))))</f>
        <v>12826.49</v>
      </c>
      <c r="H186" s="29">
        <f ca="1">IF(A185=$D$8,SUM($H$25:H185),IF(A185&gt;$D$8,"",F186+G186))</f>
        <v>29493.159999999996</v>
      </c>
      <c r="I186" s="212" t="str">
        <f t="shared" si="57"/>
        <v/>
      </c>
      <c r="J186" s="212" t="str">
        <f t="shared" si="58"/>
        <v/>
      </c>
      <c r="K186" s="212"/>
      <c r="L186" s="212" t="str">
        <f t="shared" si="59"/>
        <v/>
      </c>
      <c r="M186" s="29" t="str">
        <f t="shared" si="54"/>
        <v/>
      </c>
      <c r="N186" s="29" t="str">
        <f t="shared" si="53"/>
        <v/>
      </c>
      <c r="O186" s="22"/>
      <c r="P186" s="217" t="str">
        <f>IF(A185=$D$8,XIRR(R$24:R185,C$24:C185),"")</f>
        <v/>
      </c>
      <c r="Q186" s="212" t="str">
        <f t="shared" si="52"/>
        <v/>
      </c>
      <c r="R186" s="29">
        <f t="shared" ca="1" si="48"/>
        <v>29493.159999999996</v>
      </c>
      <c r="S186" s="22">
        <f t="shared" ca="1" si="49"/>
        <v>2035</v>
      </c>
      <c r="T186" s="22">
        <f t="shared" ca="1" si="50"/>
        <v>365</v>
      </c>
      <c r="U186" s="22">
        <f t="shared" ca="1" si="60"/>
        <v>12</v>
      </c>
      <c r="V186" s="23">
        <f t="shared" ca="1" si="61"/>
        <v>11</v>
      </c>
      <c r="W186" s="24">
        <f t="shared" ca="1" si="45"/>
        <v>20</v>
      </c>
    </row>
    <row r="187" spans="1:23" x14ac:dyDescent="0.35">
      <c r="A187" s="32">
        <f t="shared" si="51"/>
        <v>163</v>
      </c>
      <c r="B187" s="28">
        <f t="shared" ca="1" si="46"/>
        <v>49352</v>
      </c>
      <c r="C187" s="28">
        <f t="shared" ca="1" si="47"/>
        <v>49352</v>
      </c>
      <c r="D187" s="32">
        <f t="shared" ca="1" si="55"/>
        <v>31</v>
      </c>
      <c r="E187" s="29">
        <f t="shared" si="56"/>
        <v>1283332.7933333456</v>
      </c>
      <c r="F187" s="29">
        <f>IF(AND(A186="",A188=""),"",IF(A187="",ROUND(SUM($F$25:F186),2),IF(A187=$D$8,$E$24-ROUND(SUM($F$25:F186),2),ROUND($E$24/$D$8,2))))</f>
        <v>16666.669999999998</v>
      </c>
      <c r="G187" s="213">
        <f ca="1">IF(A186=$D$8,ROUND(SUM($G$25:G186),2),IF(A187&gt;$F$8,"",IF(T187&lt;&gt;T186,ROUND(SUM(V187*$F$17*E186/T187,W187*$F$17*E186/T186),2),ROUND(E186*$F$17*D187/T186,2))))</f>
        <v>12664.13</v>
      </c>
      <c r="H187" s="29">
        <f ca="1">IF(A186=$D$8,SUM($H$25:H186),IF(A186&gt;$D$8,"",F187+G187))</f>
        <v>29330.799999999996</v>
      </c>
      <c r="I187" s="212" t="str">
        <f t="shared" si="57"/>
        <v/>
      </c>
      <c r="J187" s="212" t="str">
        <f t="shared" si="58"/>
        <v/>
      </c>
      <c r="K187" s="212"/>
      <c r="L187" s="212" t="str">
        <f t="shared" si="59"/>
        <v/>
      </c>
      <c r="M187" s="29" t="str">
        <f t="shared" si="54"/>
        <v/>
      </c>
      <c r="N187" s="29" t="str">
        <f t="shared" si="53"/>
        <v/>
      </c>
      <c r="O187" s="22"/>
      <c r="P187" s="217" t="str">
        <f>IF(A186=$D$8,XIRR(R$24:R186,C$24:C186),"")</f>
        <v/>
      </c>
      <c r="Q187" s="212" t="str">
        <f t="shared" si="52"/>
        <v/>
      </c>
      <c r="R187" s="29">
        <f t="shared" ca="1" si="48"/>
        <v>29330.799999999996</v>
      </c>
      <c r="S187" s="22">
        <f t="shared" ca="1" si="49"/>
        <v>2035</v>
      </c>
      <c r="T187" s="22">
        <f t="shared" ca="1" si="50"/>
        <v>365</v>
      </c>
      <c r="U187" s="22">
        <f t="shared" ca="1" si="60"/>
        <v>12</v>
      </c>
      <c r="V187" s="23">
        <f t="shared" ca="1" si="61"/>
        <v>11</v>
      </c>
      <c r="W187" s="24">
        <f t="shared" ca="1" si="45"/>
        <v>20</v>
      </c>
    </row>
    <row r="188" spans="1:23" x14ac:dyDescent="0.35">
      <c r="A188" s="32">
        <f t="shared" si="51"/>
        <v>164</v>
      </c>
      <c r="B188" s="28">
        <f t="shared" ca="1" si="46"/>
        <v>49380</v>
      </c>
      <c r="C188" s="28">
        <f t="shared" ca="1" si="47"/>
        <v>49380</v>
      </c>
      <c r="D188" s="32">
        <f t="shared" ca="1" si="55"/>
        <v>28</v>
      </c>
      <c r="E188" s="29">
        <f t="shared" si="56"/>
        <v>1266666.1233333456</v>
      </c>
      <c r="F188" s="29">
        <f>IF(AND(A187="",A189=""),"",IF(A188="",ROUND(SUM($F$25:F187),2),IF(A188=$D$8,$E$24-ROUND(SUM($F$25:F187),2),ROUND($E$24/$D$8,2))))</f>
        <v>16666.669999999998</v>
      </c>
      <c r="G188" s="213">
        <f ca="1">IF(A187=$D$8,ROUND(SUM($G$25:G187),2),IF(A188&gt;$F$8,"",IF(T188&lt;&gt;T187,ROUND(SUM(V188*$F$17*E187/T188,W188*$F$17*E187/T187),2),ROUND(E187*$F$17*D188/T187,2))))</f>
        <v>11291.92</v>
      </c>
      <c r="H188" s="29">
        <f ca="1">IF(A187=$D$8,SUM($H$25:H187),IF(A187&gt;$D$8,"",F188+G188))</f>
        <v>27958.589999999997</v>
      </c>
      <c r="I188" s="212" t="str">
        <f t="shared" si="57"/>
        <v/>
      </c>
      <c r="J188" s="212" t="str">
        <f t="shared" si="58"/>
        <v/>
      </c>
      <c r="K188" s="212"/>
      <c r="L188" s="212" t="str">
        <f t="shared" si="59"/>
        <v/>
      </c>
      <c r="M188" s="29" t="str">
        <f t="shared" si="54"/>
        <v/>
      </c>
      <c r="N188" s="29" t="str">
        <f t="shared" si="53"/>
        <v/>
      </c>
      <c r="O188" s="22"/>
      <c r="P188" s="217" t="str">
        <f>IF(A187=$D$8,XIRR(R$24:R187,C$24:C187),"")</f>
        <v/>
      </c>
      <c r="Q188" s="212" t="str">
        <f t="shared" si="52"/>
        <v/>
      </c>
      <c r="R188" s="29">
        <f t="shared" ca="1" si="48"/>
        <v>27958.589999999997</v>
      </c>
      <c r="S188" s="22">
        <f t="shared" ca="1" si="49"/>
        <v>2035</v>
      </c>
      <c r="T188" s="22">
        <f t="shared" ca="1" si="50"/>
        <v>365</v>
      </c>
      <c r="U188" s="22">
        <f t="shared" ca="1" si="60"/>
        <v>12</v>
      </c>
      <c r="V188" s="23">
        <f t="shared" ca="1" si="61"/>
        <v>11</v>
      </c>
      <c r="W188" s="24">
        <f t="shared" ca="1" si="45"/>
        <v>17</v>
      </c>
    </row>
    <row r="189" spans="1:23" x14ac:dyDescent="0.35">
      <c r="A189" s="32">
        <f t="shared" si="51"/>
        <v>165</v>
      </c>
      <c r="B189" s="28">
        <f t="shared" ca="1" si="46"/>
        <v>49411</v>
      </c>
      <c r="C189" s="28">
        <f t="shared" ca="1" si="47"/>
        <v>49411</v>
      </c>
      <c r="D189" s="32">
        <f t="shared" ca="1" si="55"/>
        <v>31</v>
      </c>
      <c r="E189" s="29">
        <f t="shared" si="56"/>
        <v>1249999.4533333457</v>
      </c>
      <c r="F189" s="29">
        <f>IF(AND(A188="",A190=""),"",IF(A189="",ROUND(SUM($F$25:F188),2),IF(A189=$D$8,$E$24-ROUND(SUM($F$25:F188),2),ROUND($E$24/$D$8,2))))</f>
        <v>16666.669999999998</v>
      </c>
      <c r="G189" s="213">
        <f ca="1">IF(A188=$D$8,ROUND(SUM($G$25:G188),2),IF(A189&gt;$F$8,"",IF(T189&lt;&gt;T188,ROUND(SUM(V189*$F$17*E188/T189,W189*$F$17*E188/T188),2),ROUND(E188*$F$17*D189/T188,2))))</f>
        <v>12339.41</v>
      </c>
      <c r="H189" s="29">
        <f ca="1">IF(A188=$D$8,SUM($H$25:H188),IF(A188&gt;$D$8,"",F189+G189))</f>
        <v>29006.079999999998</v>
      </c>
      <c r="I189" s="212" t="str">
        <f t="shared" si="57"/>
        <v/>
      </c>
      <c r="J189" s="212" t="str">
        <f t="shared" si="58"/>
        <v/>
      </c>
      <c r="K189" s="212"/>
      <c r="L189" s="212" t="str">
        <f t="shared" si="59"/>
        <v/>
      </c>
      <c r="M189" s="29" t="str">
        <f t="shared" si="54"/>
        <v/>
      </c>
      <c r="N189" s="29" t="str">
        <f t="shared" si="53"/>
        <v/>
      </c>
      <c r="P189" s="217" t="str">
        <f>IF(A188=$D$8,XIRR(R$24:R188,C$24:C188),"")</f>
        <v/>
      </c>
      <c r="Q189" s="212" t="str">
        <f t="shared" si="52"/>
        <v/>
      </c>
      <c r="R189" s="29">
        <f t="shared" ca="1" si="48"/>
        <v>29006.079999999998</v>
      </c>
      <c r="S189" s="22">
        <f t="shared" ca="1" si="49"/>
        <v>2035</v>
      </c>
      <c r="T189" s="22">
        <f t="shared" ca="1" si="50"/>
        <v>365</v>
      </c>
      <c r="U189" s="22">
        <f t="shared" ca="1" si="60"/>
        <v>12</v>
      </c>
      <c r="V189" s="23">
        <f t="shared" ca="1" si="61"/>
        <v>11</v>
      </c>
      <c r="W189" s="24">
        <f t="shared" ca="1" si="45"/>
        <v>20</v>
      </c>
    </row>
    <row r="190" spans="1:23" x14ac:dyDescent="0.35">
      <c r="A190" s="32">
        <f t="shared" si="51"/>
        <v>166</v>
      </c>
      <c r="B190" s="28">
        <f t="shared" ca="1" si="46"/>
        <v>49441</v>
      </c>
      <c r="C190" s="28">
        <f t="shared" ca="1" si="47"/>
        <v>49441</v>
      </c>
      <c r="D190" s="32">
        <f t="shared" ca="1" si="55"/>
        <v>30</v>
      </c>
      <c r="E190" s="29">
        <f t="shared" si="56"/>
        <v>1233332.7833333458</v>
      </c>
      <c r="F190" s="29">
        <f>IF(AND(A189="",A191=""),"",IF(A190="",ROUND(SUM($F$25:F189),2),IF(A190=$D$8,$E$24-ROUND(SUM($F$25:F189),2),ROUND($E$24/$D$8,2))))</f>
        <v>16666.669999999998</v>
      </c>
      <c r="G190" s="213">
        <f ca="1">IF(A189=$D$8,ROUND(SUM($G$25:G189),2),IF(A190&gt;$F$8,"",IF(T190&lt;&gt;T189,ROUND(SUM(V190*$F$17*E189/T190,W190*$F$17*E189/T189),2),ROUND(E189*$F$17*D190/T189,2))))</f>
        <v>11784.24</v>
      </c>
      <c r="H190" s="29">
        <f ca="1">IF(A189=$D$8,SUM($H$25:H189),IF(A189&gt;$D$8,"",F190+G190))</f>
        <v>28450.909999999996</v>
      </c>
      <c r="I190" s="212" t="str">
        <f t="shared" si="57"/>
        <v/>
      </c>
      <c r="J190" s="212" t="str">
        <f t="shared" si="58"/>
        <v/>
      </c>
      <c r="K190" s="212"/>
      <c r="L190" s="212" t="str">
        <f t="shared" si="59"/>
        <v/>
      </c>
      <c r="M190" s="29" t="str">
        <f t="shared" si="54"/>
        <v/>
      </c>
      <c r="N190" s="29" t="str">
        <f t="shared" si="53"/>
        <v/>
      </c>
      <c r="P190" s="217" t="str">
        <f>IF(A189=$D$8,XIRR(R$24:R189,C$24:C189),"")</f>
        <v/>
      </c>
      <c r="Q190" s="212" t="str">
        <f t="shared" si="52"/>
        <v/>
      </c>
      <c r="R190" s="29">
        <f t="shared" ca="1" si="48"/>
        <v>28450.909999999996</v>
      </c>
      <c r="S190" s="22">
        <f t="shared" ca="1" si="49"/>
        <v>2035</v>
      </c>
      <c r="T190" s="22">
        <f t="shared" ca="1" si="50"/>
        <v>365</v>
      </c>
      <c r="U190" s="22">
        <f t="shared" ca="1" si="60"/>
        <v>12</v>
      </c>
      <c r="V190" s="23">
        <f t="shared" ca="1" si="61"/>
        <v>11</v>
      </c>
      <c r="W190" s="24">
        <f t="shared" ca="1" si="45"/>
        <v>19</v>
      </c>
    </row>
    <row r="191" spans="1:23" x14ac:dyDescent="0.35">
      <c r="A191" s="32">
        <f t="shared" si="51"/>
        <v>167</v>
      </c>
      <c r="B191" s="28">
        <f t="shared" ca="1" si="46"/>
        <v>49472</v>
      </c>
      <c r="C191" s="28">
        <f t="shared" ca="1" si="47"/>
        <v>49472</v>
      </c>
      <c r="D191" s="32">
        <f t="shared" ca="1" si="55"/>
        <v>31</v>
      </c>
      <c r="E191" s="29">
        <f t="shared" si="56"/>
        <v>1216666.1133333459</v>
      </c>
      <c r="F191" s="29">
        <f>IF(AND(A190="",A192=""),"",IF(A191="",ROUND(SUM($F$25:F190),2),IF(A191=$D$8,$E$24-ROUND(SUM($F$25:F190),2),ROUND($E$24/$D$8,2))))</f>
        <v>16666.669999999998</v>
      </c>
      <c r="G191" s="213">
        <f ca="1">IF(A190=$D$8,ROUND(SUM($G$25:G190),2),IF(A191&gt;$F$8,"",IF(T191&lt;&gt;T190,ROUND(SUM(V191*$F$17*E190/T191,W191*$F$17*E190/T190),2),ROUND(E190*$F$17*D191/T190,2))))</f>
        <v>12014.69</v>
      </c>
      <c r="H191" s="29">
        <f ca="1">IF(A190=$D$8,SUM($H$25:H190),IF(A190&gt;$D$8,"",F191+G191))</f>
        <v>28681.360000000001</v>
      </c>
      <c r="I191" s="212" t="str">
        <f t="shared" si="57"/>
        <v/>
      </c>
      <c r="J191" s="212" t="str">
        <f t="shared" si="58"/>
        <v/>
      </c>
      <c r="K191" s="212"/>
      <c r="L191" s="212" t="str">
        <f t="shared" si="59"/>
        <v/>
      </c>
      <c r="M191" s="29" t="str">
        <f t="shared" si="54"/>
        <v/>
      </c>
      <c r="N191" s="29" t="str">
        <f t="shared" si="53"/>
        <v/>
      </c>
      <c r="P191" s="217" t="str">
        <f>IF(A190=$D$8,XIRR(R$24:R190,C$24:C190),"")</f>
        <v/>
      </c>
      <c r="Q191" s="212" t="str">
        <f t="shared" si="52"/>
        <v/>
      </c>
      <c r="R191" s="29">
        <f t="shared" ca="1" si="48"/>
        <v>28681.360000000001</v>
      </c>
      <c r="S191" s="22">
        <f t="shared" ca="1" si="49"/>
        <v>2035</v>
      </c>
      <c r="T191" s="22">
        <f t="shared" ca="1" si="50"/>
        <v>365</v>
      </c>
      <c r="U191" s="22">
        <f t="shared" ca="1" si="60"/>
        <v>12</v>
      </c>
      <c r="V191" s="23">
        <f t="shared" ca="1" si="61"/>
        <v>11</v>
      </c>
      <c r="W191" s="24">
        <f t="shared" ca="1" si="45"/>
        <v>20</v>
      </c>
    </row>
    <row r="192" spans="1:23" x14ac:dyDescent="0.35">
      <c r="A192" s="32">
        <f t="shared" si="51"/>
        <v>168</v>
      </c>
      <c r="B192" s="28">
        <f t="shared" ca="1" si="46"/>
        <v>49502</v>
      </c>
      <c r="C192" s="28">
        <f t="shared" ca="1" si="47"/>
        <v>49502</v>
      </c>
      <c r="D192" s="32">
        <f t="shared" ca="1" si="55"/>
        <v>30</v>
      </c>
      <c r="E192" s="29">
        <f t="shared" si="56"/>
        <v>1199999.4433333459</v>
      </c>
      <c r="F192" s="29">
        <f>IF(AND(A191="",A193=""),"",IF(A192="",ROUND(SUM($F$25:F191),2),IF(A192=$D$8,$E$24-ROUND(SUM($F$25:F191),2),ROUND($E$24/$D$8,2))))</f>
        <v>16666.669999999998</v>
      </c>
      <c r="G192" s="213">
        <f ca="1">IF(A191=$D$8,ROUND(SUM($G$25:G191),2),IF(A192&gt;$F$8,"",IF(T192&lt;&gt;T191,ROUND(SUM(V192*$F$17*E191/T192,W192*$F$17*E191/T191),2),ROUND(E191*$F$17*D192/T191,2))))</f>
        <v>11469.99</v>
      </c>
      <c r="H192" s="29">
        <f ca="1">IF(A191=$D$8,SUM($H$25:H191),IF(A191&gt;$D$8,"",F192+G192))</f>
        <v>28136.659999999996</v>
      </c>
      <c r="I192" s="212" t="str">
        <f t="shared" si="57"/>
        <v/>
      </c>
      <c r="J192" s="212" t="str">
        <f t="shared" si="58"/>
        <v/>
      </c>
      <c r="K192" s="212"/>
      <c r="L192" s="212" t="str">
        <f t="shared" si="59"/>
        <v/>
      </c>
      <c r="M192" s="29" t="str">
        <f t="shared" si="54"/>
        <v/>
      </c>
      <c r="N192" s="29" t="str">
        <f t="shared" si="53"/>
        <v/>
      </c>
      <c r="P192" s="217" t="str">
        <f>IF(A191=$D$8,XIRR(R$24:R191,C$24:C191),"")</f>
        <v/>
      </c>
      <c r="Q192" s="212" t="str">
        <f t="shared" si="52"/>
        <v/>
      </c>
      <c r="R192" s="29">
        <f t="shared" ca="1" si="48"/>
        <v>28136.659999999996</v>
      </c>
      <c r="S192" s="22">
        <f t="shared" ca="1" si="49"/>
        <v>2035</v>
      </c>
      <c r="T192" s="22">
        <f t="shared" ca="1" si="50"/>
        <v>365</v>
      </c>
      <c r="U192" s="22">
        <f t="shared" ca="1" si="60"/>
        <v>12</v>
      </c>
      <c r="V192" s="23">
        <f t="shared" ca="1" si="61"/>
        <v>11</v>
      </c>
      <c r="W192" s="24">
        <f t="shared" ca="1" si="45"/>
        <v>19</v>
      </c>
    </row>
    <row r="193" spans="1:23" x14ac:dyDescent="0.35">
      <c r="A193" s="32">
        <f t="shared" si="51"/>
        <v>169</v>
      </c>
      <c r="B193" s="28">
        <f t="shared" ca="1" si="46"/>
        <v>49533</v>
      </c>
      <c r="C193" s="28">
        <f t="shared" ca="1" si="47"/>
        <v>49533</v>
      </c>
      <c r="D193" s="32">
        <f t="shared" ca="1" si="55"/>
        <v>31</v>
      </c>
      <c r="E193" s="29">
        <f t="shared" si="56"/>
        <v>1183332.773333346</v>
      </c>
      <c r="F193" s="29">
        <f>IF(AND(A192="",A194=""),"",IF(A193="",ROUND(SUM($F$25:F192),2),IF(A193=$D$8,$E$24-ROUND(SUM($F$25:F192),2),ROUND($E$24/$D$8,2))))</f>
        <v>16666.669999999998</v>
      </c>
      <c r="G193" s="213">
        <f ca="1">IF(A192=$D$8,ROUND(SUM($G$25:G192),2),IF(A193&gt;$F$8,"",IF(T193&lt;&gt;T192,ROUND(SUM(V193*$F$17*E192/T193,W193*$F$17*E192/T192),2),ROUND(E192*$F$17*D193/T192,2))))</f>
        <v>11689.97</v>
      </c>
      <c r="H193" s="29">
        <f ca="1">IF(A192=$D$8,SUM($H$25:H192),IF(A192&gt;$D$8,"",F193+G193))</f>
        <v>28356.639999999999</v>
      </c>
      <c r="I193" s="212" t="str">
        <f t="shared" si="57"/>
        <v/>
      </c>
      <c r="J193" s="212" t="str">
        <f t="shared" si="58"/>
        <v/>
      </c>
      <c r="K193" s="212">
        <f>IF($F$8&gt;168,($O$8+$O$10),IF($A$192=$F$8,$K$24*$G$8,""))</f>
        <v>17100</v>
      </c>
      <c r="L193" s="212" t="str">
        <f t="shared" si="59"/>
        <v/>
      </c>
      <c r="M193" s="29" t="str">
        <f t="shared" si="54"/>
        <v/>
      </c>
      <c r="N193" s="29" t="str">
        <f t="shared" si="53"/>
        <v/>
      </c>
      <c r="P193" s="217" t="str">
        <f>IF(A192=$D$8,XIRR(R$24:R192,C$24:C192),"")</f>
        <v/>
      </c>
      <c r="Q193" s="212" t="str">
        <f t="shared" si="52"/>
        <v/>
      </c>
      <c r="R193" s="29">
        <f t="shared" ca="1" si="48"/>
        <v>45456.639999999999</v>
      </c>
      <c r="S193" s="22">
        <f t="shared" ca="1" si="49"/>
        <v>2035</v>
      </c>
      <c r="T193" s="22">
        <f t="shared" ca="1" si="50"/>
        <v>365</v>
      </c>
      <c r="U193" s="22">
        <f t="shared" ca="1" si="60"/>
        <v>12</v>
      </c>
      <c r="V193" s="23">
        <f t="shared" ca="1" si="61"/>
        <v>11</v>
      </c>
      <c r="W193" s="24">
        <f t="shared" ca="1" si="45"/>
        <v>20</v>
      </c>
    </row>
    <row r="194" spans="1:23" x14ac:dyDescent="0.35">
      <c r="A194" s="32">
        <f t="shared" si="51"/>
        <v>170</v>
      </c>
      <c r="B194" s="28">
        <f t="shared" ca="1" si="46"/>
        <v>49564</v>
      </c>
      <c r="C194" s="28">
        <f t="shared" ca="1" si="47"/>
        <v>49564</v>
      </c>
      <c r="D194" s="32">
        <f t="shared" ca="1" si="55"/>
        <v>31</v>
      </c>
      <c r="E194" s="29">
        <f t="shared" si="56"/>
        <v>1166666.1033333461</v>
      </c>
      <c r="F194" s="29">
        <f>IF(AND(A193="",A195=""),"",IF(A194="",ROUND(SUM($F$25:F193),2),IF(A194=$D$8,$E$24-ROUND(SUM($F$25:F193),2),ROUND($E$24/$D$8,2))))</f>
        <v>16666.669999999998</v>
      </c>
      <c r="G194" s="213">
        <f ca="1">IF(A193=$D$8,ROUND(SUM($G$25:G193),2),IF(A194&gt;$F$8,"",IF(T194&lt;&gt;T193,ROUND(SUM(V194*$F$17*E193/T194,W194*$F$17*E193/T193),2),ROUND(E193*$F$17*D194/T193,2))))</f>
        <v>11527.61</v>
      </c>
      <c r="H194" s="29">
        <f ca="1">IF(A193=$D$8,SUM($H$25:H193),IF(A193&gt;$D$8,"",F194+G194))</f>
        <v>28194.28</v>
      </c>
      <c r="I194" s="212" t="str">
        <f t="shared" si="57"/>
        <v/>
      </c>
      <c r="J194" s="212" t="str">
        <f t="shared" si="58"/>
        <v/>
      </c>
      <c r="K194" s="212"/>
      <c r="L194" s="212" t="str">
        <f t="shared" si="59"/>
        <v/>
      </c>
      <c r="M194" s="29" t="str">
        <f t="shared" si="54"/>
        <v/>
      </c>
      <c r="N194" s="29" t="str">
        <f t="shared" si="53"/>
        <v/>
      </c>
      <c r="P194" s="217" t="str">
        <f>IF(A193=$D$8,XIRR(R$24:R193,C$24:C193),"")</f>
        <v/>
      </c>
      <c r="Q194" s="212" t="str">
        <f t="shared" si="52"/>
        <v/>
      </c>
      <c r="R194" s="29">
        <f t="shared" ca="1" si="48"/>
        <v>28194.28</v>
      </c>
      <c r="S194" s="22">
        <f t="shared" ca="1" si="49"/>
        <v>2035</v>
      </c>
      <c r="T194" s="22">
        <f t="shared" ca="1" si="50"/>
        <v>365</v>
      </c>
      <c r="U194" s="22">
        <f t="shared" ca="1" si="60"/>
        <v>12</v>
      </c>
      <c r="V194" s="23">
        <f t="shared" ca="1" si="61"/>
        <v>11</v>
      </c>
      <c r="W194" s="24">
        <f t="shared" ca="1" si="45"/>
        <v>20</v>
      </c>
    </row>
    <row r="195" spans="1:23" x14ac:dyDescent="0.35">
      <c r="A195" s="32">
        <f t="shared" si="51"/>
        <v>171</v>
      </c>
      <c r="B195" s="28">
        <f t="shared" ca="1" si="46"/>
        <v>49594</v>
      </c>
      <c r="C195" s="28">
        <f t="shared" ca="1" si="47"/>
        <v>49594</v>
      </c>
      <c r="D195" s="32">
        <f t="shared" ca="1" si="55"/>
        <v>30</v>
      </c>
      <c r="E195" s="29">
        <f t="shared" si="56"/>
        <v>1149999.4333333462</v>
      </c>
      <c r="F195" s="29">
        <f>IF(AND(A194="",A196=""),"",IF(A195="",ROUND(SUM($F$25:F194),2),IF(A195=$D$8,$E$24-ROUND(SUM($F$25:F194),2),ROUND($E$24/$D$8,2))))</f>
        <v>16666.669999999998</v>
      </c>
      <c r="G195" s="213">
        <f ca="1">IF(A194=$D$8,ROUND(SUM($G$25:G194),2),IF(A195&gt;$F$8,"",IF(T195&lt;&gt;T194,ROUND(SUM(V195*$F$17*E194/T195,W195*$F$17*E194/T194),2),ROUND(E194*$F$17*D195/T194,2))))</f>
        <v>10998.62</v>
      </c>
      <c r="H195" s="29">
        <f ca="1">IF(A194=$D$8,SUM($H$25:H194),IF(A194&gt;$D$8,"",F195+G195))</f>
        <v>27665.29</v>
      </c>
      <c r="I195" s="212" t="str">
        <f t="shared" si="57"/>
        <v/>
      </c>
      <c r="J195" s="212" t="str">
        <f t="shared" si="58"/>
        <v/>
      </c>
      <c r="K195" s="212"/>
      <c r="L195" s="212" t="str">
        <f t="shared" si="59"/>
        <v/>
      </c>
      <c r="M195" s="29" t="str">
        <f t="shared" si="54"/>
        <v/>
      </c>
      <c r="N195" s="29" t="str">
        <f t="shared" si="53"/>
        <v/>
      </c>
      <c r="P195" s="217" t="str">
        <f>IF(A194=$D$8,XIRR(R$24:R194,C$24:C194),"")</f>
        <v/>
      </c>
      <c r="Q195" s="212" t="str">
        <f t="shared" si="52"/>
        <v/>
      </c>
      <c r="R195" s="29">
        <f t="shared" ca="1" si="48"/>
        <v>27665.29</v>
      </c>
      <c r="S195" s="22">
        <f t="shared" ca="1" si="49"/>
        <v>2035</v>
      </c>
      <c r="T195" s="22">
        <f t="shared" ca="1" si="50"/>
        <v>365</v>
      </c>
      <c r="U195" s="22">
        <f t="shared" ca="1" si="60"/>
        <v>12</v>
      </c>
      <c r="V195" s="23">
        <f t="shared" ca="1" si="61"/>
        <v>11</v>
      </c>
      <c r="W195" s="24">
        <f t="shared" ca="1" si="45"/>
        <v>19</v>
      </c>
    </row>
    <row r="196" spans="1:23" x14ac:dyDescent="0.35">
      <c r="A196" s="32">
        <f t="shared" si="51"/>
        <v>172</v>
      </c>
      <c r="B196" s="28">
        <f t="shared" ca="1" si="46"/>
        <v>49625</v>
      </c>
      <c r="C196" s="28">
        <f t="shared" ca="1" si="47"/>
        <v>49625</v>
      </c>
      <c r="D196" s="32">
        <f t="shared" ca="1" si="55"/>
        <v>31</v>
      </c>
      <c r="E196" s="29">
        <f t="shared" si="56"/>
        <v>1133332.7633333462</v>
      </c>
      <c r="F196" s="29">
        <f>IF(AND(A195="",A197=""),"",IF(A196="",ROUND(SUM($F$25:F195),2),IF(A196=$D$8,$E$24-ROUND(SUM($F$25:F195),2),ROUND($E$24/$D$8,2))))</f>
        <v>16666.669999999998</v>
      </c>
      <c r="G196" s="213">
        <f ca="1">IF(A195=$D$8,ROUND(SUM($G$25:G195),2),IF(A196&gt;$F$8,"",IF(T196&lt;&gt;T195,ROUND(SUM(V196*$F$17*E195/T196,W196*$F$17*E195/T195),2),ROUND(E195*$F$17*D196/T195,2))))</f>
        <v>11202.88</v>
      </c>
      <c r="H196" s="29">
        <f ca="1">IF(A195=$D$8,SUM($H$25:H195),IF(A195&gt;$D$8,"",F196+G196))</f>
        <v>27869.549999999996</v>
      </c>
      <c r="I196" s="212" t="str">
        <f t="shared" si="57"/>
        <v/>
      </c>
      <c r="J196" s="212" t="str">
        <f t="shared" si="58"/>
        <v/>
      </c>
      <c r="K196" s="212"/>
      <c r="L196" s="212" t="str">
        <f t="shared" si="59"/>
        <v/>
      </c>
      <c r="M196" s="29" t="str">
        <f t="shared" si="54"/>
        <v/>
      </c>
      <c r="N196" s="29" t="str">
        <f t="shared" si="53"/>
        <v/>
      </c>
      <c r="P196" s="217" t="str">
        <f>IF(A195=$D$8,XIRR(R$24:R195,C$24:C195),"")</f>
        <v/>
      </c>
      <c r="Q196" s="212" t="str">
        <f t="shared" si="52"/>
        <v/>
      </c>
      <c r="R196" s="29">
        <f t="shared" ca="1" si="48"/>
        <v>27869.549999999996</v>
      </c>
      <c r="S196" s="22">
        <f t="shared" ca="1" si="49"/>
        <v>2035</v>
      </c>
      <c r="T196" s="22">
        <f t="shared" ca="1" si="50"/>
        <v>365</v>
      </c>
      <c r="U196" s="22">
        <f t="shared" ca="1" si="60"/>
        <v>12</v>
      </c>
      <c r="V196" s="23">
        <f t="shared" ca="1" si="61"/>
        <v>11</v>
      </c>
      <c r="W196" s="24">
        <f t="shared" ca="1" si="45"/>
        <v>20</v>
      </c>
    </row>
    <row r="197" spans="1:23" x14ac:dyDescent="0.35">
      <c r="A197" s="32">
        <f t="shared" si="51"/>
        <v>173</v>
      </c>
      <c r="B197" s="28">
        <f t="shared" ca="1" si="46"/>
        <v>49655</v>
      </c>
      <c r="C197" s="28">
        <f t="shared" ca="1" si="47"/>
        <v>49655</v>
      </c>
      <c r="D197" s="32">
        <f t="shared" ca="1" si="55"/>
        <v>30</v>
      </c>
      <c r="E197" s="29">
        <f t="shared" si="56"/>
        <v>1116666.0933333463</v>
      </c>
      <c r="F197" s="29">
        <f>IF(AND(A196="",A198=""),"",IF(A197="",ROUND(SUM($F$25:F196),2),IF(A197=$D$8,$E$24-ROUND(SUM($F$25:F196),2),ROUND($E$24/$D$8,2))))</f>
        <v>16666.669999999998</v>
      </c>
      <c r="G197" s="213">
        <f ca="1">IF(A196=$D$8,ROUND(SUM($G$25:G196),2),IF(A197&gt;$F$8,"",IF(T197&lt;&gt;T196,ROUND(SUM(V197*$F$17*E196/T197,W197*$F$17*E196/T196),2),ROUND(E196*$F$17*D197/T196,2))))</f>
        <v>10684.38</v>
      </c>
      <c r="H197" s="29">
        <f ca="1">IF(A196=$D$8,SUM($H$25:H196),IF(A196&gt;$D$8,"",F197+G197))</f>
        <v>27351.049999999996</v>
      </c>
      <c r="I197" s="212" t="str">
        <f t="shared" si="57"/>
        <v/>
      </c>
      <c r="J197" s="212" t="str">
        <f t="shared" si="58"/>
        <v/>
      </c>
      <c r="K197" s="212"/>
      <c r="L197" s="212" t="str">
        <f t="shared" si="59"/>
        <v/>
      </c>
      <c r="M197" s="29" t="str">
        <f t="shared" si="54"/>
        <v/>
      </c>
      <c r="N197" s="29" t="str">
        <f t="shared" si="53"/>
        <v/>
      </c>
      <c r="P197" s="217" t="str">
        <f>IF(A196=$D$8,XIRR(R$24:R196,C$24:C196),"")</f>
        <v/>
      </c>
      <c r="Q197" s="212" t="str">
        <f t="shared" si="52"/>
        <v/>
      </c>
      <c r="R197" s="29">
        <f t="shared" ca="1" si="48"/>
        <v>27351.049999999996</v>
      </c>
      <c r="S197" s="22">
        <f t="shared" ca="1" si="49"/>
        <v>2035</v>
      </c>
      <c r="T197" s="22">
        <f t="shared" ca="1" si="50"/>
        <v>365</v>
      </c>
      <c r="U197" s="22">
        <f t="shared" ca="1" si="60"/>
        <v>12</v>
      </c>
      <c r="V197" s="23">
        <f t="shared" ca="1" si="61"/>
        <v>11</v>
      </c>
      <c r="W197" s="24">
        <f t="shared" ca="1" si="45"/>
        <v>19</v>
      </c>
    </row>
    <row r="198" spans="1:23" x14ac:dyDescent="0.35">
      <c r="A198" s="32">
        <f t="shared" si="51"/>
        <v>174</v>
      </c>
      <c r="B198" s="28">
        <f t="shared" ca="1" si="46"/>
        <v>49686</v>
      </c>
      <c r="C198" s="28">
        <f t="shared" ca="1" si="47"/>
        <v>49686</v>
      </c>
      <c r="D198" s="32">
        <f t="shared" ca="1" si="55"/>
        <v>31</v>
      </c>
      <c r="E198" s="29">
        <f t="shared" si="56"/>
        <v>1099999.4233333464</v>
      </c>
      <c r="F198" s="29">
        <f>IF(AND(A197="",A199=""),"",IF(A198="",ROUND(SUM($F$25:F197),2),IF(A198=$D$8,$E$24-ROUND(SUM($F$25:F197),2),ROUND($E$24/$D$8,2))))</f>
        <v>16666.669999999998</v>
      </c>
      <c r="G198" s="213">
        <f ca="1">IF(A197=$D$8,ROUND(SUM($G$25:G197),2),IF(A198&gt;$F$8,"",IF(T198&lt;&gt;T197,ROUND(SUM(V198*$F$17*E197/T198,W198*$F$17*E197/T197),2),ROUND(E197*$F$17*D198/T197,2))))</f>
        <v>10867.62</v>
      </c>
      <c r="H198" s="29">
        <f ca="1">IF(A197=$D$8,SUM($H$25:H197),IF(A197&gt;$D$8,"",F198+G198))</f>
        <v>27534.29</v>
      </c>
      <c r="I198" s="212" t="str">
        <f t="shared" si="57"/>
        <v/>
      </c>
      <c r="J198" s="212" t="str">
        <f t="shared" si="58"/>
        <v/>
      </c>
      <c r="K198" s="212"/>
      <c r="L198" s="212" t="str">
        <f t="shared" si="59"/>
        <v/>
      </c>
      <c r="M198" s="29" t="str">
        <f t="shared" si="54"/>
        <v/>
      </c>
      <c r="N198" s="29" t="str">
        <f t="shared" si="53"/>
        <v/>
      </c>
      <c r="P198" s="217" t="str">
        <f>IF(A197=$D$8,XIRR(R$24:R197,C$24:C197),"")</f>
        <v/>
      </c>
      <c r="Q198" s="212" t="str">
        <f t="shared" si="52"/>
        <v/>
      </c>
      <c r="R198" s="29">
        <f t="shared" ca="1" si="48"/>
        <v>27534.29</v>
      </c>
      <c r="S198" s="22">
        <f t="shared" ca="1" si="49"/>
        <v>2036</v>
      </c>
      <c r="T198" s="22">
        <f t="shared" ca="1" si="50"/>
        <v>366</v>
      </c>
      <c r="U198" s="22">
        <f t="shared" ca="1" si="60"/>
        <v>12</v>
      </c>
      <c r="V198" s="23">
        <f t="shared" ca="1" si="61"/>
        <v>11</v>
      </c>
      <c r="W198" s="24">
        <f t="shared" ca="1" si="45"/>
        <v>20</v>
      </c>
    </row>
    <row r="199" spans="1:23" x14ac:dyDescent="0.35">
      <c r="A199" s="32">
        <f t="shared" si="51"/>
        <v>175</v>
      </c>
      <c r="B199" s="28">
        <f t="shared" ca="1" si="46"/>
        <v>49717</v>
      </c>
      <c r="C199" s="28">
        <f t="shared" ca="1" si="47"/>
        <v>49717</v>
      </c>
      <c r="D199" s="32">
        <f t="shared" ca="1" si="55"/>
        <v>31</v>
      </c>
      <c r="E199" s="29">
        <f t="shared" si="56"/>
        <v>1083332.7533333465</v>
      </c>
      <c r="F199" s="29">
        <f>IF(AND(A198="",A200=""),"",IF(A199="",ROUND(SUM($F$25:F198),2),IF(A199=$D$8,$E$24-ROUND(SUM($F$25:F198),2),ROUND($E$24/$D$8,2))))</f>
        <v>16666.669999999998</v>
      </c>
      <c r="G199" s="213">
        <f ca="1">IF(A198=$D$8,ROUND(SUM($G$25:G198),2),IF(A199&gt;$F$8,"",IF(T199&lt;&gt;T198,ROUND(SUM(V199*$F$17*E198/T199,W199*$F$17*E198/T198),2),ROUND(E198*$F$17*D199/T198,2))))</f>
        <v>10686.52</v>
      </c>
      <c r="H199" s="29">
        <f ca="1">IF(A198=$D$8,SUM($H$25:H198),IF(A198&gt;$D$8,"",F199+G199))</f>
        <v>27353.19</v>
      </c>
      <c r="I199" s="212" t="str">
        <f t="shared" si="57"/>
        <v/>
      </c>
      <c r="J199" s="212" t="str">
        <f t="shared" si="58"/>
        <v/>
      </c>
      <c r="K199" s="212"/>
      <c r="L199" s="212" t="str">
        <f t="shared" si="59"/>
        <v/>
      </c>
      <c r="M199" s="29" t="str">
        <f t="shared" si="54"/>
        <v/>
      </c>
      <c r="N199" s="29" t="str">
        <f t="shared" si="53"/>
        <v/>
      </c>
      <c r="P199" s="217" t="str">
        <f>IF(A198=$D$8,XIRR(R$24:R198,C$24:C198),"")</f>
        <v/>
      </c>
      <c r="Q199" s="212" t="str">
        <f t="shared" si="52"/>
        <v/>
      </c>
      <c r="R199" s="29">
        <f t="shared" ca="1" si="48"/>
        <v>27353.19</v>
      </c>
      <c r="S199" s="22">
        <f t="shared" ca="1" si="49"/>
        <v>2036</v>
      </c>
      <c r="T199" s="22">
        <f t="shared" ca="1" si="50"/>
        <v>366</v>
      </c>
      <c r="U199" s="22">
        <f t="shared" ca="1" si="60"/>
        <v>12</v>
      </c>
      <c r="V199" s="23">
        <f t="shared" ca="1" si="61"/>
        <v>11</v>
      </c>
      <c r="W199" s="24">
        <f t="shared" ca="1" si="45"/>
        <v>20</v>
      </c>
    </row>
    <row r="200" spans="1:23" x14ac:dyDescent="0.35">
      <c r="A200" s="32">
        <f t="shared" si="51"/>
        <v>176</v>
      </c>
      <c r="B200" s="28">
        <f t="shared" ca="1" si="46"/>
        <v>49746</v>
      </c>
      <c r="C200" s="28">
        <f t="shared" ca="1" si="47"/>
        <v>49746</v>
      </c>
      <c r="D200" s="32">
        <f t="shared" ca="1" si="55"/>
        <v>29</v>
      </c>
      <c r="E200" s="29">
        <f t="shared" si="56"/>
        <v>1066666.0833333465</v>
      </c>
      <c r="F200" s="29">
        <f>IF(AND(A199="",A201=""),"",IF(A200="",ROUND(SUM($F$25:F199),2),IF(A200=$D$8,$E$24-ROUND(SUM($F$25:F199),2),ROUND($E$24/$D$8,2))))</f>
        <v>16666.669999999998</v>
      </c>
      <c r="G200" s="213">
        <f ca="1">IF(A199=$D$8,ROUND(SUM($G$25:G199),2),IF(A200&gt;$F$8,"",IF(T200&lt;&gt;T199,ROUND(SUM(V200*$F$17*E199/T200,W200*$F$17*E199/T199),2),ROUND(E199*$F$17*D200/T199,2))))</f>
        <v>9845.6</v>
      </c>
      <c r="H200" s="29">
        <f ca="1">IF(A199=$D$8,SUM($H$25:H199),IF(A199&gt;$D$8,"",F200+G200))</f>
        <v>26512.269999999997</v>
      </c>
      <c r="I200" s="212" t="str">
        <f t="shared" si="57"/>
        <v/>
      </c>
      <c r="J200" s="212" t="str">
        <f t="shared" si="58"/>
        <v/>
      </c>
      <c r="K200" s="212"/>
      <c r="L200" s="212" t="str">
        <f t="shared" si="59"/>
        <v/>
      </c>
      <c r="M200" s="29" t="str">
        <f t="shared" si="54"/>
        <v/>
      </c>
      <c r="N200" s="29" t="str">
        <f t="shared" si="53"/>
        <v/>
      </c>
      <c r="P200" s="217" t="str">
        <f>IF(A199=$D$8,XIRR(R$24:R199,C$24:C199),"")</f>
        <v/>
      </c>
      <c r="Q200" s="212" t="str">
        <f t="shared" si="52"/>
        <v/>
      </c>
      <c r="R200" s="29">
        <f t="shared" ca="1" si="48"/>
        <v>26512.269999999997</v>
      </c>
      <c r="S200" s="22">
        <f t="shared" ca="1" si="49"/>
        <v>2036</v>
      </c>
      <c r="T200" s="22">
        <f t="shared" ca="1" si="50"/>
        <v>366</v>
      </c>
      <c r="U200" s="22">
        <f t="shared" ca="1" si="60"/>
        <v>12</v>
      </c>
      <c r="V200" s="23">
        <f t="shared" ca="1" si="61"/>
        <v>11</v>
      </c>
      <c r="W200" s="24">
        <f t="shared" ca="1" si="45"/>
        <v>18</v>
      </c>
    </row>
    <row r="201" spans="1:23" x14ac:dyDescent="0.35">
      <c r="A201" s="32">
        <f t="shared" si="51"/>
        <v>177</v>
      </c>
      <c r="B201" s="28">
        <f t="shared" ca="1" si="46"/>
        <v>49777</v>
      </c>
      <c r="C201" s="28">
        <f t="shared" ca="1" si="47"/>
        <v>49777</v>
      </c>
      <c r="D201" s="32">
        <f t="shared" ca="1" si="55"/>
        <v>31</v>
      </c>
      <c r="E201" s="29">
        <f t="shared" si="56"/>
        <v>1049999.4133333466</v>
      </c>
      <c r="F201" s="29">
        <f>IF(AND(A200="",A202=""),"",IF(A201="",ROUND(SUM($F$25:F200),2),IF(A201=$D$8,$E$24-ROUND(SUM($F$25:F200),2),ROUND($E$24/$D$8,2))))</f>
        <v>16666.669999999998</v>
      </c>
      <c r="G201" s="213">
        <f ca="1">IF(A200=$D$8,ROUND(SUM($G$25:G200),2),IF(A201&gt;$F$8,"",IF(T201&lt;&gt;T200,ROUND(SUM(V201*$F$17*E200/T201,W201*$F$17*E200/T200),2),ROUND(E200*$F$17*D201/T200,2))))</f>
        <v>10362.69</v>
      </c>
      <c r="H201" s="29">
        <f ca="1">IF(A200=$D$8,SUM($H$25:H200),IF(A200&gt;$D$8,"",F201+G201))</f>
        <v>27029.360000000001</v>
      </c>
      <c r="I201" s="212" t="str">
        <f t="shared" si="57"/>
        <v/>
      </c>
      <c r="J201" s="212" t="str">
        <f t="shared" si="58"/>
        <v/>
      </c>
      <c r="K201" s="212"/>
      <c r="L201" s="212" t="str">
        <f t="shared" si="59"/>
        <v/>
      </c>
      <c r="M201" s="29" t="str">
        <f t="shared" si="54"/>
        <v/>
      </c>
      <c r="N201" s="29" t="str">
        <f t="shared" si="53"/>
        <v/>
      </c>
      <c r="P201" s="217" t="str">
        <f>IF(A200=$D$8,XIRR(R$24:R200,C$24:C200),"")</f>
        <v/>
      </c>
      <c r="Q201" s="212" t="str">
        <f t="shared" si="52"/>
        <v/>
      </c>
      <c r="R201" s="29">
        <f t="shared" ca="1" si="48"/>
        <v>27029.360000000001</v>
      </c>
      <c r="S201" s="22">
        <f t="shared" ca="1" si="49"/>
        <v>2036</v>
      </c>
      <c r="T201" s="22">
        <f t="shared" ca="1" si="50"/>
        <v>366</v>
      </c>
      <c r="U201" s="22">
        <f t="shared" ca="1" si="60"/>
        <v>12</v>
      </c>
      <c r="V201" s="23">
        <f t="shared" ca="1" si="61"/>
        <v>11</v>
      </c>
      <c r="W201" s="24">
        <f t="shared" ca="1" si="45"/>
        <v>20</v>
      </c>
    </row>
    <row r="202" spans="1:23" x14ac:dyDescent="0.35">
      <c r="A202" s="32">
        <f t="shared" si="51"/>
        <v>178</v>
      </c>
      <c r="B202" s="28">
        <f t="shared" ca="1" si="46"/>
        <v>49807</v>
      </c>
      <c r="C202" s="28">
        <f t="shared" ca="1" si="47"/>
        <v>49807</v>
      </c>
      <c r="D202" s="32">
        <f t="shared" ca="1" si="55"/>
        <v>30</v>
      </c>
      <c r="E202" s="29">
        <f t="shared" si="56"/>
        <v>1033332.7433333466</v>
      </c>
      <c r="F202" s="29">
        <f>IF(AND(A201="",A203=""),"",IF(A202="",ROUND(SUM($F$25:F201),2),IF(A202=$D$8,$E$24-ROUND(SUM($F$25:F201),2),ROUND($E$24/$D$8,2))))</f>
        <v>16666.669999999998</v>
      </c>
      <c r="G202" s="213">
        <f ca="1">IF(A201=$D$8,ROUND(SUM($G$25:G201),2),IF(A202&gt;$F$8,"",IF(T202&lt;&gt;T201,ROUND(SUM(V202*$F$17*E201/T202,W202*$F$17*E201/T201),2),ROUND(E201*$F$17*D202/T201,2))))</f>
        <v>9871.7199999999993</v>
      </c>
      <c r="H202" s="29">
        <f ca="1">IF(A201=$D$8,SUM($H$25:H201),IF(A201&gt;$D$8,"",F202+G202))</f>
        <v>26538.39</v>
      </c>
      <c r="I202" s="212" t="str">
        <f t="shared" si="57"/>
        <v/>
      </c>
      <c r="J202" s="212" t="str">
        <f t="shared" si="58"/>
        <v/>
      </c>
      <c r="K202" s="212"/>
      <c r="L202" s="212" t="str">
        <f t="shared" si="59"/>
        <v/>
      </c>
      <c r="M202" s="29" t="str">
        <f t="shared" si="54"/>
        <v/>
      </c>
      <c r="N202" s="29" t="str">
        <f t="shared" si="53"/>
        <v/>
      </c>
      <c r="P202" s="217" t="str">
        <f>IF(A201=$D$8,XIRR(R$24:R201,C$24:C201),"")</f>
        <v/>
      </c>
      <c r="Q202" s="212" t="str">
        <f t="shared" si="52"/>
        <v/>
      </c>
      <c r="R202" s="29">
        <f t="shared" ca="1" si="48"/>
        <v>26538.39</v>
      </c>
      <c r="S202" s="22">
        <f t="shared" ca="1" si="49"/>
        <v>2036</v>
      </c>
      <c r="T202" s="22">
        <f t="shared" ca="1" si="50"/>
        <v>366</v>
      </c>
      <c r="U202" s="22">
        <f t="shared" ca="1" si="60"/>
        <v>12</v>
      </c>
      <c r="V202" s="23">
        <f t="shared" ca="1" si="61"/>
        <v>11</v>
      </c>
      <c r="W202" s="24">
        <f t="shared" ca="1" si="45"/>
        <v>19</v>
      </c>
    </row>
    <row r="203" spans="1:23" x14ac:dyDescent="0.35">
      <c r="A203" s="32">
        <f t="shared" si="51"/>
        <v>179</v>
      </c>
      <c r="B203" s="28">
        <f t="shared" ca="1" si="46"/>
        <v>49838</v>
      </c>
      <c r="C203" s="28">
        <f t="shared" ca="1" si="47"/>
        <v>49838</v>
      </c>
      <c r="D203" s="32">
        <f t="shared" ca="1" si="55"/>
        <v>31</v>
      </c>
      <c r="E203" s="29">
        <f t="shared" si="56"/>
        <v>1016666.0733333465</v>
      </c>
      <c r="F203" s="29">
        <f>IF(AND(A202="",A204=""),"",IF(A203="",ROUND(SUM($F$25:F202),2),IF(A203=$D$8,$E$24-ROUND(SUM($F$25:F202),2),ROUND($E$24/$D$8,2))))</f>
        <v>16666.669999999998</v>
      </c>
      <c r="G203" s="213">
        <f ca="1">IF(A202=$D$8,ROUND(SUM($G$25:G202),2),IF(A203&gt;$F$8,"",IF(T203&lt;&gt;T202,ROUND(SUM(V203*$F$17*E202/T203,W203*$F$17*E202/T202),2),ROUND(E202*$F$17*D203/T202,2))))</f>
        <v>10038.86</v>
      </c>
      <c r="H203" s="29">
        <f ca="1">IF(A202=$D$8,SUM($H$25:H202),IF(A202&gt;$D$8,"",F203+G203))</f>
        <v>26705.53</v>
      </c>
      <c r="I203" s="212" t="str">
        <f t="shared" si="57"/>
        <v/>
      </c>
      <c r="J203" s="212" t="str">
        <f t="shared" si="58"/>
        <v/>
      </c>
      <c r="K203" s="212"/>
      <c r="L203" s="212" t="str">
        <f t="shared" si="59"/>
        <v/>
      </c>
      <c r="M203" s="29" t="str">
        <f t="shared" si="54"/>
        <v/>
      </c>
      <c r="N203" s="29" t="str">
        <f t="shared" si="53"/>
        <v/>
      </c>
      <c r="P203" s="217" t="str">
        <f>IF(A202=$D$8,XIRR(R$24:R202,C$24:C202),"")</f>
        <v/>
      </c>
      <c r="Q203" s="212" t="str">
        <f t="shared" si="52"/>
        <v/>
      </c>
      <c r="R203" s="29">
        <f t="shared" ca="1" si="48"/>
        <v>26705.53</v>
      </c>
      <c r="S203" s="22">
        <f t="shared" ca="1" si="49"/>
        <v>2036</v>
      </c>
      <c r="T203" s="22">
        <f t="shared" ca="1" si="50"/>
        <v>366</v>
      </c>
      <c r="U203" s="22">
        <f t="shared" ca="1" si="60"/>
        <v>12</v>
      </c>
      <c r="V203" s="23">
        <f t="shared" ca="1" si="61"/>
        <v>11</v>
      </c>
      <c r="W203" s="24">
        <f t="shared" ca="1" si="45"/>
        <v>20</v>
      </c>
    </row>
    <row r="204" spans="1:23" x14ac:dyDescent="0.35">
      <c r="A204" s="32">
        <f t="shared" si="51"/>
        <v>180</v>
      </c>
      <c r="B204" s="28">
        <f t="shared" ca="1" si="46"/>
        <v>49868</v>
      </c>
      <c r="C204" s="28">
        <f t="shared" ca="1" si="47"/>
        <v>49868</v>
      </c>
      <c r="D204" s="32">
        <f t="shared" ca="1" si="55"/>
        <v>30</v>
      </c>
      <c r="E204" s="29">
        <f t="shared" si="56"/>
        <v>999999.40333334648</v>
      </c>
      <c r="F204" s="29">
        <f>IF(AND(A203="",A205=""),"",IF(A204="",ROUND(SUM($F$25:F203),2),IF(A204=$D$8,$E$24-ROUND(SUM($F$25:F203),2),ROUND($E$24/$D$8,2))))</f>
        <v>16666.669999999998</v>
      </c>
      <c r="G204" s="213">
        <f ca="1">IF(A203=$D$8,ROUND(SUM($G$25:G203),2),IF(A204&gt;$F$8,"",IF(T204&lt;&gt;T203,ROUND(SUM(V204*$F$17*E203/T204,W204*$F$17*E203/T203),2),ROUND(E203*$F$17*D204/T203,2))))</f>
        <v>9558.33</v>
      </c>
      <c r="H204" s="29">
        <f ca="1">IF(A203=$D$8,SUM($H$25:H203),IF(A203&gt;$D$8,"",F204+G204))</f>
        <v>26225</v>
      </c>
      <c r="I204" s="212" t="str">
        <f t="shared" si="57"/>
        <v/>
      </c>
      <c r="J204" s="212" t="str">
        <f t="shared" si="58"/>
        <v/>
      </c>
      <c r="K204" s="212"/>
      <c r="L204" s="212" t="str">
        <f t="shared" si="59"/>
        <v/>
      </c>
      <c r="M204" s="29" t="str">
        <f t="shared" si="54"/>
        <v/>
      </c>
      <c r="N204" s="29" t="str">
        <f t="shared" si="53"/>
        <v/>
      </c>
      <c r="P204" s="217" t="str">
        <f>IF(A203=$D$8,XIRR(R$24:R203,C$24:C203),"")</f>
        <v/>
      </c>
      <c r="Q204" s="212" t="str">
        <f t="shared" si="52"/>
        <v/>
      </c>
      <c r="R204" s="29">
        <f t="shared" ca="1" si="48"/>
        <v>26225</v>
      </c>
      <c r="S204" s="22">
        <f t="shared" ca="1" si="49"/>
        <v>2036</v>
      </c>
      <c r="T204" s="22">
        <f t="shared" ca="1" si="50"/>
        <v>366</v>
      </c>
      <c r="U204" s="22">
        <f t="shared" ca="1" si="60"/>
        <v>12</v>
      </c>
      <c r="V204" s="23">
        <f t="shared" ca="1" si="61"/>
        <v>11</v>
      </c>
      <c r="W204" s="24">
        <f t="shared" ca="1" si="45"/>
        <v>19</v>
      </c>
    </row>
    <row r="205" spans="1:23" x14ac:dyDescent="0.35">
      <c r="A205" s="32">
        <f t="shared" si="51"/>
        <v>181</v>
      </c>
      <c r="B205" s="28">
        <f t="shared" ca="1" si="46"/>
        <v>49899</v>
      </c>
      <c r="C205" s="28">
        <f t="shared" ca="1" si="47"/>
        <v>49899</v>
      </c>
      <c r="D205" s="32">
        <f t="shared" ca="1" si="55"/>
        <v>31</v>
      </c>
      <c r="E205" s="29">
        <f t="shared" si="56"/>
        <v>983332.73333334643</v>
      </c>
      <c r="F205" s="29">
        <f>IF(AND(A204="",A206=""),"",IF(A205="",ROUND(SUM($F$25:F204),2),IF(A205=$D$8,$E$24-ROUND(SUM($F$25:F204),2),ROUND($E$24/$D$8,2))))</f>
        <v>16666.669999999998</v>
      </c>
      <c r="G205" s="213">
        <f ca="1">IF(A204=$D$8,ROUND(SUM($G$25:G204),2),IF(A205&gt;$F$8,"",IF(T205&lt;&gt;T204,ROUND(SUM(V205*$F$17*E204/T205,W205*$F$17*E204/T204),2),ROUND(E204*$F$17*D205/T204,2))))</f>
        <v>9715.02</v>
      </c>
      <c r="H205" s="29">
        <f ca="1">IF(A204=$D$8,SUM($H$25:H204),IF(A204&gt;$D$8,"",F205+G205))</f>
        <v>26381.69</v>
      </c>
      <c r="I205" s="212" t="str">
        <f t="shared" si="57"/>
        <v/>
      </c>
      <c r="J205" s="212" t="str">
        <f t="shared" si="58"/>
        <v/>
      </c>
      <c r="K205" s="212">
        <f>IF($F$8&gt;180,($O$8+$O$10),IF($A$204=$F$8,$K$24*$G$8,""))</f>
        <v>17100</v>
      </c>
      <c r="L205" s="212" t="str">
        <f t="shared" si="59"/>
        <v/>
      </c>
      <c r="M205" s="29" t="str">
        <f t="shared" si="54"/>
        <v/>
      </c>
      <c r="N205" s="29" t="str">
        <f t="shared" si="53"/>
        <v/>
      </c>
      <c r="P205" s="217" t="str">
        <f>IF(A204=$D$8,XIRR(R$24:R204,C$24:C204),"")</f>
        <v/>
      </c>
      <c r="Q205" s="212" t="str">
        <f t="shared" si="52"/>
        <v/>
      </c>
      <c r="R205" s="29">
        <f t="shared" ca="1" si="48"/>
        <v>43481.69</v>
      </c>
      <c r="S205" s="22">
        <f t="shared" ca="1" si="49"/>
        <v>2036</v>
      </c>
      <c r="T205" s="22">
        <f t="shared" ca="1" si="50"/>
        <v>366</v>
      </c>
      <c r="U205" s="22">
        <f t="shared" ca="1" si="60"/>
        <v>12</v>
      </c>
      <c r="V205" s="23">
        <f t="shared" ca="1" si="61"/>
        <v>11</v>
      </c>
      <c r="W205" s="24">
        <f t="shared" ca="1" si="45"/>
        <v>20</v>
      </c>
    </row>
    <row r="206" spans="1:23" x14ac:dyDescent="0.35">
      <c r="A206" s="32">
        <f t="shared" si="51"/>
        <v>182</v>
      </c>
      <c r="B206" s="28">
        <f t="shared" ca="1" si="46"/>
        <v>49930</v>
      </c>
      <c r="C206" s="28">
        <f t="shared" ca="1" si="47"/>
        <v>49930</v>
      </c>
      <c r="D206" s="32">
        <f t="shared" ca="1" si="55"/>
        <v>31</v>
      </c>
      <c r="E206" s="29">
        <f t="shared" si="56"/>
        <v>966666.06333334639</v>
      </c>
      <c r="F206" s="29">
        <f>IF(AND(A205="",A207=""),"",IF(A206="",ROUND(SUM($F$25:F205),2),IF(A206=$D$8,$E$24-ROUND(SUM($F$25:F205),2),ROUND($E$24/$D$8,2))))</f>
        <v>16666.669999999998</v>
      </c>
      <c r="G206" s="213">
        <f ca="1">IF(A205=$D$8,ROUND(SUM($G$25:G205),2),IF(A206&gt;$F$8,"",IF(T206&lt;&gt;T205,ROUND(SUM(V206*$F$17*E205/T206,W206*$F$17*E205/T205),2),ROUND(E205*$F$17*D206/T205,2))))</f>
        <v>9553.1</v>
      </c>
      <c r="H206" s="29">
        <f ca="1">IF(A205=$D$8,SUM($H$25:H205),IF(A205&gt;$D$8,"",F206+G206))</f>
        <v>26219.769999999997</v>
      </c>
      <c r="I206" s="212" t="str">
        <f t="shared" si="57"/>
        <v/>
      </c>
      <c r="J206" s="212" t="str">
        <f t="shared" si="58"/>
        <v/>
      </c>
      <c r="K206" s="212"/>
      <c r="L206" s="212" t="str">
        <f t="shared" si="59"/>
        <v/>
      </c>
      <c r="M206" s="29" t="str">
        <f t="shared" si="54"/>
        <v/>
      </c>
      <c r="N206" s="29" t="str">
        <f t="shared" si="53"/>
        <v/>
      </c>
      <c r="P206" s="217" t="str">
        <f>IF(A205=$D$8,XIRR(R$24:R205,C$24:C205),"")</f>
        <v/>
      </c>
      <c r="Q206" s="212" t="str">
        <f t="shared" si="52"/>
        <v/>
      </c>
      <c r="R206" s="29">
        <f t="shared" ca="1" si="48"/>
        <v>26219.769999999997</v>
      </c>
      <c r="S206" s="22">
        <f t="shared" ca="1" si="49"/>
        <v>2036</v>
      </c>
      <c r="T206" s="22">
        <f t="shared" ca="1" si="50"/>
        <v>366</v>
      </c>
      <c r="U206" s="22">
        <f t="shared" ca="1" si="60"/>
        <v>12</v>
      </c>
      <c r="V206" s="23">
        <f t="shared" ca="1" si="61"/>
        <v>11</v>
      </c>
      <c r="W206" s="24">
        <f t="shared" ca="1" si="45"/>
        <v>20</v>
      </c>
    </row>
    <row r="207" spans="1:23" x14ac:dyDescent="0.35">
      <c r="A207" s="32">
        <f t="shared" si="51"/>
        <v>183</v>
      </c>
      <c r="B207" s="28">
        <f t="shared" ca="1" si="46"/>
        <v>49960</v>
      </c>
      <c r="C207" s="28">
        <f t="shared" ca="1" si="47"/>
        <v>49960</v>
      </c>
      <c r="D207" s="32">
        <f t="shared" ca="1" si="55"/>
        <v>30</v>
      </c>
      <c r="E207" s="29">
        <f t="shared" si="56"/>
        <v>949999.39333334635</v>
      </c>
      <c r="F207" s="29">
        <f>IF(AND(A206="",A208=""),"",IF(A207="",ROUND(SUM($F$25:F206),2),IF(A207=$D$8,$E$24-ROUND(SUM($F$25:F206),2),ROUND($E$24/$D$8,2))))</f>
        <v>16666.669999999998</v>
      </c>
      <c r="G207" s="213">
        <f ca="1">IF(A206=$D$8,ROUND(SUM($G$25:G206),2),IF(A207&gt;$F$8,"",IF(T207&lt;&gt;T206,ROUND(SUM(V207*$F$17*E206/T207,W207*$F$17*E206/T206),2),ROUND(E206*$F$17*D207/T206,2))))</f>
        <v>9088.25</v>
      </c>
      <c r="H207" s="29">
        <f ca="1">IF(A206=$D$8,SUM($H$25:H206),IF(A206&gt;$D$8,"",F207+G207))</f>
        <v>25754.92</v>
      </c>
      <c r="I207" s="212" t="str">
        <f t="shared" si="57"/>
        <v/>
      </c>
      <c r="J207" s="212" t="str">
        <f t="shared" si="58"/>
        <v/>
      </c>
      <c r="K207" s="212"/>
      <c r="L207" s="212" t="str">
        <f t="shared" si="59"/>
        <v/>
      </c>
      <c r="M207" s="29" t="str">
        <f t="shared" si="54"/>
        <v/>
      </c>
      <c r="N207" s="29" t="str">
        <f t="shared" si="53"/>
        <v/>
      </c>
      <c r="P207" s="217" t="str">
        <f>IF(A206=$D$8,XIRR(R$24:R206,C$24:C206),"")</f>
        <v/>
      </c>
      <c r="Q207" s="212" t="str">
        <f t="shared" si="52"/>
        <v/>
      </c>
      <c r="R207" s="29">
        <f t="shared" ca="1" si="48"/>
        <v>25754.92</v>
      </c>
      <c r="S207" s="22">
        <f t="shared" ca="1" si="49"/>
        <v>2036</v>
      </c>
      <c r="T207" s="22">
        <f t="shared" ca="1" si="50"/>
        <v>366</v>
      </c>
      <c r="U207" s="22">
        <f t="shared" ca="1" si="60"/>
        <v>12</v>
      </c>
      <c r="V207" s="23">
        <f t="shared" ca="1" si="61"/>
        <v>11</v>
      </c>
      <c r="W207" s="24">
        <f t="shared" ca="1" si="45"/>
        <v>19</v>
      </c>
    </row>
    <row r="208" spans="1:23" x14ac:dyDescent="0.35">
      <c r="A208" s="32">
        <f t="shared" si="51"/>
        <v>184</v>
      </c>
      <c r="B208" s="28">
        <f t="shared" ca="1" si="46"/>
        <v>49991</v>
      </c>
      <c r="C208" s="28">
        <f t="shared" ca="1" si="47"/>
        <v>49991</v>
      </c>
      <c r="D208" s="32">
        <f t="shared" ca="1" si="55"/>
        <v>31</v>
      </c>
      <c r="E208" s="29">
        <f t="shared" si="56"/>
        <v>933332.72333334631</v>
      </c>
      <c r="F208" s="29">
        <f>IF(AND(A207="",A209=""),"",IF(A208="",ROUND(SUM($F$25:F207),2),IF(A208=$D$8,$E$24-ROUND(SUM($F$25:F207),2),ROUND($E$24/$D$8,2))))</f>
        <v>16666.669999999998</v>
      </c>
      <c r="G208" s="213">
        <f ca="1">IF(A207=$D$8,ROUND(SUM($G$25:G207),2),IF(A208&gt;$F$8,"",IF(T208&lt;&gt;T207,ROUND(SUM(V208*$F$17*E207/T208,W208*$F$17*E207/T207),2),ROUND(E207*$F$17*D208/T207,2))))</f>
        <v>9229.27</v>
      </c>
      <c r="H208" s="29">
        <f ca="1">IF(A207=$D$8,SUM($H$25:H207),IF(A207&gt;$D$8,"",F208+G208))</f>
        <v>25895.94</v>
      </c>
      <c r="I208" s="212" t="str">
        <f t="shared" si="57"/>
        <v/>
      </c>
      <c r="J208" s="212" t="str">
        <f t="shared" si="58"/>
        <v/>
      </c>
      <c r="K208" s="212"/>
      <c r="L208" s="212" t="str">
        <f t="shared" si="59"/>
        <v/>
      </c>
      <c r="M208" s="29" t="str">
        <f t="shared" si="54"/>
        <v/>
      </c>
      <c r="N208" s="29" t="str">
        <f t="shared" si="53"/>
        <v/>
      </c>
      <c r="P208" s="217" t="str">
        <f>IF(A207=$D$8,XIRR(R$24:R207,C$24:C207),"")</f>
        <v/>
      </c>
      <c r="Q208" s="212" t="str">
        <f t="shared" si="52"/>
        <v/>
      </c>
      <c r="R208" s="29">
        <f t="shared" ca="1" si="48"/>
        <v>25895.94</v>
      </c>
      <c r="S208" s="22">
        <f t="shared" ca="1" si="49"/>
        <v>2036</v>
      </c>
      <c r="T208" s="22">
        <f t="shared" ca="1" si="50"/>
        <v>366</v>
      </c>
      <c r="U208" s="22">
        <f t="shared" ca="1" si="60"/>
        <v>12</v>
      </c>
      <c r="V208" s="23">
        <f t="shared" ca="1" si="61"/>
        <v>11</v>
      </c>
      <c r="W208" s="24">
        <f t="shared" ca="1" si="45"/>
        <v>20</v>
      </c>
    </row>
    <row r="209" spans="1:23" x14ac:dyDescent="0.35">
      <c r="A209" s="32">
        <f t="shared" si="51"/>
        <v>185</v>
      </c>
      <c r="B209" s="28">
        <f t="shared" ca="1" si="46"/>
        <v>50021</v>
      </c>
      <c r="C209" s="28">
        <f t="shared" ca="1" si="47"/>
        <v>50021</v>
      </c>
      <c r="D209" s="32">
        <f t="shared" ca="1" si="55"/>
        <v>30</v>
      </c>
      <c r="E209" s="29">
        <f t="shared" si="56"/>
        <v>916666.05333334627</v>
      </c>
      <c r="F209" s="29">
        <f>IF(AND(A208="",A210=""),"",IF(A209="",ROUND(SUM($F$25:F208),2),IF(A209=$D$8,$E$24-ROUND(SUM($F$25:F208),2),ROUND($E$24/$D$8,2))))</f>
        <v>16666.669999999998</v>
      </c>
      <c r="G209" s="213">
        <f ca="1">IF(A208=$D$8,ROUND(SUM($G$25:G208),2),IF(A209&gt;$F$8,"",IF(T209&lt;&gt;T208,ROUND(SUM(V209*$F$17*E208/T209,W209*$F$17*E208/T208),2),ROUND(E208*$F$17*D209/T208,2))))</f>
        <v>8774.86</v>
      </c>
      <c r="H209" s="29">
        <f ca="1">IF(A208=$D$8,SUM($H$25:H208),IF(A208&gt;$D$8,"",F209+G209))</f>
        <v>25441.53</v>
      </c>
      <c r="I209" s="212" t="str">
        <f t="shared" si="57"/>
        <v/>
      </c>
      <c r="J209" s="212" t="str">
        <f t="shared" si="58"/>
        <v/>
      </c>
      <c r="K209" s="212"/>
      <c r="L209" s="212" t="str">
        <f t="shared" si="59"/>
        <v/>
      </c>
      <c r="M209" s="29" t="str">
        <f t="shared" si="54"/>
        <v/>
      </c>
      <c r="N209" s="29" t="str">
        <f t="shared" si="53"/>
        <v/>
      </c>
      <c r="P209" s="217" t="str">
        <f>IF(A208=$D$8,XIRR(R$24:R208,C$24:C208),"")</f>
        <v/>
      </c>
      <c r="Q209" s="212" t="str">
        <f t="shared" si="52"/>
        <v/>
      </c>
      <c r="R209" s="29">
        <f t="shared" ca="1" si="48"/>
        <v>25441.53</v>
      </c>
      <c r="S209" s="22">
        <f t="shared" ca="1" si="49"/>
        <v>2036</v>
      </c>
      <c r="T209" s="22">
        <f t="shared" ca="1" si="50"/>
        <v>366</v>
      </c>
      <c r="U209" s="22">
        <f t="shared" ca="1" si="60"/>
        <v>12</v>
      </c>
      <c r="V209" s="23">
        <f t="shared" ca="1" si="61"/>
        <v>11</v>
      </c>
      <c r="W209" s="24">
        <f t="shared" ca="1" si="45"/>
        <v>19</v>
      </c>
    </row>
    <row r="210" spans="1:23" x14ac:dyDescent="0.35">
      <c r="A210" s="32">
        <f t="shared" si="51"/>
        <v>186</v>
      </c>
      <c r="B210" s="28">
        <f t="shared" ca="1" si="46"/>
        <v>50052</v>
      </c>
      <c r="C210" s="28">
        <f t="shared" ca="1" si="47"/>
        <v>50052</v>
      </c>
      <c r="D210" s="32">
        <f t="shared" ca="1" si="55"/>
        <v>31</v>
      </c>
      <c r="E210" s="29">
        <f t="shared" si="56"/>
        <v>899999.38333334622</v>
      </c>
      <c r="F210" s="29">
        <f>IF(AND(A209="",A211=""),"",IF(A210="",ROUND(SUM($F$25:F209),2),IF(A210=$D$8,$E$24-ROUND(SUM($F$25:F209),2),ROUND($E$24/$D$8,2))))</f>
        <v>16666.669999999998</v>
      </c>
      <c r="G210" s="213">
        <f ca="1">IF(A209=$D$8,ROUND(SUM($G$25:G209),2),IF(A210&gt;$F$8,"",IF(T210&lt;&gt;T209,ROUND(SUM(V210*$F$17*E209/T210,W210*$F$17*E209/T209),2),ROUND(E209*$F$17*D210/T209,2))))</f>
        <v>8914.09</v>
      </c>
      <c r="H210" s="29">
        <f ca="1">IF(A209=$D$8,SUM($H$25:H209),IF(A209&gt;$D$8,"",F210+G210))</f>
        <v>25580.76</v>
      </c>
      <c r="I210" s="212" t="str">
        <f t="shared" si="57"/>
        <v/>
      </c>
      <c r="J210" s="212" t="str">
        <f t="shared" si="58"/>
        <v/>
      </c>
      <c r="K210" s="212"/>
      <c r="L210" s="212" t="str">
        <f t="shared" si="59"/>
        <v/>
      </c>
      <c r="M210" s="29" t="str">
        <f t="shared" si="54"/>
        <v/>
      </c>
      <c r="N210" s="29" t="str">
        <f t="shared" si="53"/>
        <v/>
      </c>
      <c r="P210" s="217" t="str">
        <f>IF(A209=$D$8,XIRR(R$24:R209,C$24:C209),"")</f>
        <v/>
      </c>
      <c r="Q210" s="212" t="str">
        <f t="shared" si="52"/>
        <v/>
      </c>
      <c r="R210" s="29">
        <f t="shared" ca="1" si="48"/>
        <v>25580.76</v>
      </c>
      <c r="S210" s="22">
        <f t="shared" ca="1" si="49"/>
        <v>2037</v>
      </c>
      <c r="T210" s="22">
        <f t="shared" ca="1" si="50"/>
        <v>365</v>
      </c>
      <c r="U210" s="22">
        <f t="shared" ca="1" si="60"/>
        <v>12</v>
      </c>
      <c r="V210" s="23">
        <f t="shared" ca="1" si="61"/>
        <v>11</v>
      </c>
      <c r="W210" s="24">
        <f t="shared" ca="1" si="45"/>
        <v>20</v>
      </c>
    </row>
    <row r="211" spans="1:23" x14ac:dyDescent="0.35">
      <c r="A211" s="32">
        <f t="shared" si="51"/>
        <v>187</v>
      </c>
      <c r="B211" s="28">
        <f t="shared" ca="1" si="46"/>
        <v>50083</v>
      </c>
      <c r="C211" s="28">
        <f t="shared" ca="1" si="47"/>
        <v>50083</v>
      </c>
      <c r="D211" s="32">
        <f t="shared" ca="1" si="55"/>
        <v>31</v>
      </c>
      <c r="E211" s="29">
        <f t="shared" si="56"/>
        <v>883332.71333334618</v>
      </c>
      <c r="F211" s="29">
        <f>IF(AND(A210="",A212=""),"",IF(A211="",ROUND(SUM($F$25:F210),2),IF(A211=$D$8,$E$24-ROUND(SUM($F$25:F210),2),ROUND($E$24/$D$8,2))))</f>
        <v>16666.669999999998</v>
      </c>
      <c r="G211" s="213">
        <f ca="1">IF(A210=$D$8,ROUND(SUM($G$25:G210),2),IF(A211&gt;$F$8,"",IF(T211&lt;&gt;T210,ROUND(SUM(V211*$F$17*E210/T211,W211*$F$17*E210/T210),2),ROUND(E210*$F$17*D211/T210,2))))</f>
        <v>8767.4699999999993</v>
      </c>
      <c r="H211" s="29">
        <f ca="1">IF(A210=$D$8,SUM($H$25:H210),IF(A210&gt;$D$8,"",F211+G211))</f>
        <v>25434.14</v>
      </c>
      <c r="I211" s="212" t="str">
        <f t="shared" si="57"/>
        <v/>
      </c>
      <c r="J211" s="212" t="str">
        <f t="shared" si="58"/>
        <v/>
      </c>
      <c r="K211" s="212"/>
      <c r="L211" s="212" t="str">
        <f t="shared" si="59"/>
        <v/>
      </c>
      <c r="M211" s="29" t="str">
        <f t="shared" si="54"/>
        <v/>
      </c>
      <c r="N211" s="29" t="str">
        <f t="shared" si="53"/>
        <v/>
      </c>
      <c r="P211" s="217" t="str">
        <f>IF(A210=$D$8,XIRR(R$24:R210,C$24:C210),"")</f>
        <v/>
      </c>
      <c r="Q211" s="212" t="str">
        <f t="shared" si="52"/>
        <v/>
      </c>
      <c r="R211" s="29">
        <f t="shared" ca="1" si="48"/>
        <v>25434.14</v>
      </c>
      <c r="S211" s="22">
        <f t="shared" ca="1" si="49"/>
        <v>2037</v>
      </c>
      <c r="T211" s="22">
        <f t="shared" ca="1" si="50"/>
        <v>365</v>
      </c>
      <c r="U211" s="22">
        <f t="shared" ca="1" si="60"/>
        <v>12</v>
      </c>
      <c r="V211" s="23">
        <f t="shared" ca="1" si="61"/>
        <v>11</v>
      </c>
      <c r="W211" s="24">
        <f t="shared" ca="1" si="45"/>
        <v>20</v>
      </c>
    </row>
    <row r="212" spans="1:23" x14ac:dyDescent="0.35">
      <c r="A212" s="32">
        <f t="shared" si="51"/>
        <v>188</v>
      </c>
      <c r="B212" s="28">
        <f t="shared" ca="1" si="46"/>
        <v>50111</v>
      </c>
      <c r="C212" s="28">
        <f t="shared" ca="1" si="47"/>
        <v>50111</v>
      </c>
      <c r="D212" s="32">
        <f t="shared" ca="1" si="55"/>
        <v>28</v>
      </c>
      <c r="E212" s="29">
        <f t="shared" si="56"/>
        <v>866666.04333334614</v>
      </c>
      <c r="F212" s="29">
        <f>IF(AND(A211="",A213=""),"",IF(A212="",ROUND(SUM($F$25:F211),2),IF(A212=$D$8,$E$24-ROUND(SUM($F$25:F211),2),ROUND($E$24/$D$8,2))))</f>
        <v>16666.669999999998</v>
      </c>
      <c r="G212" s="213">
        <f ca="1">IF(A211=$D$8,ROUND(SUM($G$25:G211),2),IF(A212&gt;$F$8,"",IF(T212&lt;&gt;T211,ROUND(SUM(V212*$F$17*E211/T212,W212*$F$17*E211/T211),2),ROUND(E211*$F$17*D212/T211,2))))</f>
        <v>7772.36</v>
      </c>
      <c r="H212" s="29">
        <f ca="1">IF(A211=$D$8,SUM($H$25:H211),IF(A211&gt;$D$8,"",F212+G212))</f>
        <v>24439.03</v>
      </c>
      <c r="I212" s="212" t="str">
        <f t="shared" si="57"/>
        <v/>
      </c>
      <c r="J212" s="212" t="str">
        <f t="shared" si="58"/>
        <v/>
      </c>
      <c r="K212" s="212"/>
      <c r="L212" s="212" t="str">
        <f t="shared" si="59"/>
        <v/>
      </c>
      <c r="M212" s="29" t="str">
        <f t="shared" si="54"/>
        <v/>
      </c>
      <c r="N212" s="29" t="str">
        <f t="shared" si="53"/>
        <v/>
      </c>
      <c r="P212" s="217" t="str">
        <f>IF(A211=$D$8,XIRR(R$24:R211,C$24:C211),"")</f>
        <v/>
      </c>
      <c r="Q212" s="212" t="str">
        <f t="shared" si="52"/>
        <v/>
      </c>
      <c r="R212" s="29">
        <f t="shared" ca="1" si="48"/>
        <v>24439.03</v>
      </c>
      <c r="S212" s="22">
        <f t="shared" ca="1" si="49"/>
        <v>2037</v>
      </c>
      <c r="T212" s="22">
        <f t="shared" ca="1" si="50"/>
        <v>365</v>
      </c>
      <c r="U212" s="22">
        <f t="shared" ca="1" si="60"/>
        <v>12</v>
      </c>
      <c r="V212" s="23">
        <f t="shared" ca="1" si="61"/>
        <v>11</v>
      </c>
      <c r="W212" s="24">
        <f t="shared" ca="1" si="45"/>
        <v>17</v>
      </c>
    </row>
    <row r="213" spans="1:23" x14ac:dyDescent="0.35">
      <c r="A213" s="32">
        <f t="shared" si="51"/>
        <v>189</v>
      </c>
      <c r="B213" s="28">
        <f t="shared" ca="1" si="46"/>
        <v>50142</v>
      </c>
      <c r="C213" s="28">
        <f t="shared" ca="1" si="47"/>
        <v>50142</v>
      </c>
      <c r="D213" s="32">
        <f t="shared" ca="1" si="55"/>
        <v>31</v>
      </c>
      <c r="E213" s="29">
        <f t="shared" si="56"/>
        <v>849999.3733333461</v>
      </c>
      <c r="F213" s="29">
        <f>IF(AND(A212="",A214=""),"",IF(A213="",ROUND(SUM($F$25:F212),2),IF(A213=$D$8,$E$24-ROUND(SUM($F$25:F212),2),ROUND($E$24/$D$8,2))))</f>
        <v>16666.669999999998</v>
      </c>
      <c r="G213" s="213">
        <f ca="1">IF(A212=$D$8,ROUND(SUM($G$25:G212),2),IF(A213&gt;$F$8,"",IF(T213&lt;&gt;T212,ROUND(SUM(V213*$F$17*E212/T213,W213*$F$17*E212/T212),2),ROUND(E212*$F$17*D213/T212,2))))</f>
        <v>8442.75</v>
      </c>
      <c r="H213" s="29">
        <f ca="1">IF(A212=$D$8,SUM($H$25:H212),IF(A212&gt;$D$8,"",F213+G213))</f>
        <v>25109.42</v>
      </c>
      <c r="I213" s="212" t="str">
        <f t="shared" si="57"/>
        <v/>
      </c>
      <c r="J213" s="212" t="str">
        <f t="shared" si="58"/>
        <v/>
      </c>
      <c r="K213" s="212"/>
      <c r="L213" s="212" t="str">
        <f t="shared" si="59"/>
        <v/>
      </c>
      <c r="M213" s="29" t="str">
        <f t="shared" si="54"/>
        <v/>
      </c>
      <c r="N213" s="29" t="str">
        <f t="shared" si="53"/>
        <v/>
      </c>
      <c r="P213" s="217" t="str">
        <f>IF(A212=$D$8,XIRR(R$24:R212,C$24:C212),"")</f>
        <v/>
      </c>
      <c r="Q213" s="212" t="str">
        <f t="shared" si="52"/>
        <v/>
      </c>
      <c r="R213" s="29">
        <f t="shared" ca="1" si="48"/>
        <v>25109.42</v>
      </c>
      <c r="S213" s="22">
        <f t="shared" ca="1" si="49"/>
        <v>2037</v>
      </c>
      <c r="T213" s="22">
        <f t="shared" ca="1" si="50"/>
        <v>365</v>
      </c>
      <c r="U213" s="22">
        <f t="shared" ca="1" si="60"/>
        <v>12</v>
      </c>
      <c r="V213" s="23">
        <f t="shared" ca="1" si="61"/>
        <v>11</v>
      </c>
      <c r="W213" s="24">
        <f t="shared" ref="W213:W264" ca="1" si="62">D213-V213</f>
        <v>20</v>
      </c>
    </row>
    <row r="214" spans="1:23" x14ac:dyDescent="0.35">
      <c r="A214" s="32">
        <f t="shared" si="51"/>
        <v>190</v>
      </c>
      <c r="B214" s="28">
        <f t="shared" ca="1" si="46"/>
        <v>50172</v>
      </c>
      <c r="C214" s="28">
        <f t="shared" ca="1" si="47"/>
        <v>50172</v>
      </c>
      <c r="D214" s="32">
        <f t="shared" ca="1" si="55"/>
        <v>30</v>
      </c>
      <c r="E214" s="29">
        <f t="shared" si="56"/>
        <v>833332.70333334606</v>
      </c>
      <c r="F214" s="29">
        <f>IF(AND(A213="",A215=""),"",IF(A214="",ROUND(SUM($F$25:F213),2),IF(A214=$D$8,$E$24-ROUND(SUM($F$25:F213),2),ROUND($E$24/$D$8,2))))</f>
        <v>16666.669999999998</v>
      </c>
      <c r="G214" s="213">
        <f ca="1">IF(A213=$D$8,ROUND(SUM($G$25:G213),2),IF(A214&gt;$F$8,"",IF(T214&lt;&gt;T213,ROUND(SUM(V214*$F$17*E213/T214,W214*$F$17*E213/T213),2),ROUND(E213*$F$17*D214/T213,2))))</f>
        <v>8013.28</v>
      </c>
      <c r="H214" s="29">
        <f ca="1">IF(A213=$D$8,SUM($H$25:H213),IF(A213&gt;$D$8,"",F214+G214))</f>
        <v>24679.949999999997</v>
      </c>
      <c r="I214" s="212" t="str">
        <f t="shared" si="57"/>
        <v/>
      </c>
      <c r="J214" s="212" t="str">
        <f t="shared" si="58"/>
        <v/>
      </c>
      <c r="K214" s="212"/>
      <c r="L214" s="212" t="str">
        <f t="shared" si="59"/>
        <v/>
      </c>
      <c r="M214" s="29" t="str">
        <f t="shared" si="54"/>
        <v/>
      </c>
      <c r="N214" s="29" t="str">
        <f t="shared" si="53"/>
        <v/>
      </c>
      <c r="P214" s="217" t="str">
        <f>IF(A213=$D$8,XIRR(R$24:R213,C$24:C213),"")</f>
        <v/>
      </c>
      <c r="Q214" s="212" t="str">
        <f t="shared" si="52"/>
        <v/>
      </c>
      <c r="R214" s="29">
        <f t="shared" ca="1" si="48"/>
        <v>24679.949999999997</v>
      </c>
      <c r="S214" s="22">
        <f t="shared" ca="1" si="49"/>
        <v>2037</v>
      </c>
      <c r="T214" s="22">
        <f t="shared" ca="1" si="50"/>
        <v>365</v>
      </c>
      <c r="U214" s="22">
        <f t="shared" ca="1" si="60"/>
        <v>12</v>
      </c>
      <c r="V214" s="23">
        <f t="shared" ca="1" si="61"/>
        <v>11</v>
      </c>
      <c r="W214" s="24">
        <f t="shared" ca="1" si="62"/>
        <v>19</v>
      </c>
    </row>
    <row r="215" spans="1:23" x14ac:dyDescent="0.35">
      <c r="A215" s="32">
        <f t="shared" si="51"/>
        <v>191</v>
      </c>
      <c r="B215" s="28">
        <f t="shared" ca="1" si="46"/>
        <v>50203</v>
      </c>
      <c r="C215" s="28">
        <f t="shared" ca="1" si="47"/>
        <v>50203</v>
      </c>
      <c r="D215" s="32">
        <f t="shared" ca="1" si="55"/>
        <v>31</v>
      </c>
      <c r="E215" s="29">
        <f t="shared" si="56"/>
        <v>816666.03333334601</v>
      </c>
      <c r="F215" s="29">
        <f>IF(AND(A214="",A216=""),"",IF(A215="",ROUND(SUM($F$25:F214),2),IF(A215=$D$8,$E$24-ROUND(SUM($F$25:F214),2),ROUND($E$24/$D$8,2))))</f>
        <v>16666.669999999998</v>
      </c>
      <c r="G215" s="213">
        <f ca="1">IF(A214=$D$8,ROUND(SUM($G$25:G214),2),IF(A215&gt;$F$8,"",IF(T215&lt;&gt;T214,ROUND(SUM(V215*$F$17*E214/T215,W215*$F$17*E214/T214),2),ROUND(E214*$F$17*D215/T214,2))))</f>
        <v>8118.03</v>
      </c>
      <c r="H215" s="29">
        <f ca="1">IF(A214=$D$8,SUM($H$25:H214),IF(A214&gt;$D$8,"",F215+G215))</f>
        <v>24784.699999999997</v>
      </c>
      <c r="I215" s="212" t="str">
        <f t="shared" si="57"/>
        <v/>
      </c>
      <c r="J215" s="212" t="str">
        <f t="shared" si="58"/>
        <v/>
      </c>
      <c r="K215" s="212"/>
      <c r="L215" s="212" t="str">
        <f t="shared" si="59"/>
        <v/>
      </c>
      <c r="M215" s="29" t="str">
        <f t="shared" si="54"/>
        <v/>
      </c>
      <c r="N215" s="29" t="str">
        <f t="shared" si="53"/>
        <v/>
      </c>
      <c r="P215" s="217" t="str">
        <f>IF(A214=$D$8,XIRR(R$24:R214,C$24:C214),"")</f>
        <v/>
      </c>
      <c r="Q215" s="212" t="str">
        <f t="shared" si="52"/>
        <v/>
      </c>
      <c r="R215" s="29">
        <f t="shared" ca="1" si="48"/>
        <v>24784.699999999997</v>
      </c>
      <c r="S215" s="22">
        <f t="shared" ca="1" si="49"/>
        <v>2037</v>
      </c>
      <c r="T215" s="22">
        <f t="shared" ca="1" si="50"/>
        <v>365</v>
      </c>
      <c r="U215" s="22">
        <f t="shared" ca="1" si="60"/>
        <v>12</v>
      </c>
      <c r="V215" s="23">
        <f t="shared" ca="1" si="61"/>
        <v>11</v>
      </c>
      <c r="W215" s="24">
        <f t="shared" ca="1" si="62"/>
        <v>20</v>
      </c>
    </row>
    <row r="216" spans="1:23" x14ac:dyDescent="0.35">
      <c r="A216" s="32">
        <f t="shared" si="51"/>
        <v>192</v>
      </c>
      <c r="B216" s="28">
        <f t="shared" ca="1" si="46"/>
        <v>50233</v>
      </c>
      <c r="C216" s="28">
        <f t="shared" ca="1" si="47"/>
        <v>50233</v>
      </c>
      <c r="D216" s="32">
        <f t="shared" ca="1" si="55"/>
        <v>30</v>
      </c>
      <c r="E216" s="29">
        <f t="shared" si="56"/>
        <v>799999.36333334597</v>
      </c>
      <c r="F216" s="29">
        <f>IF(AND(A215="",A217=""),"",IF(A216="",ROUND(SUM($F$25:F215),2),IF(A216=$D$8,$E$24-ROUND(SUM($F$25:F215),2),ROUND($E$24/$D$8,2))))</f>
        <v>16666.669999999998</v>
      </c>
      <c r="G216" s="213">
        <f ca="1">IF(A215=$D$8,ROUND(SUM($G$25:G215),2),IF(A216&gt;$F$8,"",IF(T216&lt;&gt;T215,ROUND(SUM(V216*$F$17*E215/T216,W216*$F$17*E215/T215),2),ROUND(E215*$F$17*D216/T215,2))))</f>
        <v>7699.04</v>
      </c>
      <c r="H216" s="29">
        <f ca="1">IF(A215=$D$8,SUM($H$25:H215),IF(A215&gt;$D$8,"",F216+G216))</f>
        <v>24365.71</v>
      </c>
      <c r="I216" s="212" t="str">
        <f t="shared" si="57"/>
        <v/>
      </c>
      <c r="J216" s="212" t="str">
        <f t="shared" si="58"/>
        <v/>
      </c>
      <c r="K216" s="212"/>
      <c r="L216" s="212" t="str">
        <f t="shared" si="59"/>
        <v/>
      </c>
      <c r="M216" s="29" t="str">
        <f t="shared" si="54"/>
        <v/>
      </c>
      <c r="N216" s="29" t="str">
        <f t="shared" si="53"/>
        <v/>
      </c>
      <c r="P216" s="217" t="str">
        <f>IF(A215=$D$8,XIRR(R$24:R215,C$24:C215),"")</f>
        <v/>
      </c>
      <c r="Q216" s="212" t="str">
        <f t="shared" si="52"/>
        <v/>
      </c>
      <c r="R216" s="29">
        <f t="shared" ca="1" si="48"/>
        <v>24365.71</v>
      </c>
      <c r="S216" s="22">
        <f t="shared" ca="1" si="49"/>
        <v>2037</v>
      </c>
      <c r="T216" s="22">
        <f t="shared" ca="1" si="50"/>
        <v>365</v>
      </c>
      <c r="U216" s="22">
        <f t="shared" ca="1" si="60"/>
        <v>12</v>
      </c>
      <c r="V216" s="23">
        <f t="shared" ca="1" si="61"/>
        <v>11</v>
      </c>
      <c r="W216" s="24">
        <f t="shared" ca="1" si="62"/>
        <v>19</v>
      </c>
    </row>
    <row r="217" spans="1:23" x14ac:dyDescent="0.35">
      <c r="A217" s="32">
        <f t="shared" si="51"/>
        <v>193</v>
      </c>
      <c r="B217" s="28">
        <f t="shared" ca="1" si="46"/>
        <v>50264</v>
      </c>
      <c r="C217" s="28">
        <f t="shared" ca="1" si="47"/>
        <v>50264</v>
      </c>
      <c r="D217" s="32">
        <f t="shared" ca="1" si="55"/>
        <v>31</v>
      </c>
      <c r="E217" s="29">
        <f t="shared" si="56"/>
        <v>783332.69333334593</v>
      </c>
      <c r="F217" s="29">
        <f>IF(AND(A216="",A218=""),"",IF(A217="",ROUND(SUM($F$25:F216),2),IF(A217=$D$8,$E$24-ROUND(SUM($F$25:F216),2),ROUND($E$24/$D$8,2))))</f>
        <v>16666.669999999998</v>
      </c>
      <c r="G217" s="213">
        <f ca="1">IF(A216=$D$8,ROUND(SUM($G$25:G216),2),IF(A217&gt;$F$8,"",IF(T217&lt;&gt;T216,ROUND(SUM(V217*$F$17*E216/T217,W217*$F$17*E216/T216),2),ROUND(E216*$F$17*D217/T216,2))))</f>
        <v>7793.31</v>
      </c>
      <c r="H217" s="29">
        <f ca="1">IF(A216=$D$8,SUM($H$25:H216),IF(A216&gt;$D$8,"",F217+G217))</f>
        <v>24459.98</v>
      </c>
      <c r="I217" s="212" t="str">
        <f t="shared" si="57"/>
        <v/>
      </c>
      <c r="J217" s="212" t="str">
        <f t="shared" si="58"/>
        <v/>
      </c>
      <c r="K217" s="212">
        <f>IF($F$8&gt;192,($O$8+$O$10),IF($A$216=$F$8,$K$24*$G$8,""))</f>
        <v>17100</v>
      </c>
      <c r="L217" s="212" t="str">
        <f t="shared" si="59"/>
        <v/>
      </c>
      <c r="M217" s="29" t="str">
        <f t="shared" si="54"/>
        <v/>
      </c>
      <c r="N217" s="29" t="str">
        <f t="shared" si="53"/>
        <v/>
      </c>
      <c r="P217" s="217" t="str">
        <f>IF(A216=$D$8,XIRR(R$24:R216,C$24:C216),"")</f>
        <v/>
      </c>
      <c r="Q217" s="212" t="str">
        <f t="shared" si="52"/>
        <v/>
      </c>
      <c r="R217" s="29">
        <f t="shared" ca="1" si="48"/>
        <v>41559.979999999996</v>
      </c>
      <c r="S217" s="22">
        <f t="shared" ca="1" si="49"/>
        <v>2037</v>
      </c>
      <c r="T217" s="22">
        <f t="shared" ca="1" si="50"/>
        <v>365</v>
      </c>
      <c r="U217" s="22">
        <f t="shared" ca="1" si="60"/>
        <v>12</v>
      </c>
      <c r="V217" s="23">
        <f t="shared" ca="1" si="61"/>
        <v>11</v>
      </c>
      <c r="W217" s="24">
        <f t="shared" ca="1" si="62"/>
        <v>20</v>
      </c>
    </row>
    <row r="218" spans="1:23" x14ac:dyDescent="0.35">
      <c r="A218" s="32">
        <f t="shared" si="51"/>
        <v>194</v>
      </c>
      <c r="B218" s="28">
        <f t="shared" ref="B218:B264" ca="1" si="63">EDATE($B$24,A218)</f>
        <v>50295</v>
      </c>
      <c r="C218" s="28">
        <f t="shared" ref="C218:C264" ca="1" si="64">IF(B218=$D$10,B218-1,(IF(B218&gt;$D$10," ",B218)))</f>
        <v>50295</v>
      </c>
      <c r="D218" s="32">
        <f t="shared" ca="1" si="55"/>
        <v>31</v>
      </c>
      <c r="E218" s="29">
        <f t="shared" si="56"/>
        <v>766666.02333334589</v>
      </c>
      <c r="F218" s="29">
        <f>IF(AND(A217="",A219=""),"",IF(A218="",ROUND(SUM($F$25:F217),2),IF(A218=$D$8,$E$24-ROUND(SUM($F$25:F217),2),ROUND($E$24/$D$8,2))))</f>
        <v>16666.669999999998</v>
      </c>
      <c r="G218" s="213">
        <f ca="1">IF(A217=$D$8,ROUND(SUM($G$25:G217),2),IF(A218&gt;$F$8,"",IF(T218&lt;&gt;T217,ROUND(SUM(V218*$F$17*E217/T218,W218*$F$17*E217/T217),2),ROUND(E217*$F$17*D218/T217,2))))</f>
        <v>7630.95</v>
      </c>
      <c r="H218" s="29">
        <f ca="1">IF(A217=$D$8,SUM($H$25:H217),IF(A217&gt;$D$8,"",F218+G218))</f>
        <v>24297.62</v>
      </c>
      <c r="I218" s="212" t="str">
        <f t="shared" si="57"/>
        <v/>
      </c>
      <c r="J218" s="212" t="str">
        <f t="shared" si="58"/>
        <v/>
      </c>
      <c r="K218" s="212"/>
      <c r="L218" s="212" t="str">
        <f t="shared" si="59"/>
        <v/>
      </c>
      <c r="M218" s="29" t="str">
        <f t="shared" si="54"/>
        <v/>
      </c>
      <c r="N218" s="29" t="str">
        <f t="shared" si="53"/>
        <v/>
      </c>
      <c r="P218" s="217" t="str">
        <f>IF(A217=$D$8,XIRR(R$24:R217,C$24:C217),"")</f>
        <v/>
      </c>
      <c r="Q218" s="212" t="str">
        <f t="shared" si="52"/>
        <v/>
      </c>
      <c r="R218" s="29">
        <f t="shared" ref="R218:R264" ca="1" si="65">SUM(H218:Q218)</f>
        <v>24297.62</v>
      </c>
      <c r="S218" s="22">
        <f t="shared" ref="S218:S265" ca="1" si="66">IF(C218="","",YEAR(C218))</f>
        <v>2037</v>
      </c>
      <c r="T218" s="22">
        <f t="shared" ref="T218:T264" ca="1" si="67">IF(OR(S218=2024,S218=2028,S218=2016,S218=2020,S218=2024,S218=2028,S218=2032,S218=2036,S218=2040),366,365)</f>
        <v>365</v>
      </c>
      <c r="U218" s="22">
        <f t="shared" ca="1" si="60"/>
        <v>12</v>
      </c>
      <c r="V218" s="23">
        <f t="shared" ca="1" si="61"/>
        <v>11</v>
      </c>
      <c r="W218" s="24">
        <f t="shared" ca="1" si="62"/>
        <v>20</v>
      </c>
    </row>
    <row r="219" spans="1:23" x14ac:dyDescent="0.35">
      <c r="A219" s="32">
        <f t="shared" ref="A219:A276" si="68">IF(A218&lt;$D$8,A218+1,"")</f>
        <v>195</v>
      </c>
      <c r="B219" s="28">
        <f t="shared" ca="1" si="63"/>
        <v>50325</v>
      </c>
      <c r="C219" s="28">
        <f t="shared" ca="1" si="64"/>
        <v>50325</v>
      </c>
      <c r="D219" s="32">
        <f t="shared" ca="1" si="55"/>
        <v>30</v>
      </c>
      <c r="E219" s="29">
        <f t="shared" si="56"/>
        <v>749999.35333334585</v>
      </c>
      <c r="F219" s="29">
        <f>IF(AND(A218="",A220=""),"",IF(A219="",ROUND(SUM($F$25:F218),2),IF(A219=$D$8,$E$24-ROUND(SUM($F$25:F218),2),ROUND($E$24/$D$8,2))))</f>
        <v>16666.669999999998</v>
      </c>
      <c r="G219" s="213">
        <f ca="1">IF(A218=$D$8,ROUND(SUM($G$25:G218),2),IF(A219&gt;$F$8,"",IF(T219&lt;&gt;T218,ROUND(SUM(V219*$F$17*E218/T219,W219*$F$17*E218/T218),2),ROUND(E218*$F$17*D219/T218,2))))</f>
        <v>7227.67</v>
      </c>
      <c r="H219" s="29">
        <f ca="1">IF(A218=$D$8,SUM($H$25:H218),IF(A218&gt;$D$8,"",F219+G219))</f>
        <v>23894.339999999997</v>
      </c>
      <c r="I219" s="212" t="str">
        <f t="shared" si="57"/>
        <v/>
      </c>
      <c r="J219" s="212" t="str">
        <f t="shared" si="58"/>
        <v/>
      </c>
      <c r="K219" s="212"/>
      <c r="L219" s="212" t="str">
        <f t="shared" si="59"/>
        <v/>
      </c>
      <c r="M219" s="29" t="str">
        <f t="shared" si="54"/>
        <v/>
      </c>
      <c r="N219" s="29" t="str">
        <f t="shared" si="53"/>
        <v/>
      </c>
      <c r="P219" s="217" t="str">
        <f>IF(A218=$D$8,XIRR(R$24:R218,C$24:C218),"")</f>
        <v/>
      </c>
      <c r="Q219" s="212" t="str">
        <f t="shared" si="52"/>
        <v/>
      </c>
      <c r="R219" s="29">
        <f t="shared" ca="1" si="65"/>
        <v>23894.339999999997</v>
      </c>
      <c r="S219" s="22">
        <f t="shared" ca="1" si="66"/>
        <v>2037</v>
      </c>
      <c r="T219" s="22">
        <f t="shared" ca="1" si="67"/>
        <v>365</v>
      </c>
      <c r="U219" s="22">
        <f t="shared" ca="1" si="60"/>
        <v>12</v>
      </c>
      <c r="V219" s="23">
        <f t="shared" ca="1" si="61"/>
        <v>11</v>
      </c>
      <c r="W219" s="24">
        <f t="shared" ca="1" si="62"/>
        <v>19</v>
      </c>
    </row>
    <row r="220" spans="1:23" x14ac:dyDescent="0.35">
      <c r="A220" s="32">
        <f t="shared" si="68"/>
        <v>196</v>
      </c>
      <c r="B220" s="28">
        <f t="shared" ca="1" si="63"/>
        <v>50356</v>
      </c>
      <c r="C220" s="28">
        <f t="shared" ca="1" si="64"/>
        <v>50356</v>
      </c>
      <c r="D220" s="32">
        <f t="shared" ca="1" si="55"/>
        <v>31</v>
      </c>
      <c r="E220" s="29">
        <f t="shared" si="56"/>
        <v>733332.68333334581</v>
      </c>
      <c r="F220" s="29">
        <f>IF(AND(A219="",A221=""),"",IF(A220="",ROUND(SUM($F$25:F219),2),IF(A220=$D$8,$E$24-ROUND(SUM($F$25:F219),2),ROUND($E$24/$D$8,2))))</f>
        <v>16666.669999999998</v>
      </c>
      <c r="G220" s="213">
        <f ca="1">IF(A219=$D$8,ROUND(SUM($G$25:G219),2),IF(A220&gt;$F$8,"",IF(T220&lt;&gt;T219,ROUND(SUM(V220*$F$17*E219/T220,W220*$F$17*E219/T219),2),ROUND(E219*$F$17*D220/T219,2))))</f>
        <v>7306.23</v>
      </c>
      <c r="H220" s="29">
        <f ca="1">IF(A219=$D$8,SUM($H$25:H219),IF(A219&gt;$D$8,"",F220+G220))</f>
        <v>23972.899999999998</v>
      </c>
      <c r="I220" s="212" t="str">
        <f t="shared" si="57"/>
        <v/>
      </c>
      <c r="J220" s="212" t="str">
        <f t="shared" si="58"/>
        <v/>
      </c>
      <c r="K220" s="212"/>
      <c r="L220" s="212" t="str">
        <f t="shared" si="59"/>
        <v/>
      </c>
      <c r="M220" s="29" t="str">
        <f t="shared" si="54"/>
        <v/>
      </c>
      <c r="N220" s="29" t="str">
        <f t="shared" si="53"/>
        <v/>
      </c>
      <c r="P220" s="217" t="str">
        <f>IF(A219=$D$8,XIRR(R$24:R219,C$24:C219),"")</f>
        <v/>
      </c>
      <c r="Q220" s="212" t="str">
        <f t="shared" ref="Q220:Q265" si="69">IF(A219=$D$8,G220+M220+F220+I220+J220+K220+L220+N220+O220,"")</f>
        <v/>
      </c>
      <c r="R220" s="29">
        <f t="shared" ca="1" si="65"/>
        <v>23972.899999999998</v>
      </c>
      <c r="S220" s="22">
        <f t="shared" ca="1" si="66"/>
        <v>2037</v>
      </c>
      <c r="T220" s="22">
        <f t="shared" ca="1" si="67"/>
        <v>365</v>
      </c>
      <c r="U220" s="22">
        <f t="shared" ca="1" si="60"/>
        <v>12</v>
      </c>
      <c r="V220" s="23">
        <f t="shared" ca="1" si="61"/>
        <v>11</v>
      </c>
      <c r="W220" s="24">
        <f t="shared" ca="1" si="62"/>
        <v>20</v>
      </c>
    </row>
    <row r="221" spans="1:23" x14ac:dyDescent="0.35">
      <c r="A221" s="32">
        <f t="shared" si="68"/>
        <v>197</v>
      </c>
      <c r="B221" s="28">
        <f t="shared" ca="1" si="63"/>
        <v>50386</v>
      </c>
      <c r="C221" s="28">
        <f t="shared" ca="1" si="64"/>
        <v>50386</v>
      </c>
      <c r="D221" s="32">
        <f t="shared" ca="1" si="55"/>
        <v>30</v>
      </c>
      <c r="E221" s="29">
        <f t="shared" si="56"/>
        <v>716666.01333334576</v>
      </c>
      <c r="F221" s="29">
        <f>IF(AND(A220="",A222=""),"",IF(A221="",ROUND(SUM($F$25:F220),2),IF(A221=$D$8,$E$24-ROUND(SUM($F$25:F220),2),ROUND($E$24/$D$8,2))))</f>
        <v>16666.669999999998</v>
      </c>
      <c r="G221" s="213">
        <f ca="1">IF(A220=$D$8,ROUND(SUM($G$25:G220),2),IF(A221&gt;$F$8,"",IF(T221&lt;&gt;T220,ROUND(SUM(V221*$F$17*E220/T221,W221*$F$17*E220/T220),2),ROUND(E220*$F$17*D221/T220,2))))</f>
        <v>6913.42</v>
      </c>
      <c r="H221" s="29">
        <f ca="1">IF(A220=$D$8,SUM($H$25:H220),IF(A220&gt;$D$8,"",F221+G221))</f>
        <v>23580.089999999997</v>
      </c>
      <c r="I221" s="212" t="str">
        <f t="shared" si="57"/>
        <v/>
      </c>
      <c r="J221" s="212" t="str">
        <f t="shared" si="58"/>
        <v/>
      </c>
      <c r="K221" s="212"/>
      <c r="L221" s="212" t="str">
        <f t="shared" si="59"/>
        <v/>
      </c>
      <c r="M221" s="29" t="str">
        <f t="shared" si="54"/>
        <v/>
      </c>
      <c r="N221" s="29" t="str">
        <f t="shared" si="53"/>
        <v/>
      </c>
      <c r="P221" s="217" t="str">
        <f>IF(A220=$D$8,XIRR(R$24:R220,C$24:C220),"")</f>
        <v/>
      </c>
      <c r="Q221" s="212" t="str">
        <f t="shared" si="69"/>
        <v/>
      </c>
      <c r="R221" s="29">
        <f t="shared" ca="1" si="65"/>
        <v>23580.089999999997</v>
      </c>
      <c r="S221" s="22">
        <f t="shared" ca="1" si="66"/>
        <v>2037</v>
      </c>
      <c r="T221" s="22">
        <f t="shared" ca="1" si="67"/>
        <v>365</v>
      </c>
      <c r="U221" s="22">
        <f t="shared" ca="1" si="60"/>
        <v>12</v>
      </c>
      <c r="V221" s="23">
        <f t="shared" ca="1" si="61"/>
        <v>11</v>
      </c>
      <c r="W221" s="24">
        <f t="shared" ca="1" si="62"/>
        <v>19</v>
      </c>
    </row>
    <row r="222" spans="1:23" x14ac:dyDescent="0.35">
      <c r="A222" s="32">
        <f t="shared" si="68"/>
        <v>198</v>
      </c>
      <c r="B222" s="28">
        <f t="shared" ca="1" si="63"/>
        <v>50417</v>
      </c>
      <c r="C222" s="28">
        <f t="shared" ca="1" si="64"/>
        <v>50417</v>
      </c>
      <c r="D222" s="32">
        <f t="shared" ca="1" si="55"/>
        <v>31</v>
      </c>
      <c r="E222" s="29">
        <f t="shared" si="56"/>
        <v>699999.34333334572</v>
      </c>
      <c r="F222" s="29">
        <f>IF(AND(A221="",A223=""),"",IF(A222="",ROUND(SUM($F$25:F221),2),IF(A222=$D$8,$E$24-ROUND(SUM($F$25:F221),2),ROUND($E$24/$D$8,2))))</f>
        <v>16666.669999999998</v>
      </c>
      <c r="G222" s="213">
        <f ca="1">IF(A221=$D$8,ROUND(SUM($G$25:G221),2),IF(A222&gt;$F$8,"",IF(T222&lt;&gt;T221,ROUND(SUM(V222*$F$17*E221/T222,W222*$F$17*E221/T221),2),ROUND(E221*$F$17*D222/T221,2))))</f>
        <v>6981.51</v>
      </c>
      <c r="H222" s="29">
        <f ca="1">IF(A221=$D$8,SUM($H$25:H221),IF(A221&gt;$D$8,"",F222+G222))</f>
        <v>23648.18</v>
      </c>
      <c r="I222" s="212" t="str">
        <f t="shared" si="57"/>
        <v/>
      </c>
      <c r="J222" s="212" t="str">
        <f t="shared" si="58"/>
        <v/>
      </c>
      <c r="K222" s="212"/>
      <c r="L222" s="212" t="str">
        <f t="shared" si="59"/>
        <v/>
      </c>
      <c r="M222" s="29" t="str">
        <f t="shared" si="54"/>
        <v/>
      </c>
      <c r="N222" s="29" t="str">
        <f t="shared" ref="N222:N265" si="70">IF(A221=$D$8,$N$24,"")</f>
        <v/>
      </c>
      <c r="P222" s="217" t="str">
        <f>IF(A221=$D$8,XIRR(R$24:R221,C$24:C221),"")</f>
        <v/>
      </c>
      <c r="Q222" s="212" t="str">
        <f t="shared" si="69"/>
        <v/>
      </c>
      <c r="R222" s="29">
        <f t="shared" ca="1" si="65"/>
        <v>23648.18</v>
      </c>
      <c r="S222" s="22">
        <f t="shared" ca="1" si="66"/>
        <v>2038</v>
      </c>
      <c r="T222" s="22">
        <f t="shared" ca="1" si="67"/>
        <v>365</v>
      </c>
      <c r="U222" s="22">
        <f t="shared" ca="1" si="60"/>
        <v>12</v>
      </c>
      <c r="V222" s="23">
        <f t="shared" ca="1" si="61"/>
        <v>11</v>
      </c>
      <c r="W222" s="24">
        <f t="shared" ca="1" si="62"/>
        <v>20</v>
      </c>
    </row>
    <row r="223" spans="1:23" x14ac:dyDescent="0.35">
      <c r="A223" s="32">
        <f t="shared" si="68"/>
        <v>199</v>
      </c>
      <c r="B223" s="28">
        <f t="shared" ca="1" si="63"/>
        <v>50448</v>
      </c>
      <c r="C223" s="28">
        <f t="shared" ca="1" si="64"/>
        <v>50448</v>
      </c>
      <c r="D223" s="32">
        <f t="shared" ca="1" si="55"/>
        <v>31</v>
      </c>
      <c r="E223" s="29">
        <f t="shared" si="56"/>
        <v>683332.67333334568</v>
      </c>
      <c r="F223" s="29">
        <f>IF(AND(A222="",A224=""),"",IF(A223="",ROUND(SUM($F$25:F222),2),IF(A223=$D$8,$E$24-ROUND(SUM($F$25:F222),2),ROUND($E$24/$D$8,2))))</f>
        <v>16666.669999999998</v>
      </c>
      <c r="G223" s="213">
        <f ca="1">IF(A222=$D$8,ROUND(SUM($G$25:G222),2),IF(A223&gt;$F$8,"",IF(T223&lt;&gt;T222,ROUND(SUM(V223*$F$17*E222/T223,W223*$F$17*E222/T222),2),ROUND(E222*$F$17*D223/T222,2))))</f>
        <v>6819.14</v>
      </c>
      <c r="H223" s="29">
        <f ca="1">IF(A222=$D$8,SUM($H$25:H222),IF(A222&gt;$D$8,"",F223+G223))</f>
        <v>23485.809999999998</v>
      </c>
      <c r="I223" s="212" t="str">
        <f t="shared" si="57"/>
        <v/>
      </c>
      <c r="J223" s="212" t="str">
        <f t="shared" si="58"/>
        <v/>
      </c>
      <c r="K223" s="212"/>
      <c r="L223" s="212" t="str">
        <f t="shared" si="59"/>
        <v/>
      </c>
      <c r="M223" s="29" t="str">
        <f t="shared" si="54"/>
        <v/>
      </c>
      <c r="N223" s="29" t="str">
        <f t="shared" si="70"/>
        <v/>
      </c>
      <c r="P223" s="217" t="str">
        <f>IF(A222=$D$8,XIRR(R$24:R222,C$24:C222),"")</f>
        <v/>
      </c>
      <c r="Q223" s="212" t="str">
        <f t="shared" si="69"/>
        <v/>
      </c>
      <c r="R223" s="29">
        <f t="shared" ca="1" si="65"/>
        <v>23485.809999999998</v>
      </c>
      <c r="S223" s="22">
        <f t="shared" ca="1" si="66"/>
        <v>2038</v>
      </c>
      <c r="T223" s="22">
        <f t="shared" ca="1" si="67"/>
        <v>365</v>
      </c>
      <c r="U223" s="22">
        <f t="shared" ca="1" si="60"/>
        <v>12</v>
      </c>
      <c r="V223" s="23">
        <f t="shared" ca="1" si="61"/>
        <v>11</v>
      </c>
      <c r="W223" s="24">
        <f t="shared" ca="1" si="62"/>
        <v>20</v>
      </c>
    </row>
    <row r="224" spans="1:23" x14ac:dyDescent="0.35">
      <c r="A224" s="32">
        <f t="shared" si="68"/>
        <v>200</v>
      </c>
      <c r="B224" s="28">
        <f t="shared" ca="1" si="63"/>
        <v>50476</v>
      </c>
      <c r="C224" s="28">
        <f t="shared" ca="1" si="64"/>
        <v>50476</v>
      </c>
      <c r="D224" s="32">
        <f t="shared" ca="1" si="55"/>
        <v>28</v>
      </c>
      <c r="E224" s="29">
        <f t="shared" si="56"/>
        <v>666666.00333334564</v>
      </c>
      <c r="F224" s="29">
        <f>IF(AND(A223="",A225=""),"",IF(A224="",ROUND(SUM($F$25:F223),2),IF(A224=$D$8,$E$24-ROUND(SUM($F$25:F223),2),ROUND($E$24/$D$8,2))))</f>
        <v>16666.669999999998</v>
      </c>
      <c r="G224" s="213">
        <f ca="1">IF(A223=$D$8,ROUND(SUM($G$25:G223),2),IF(A224&gt;$F$8,"",IF(T224&lt;&gt;T223,ROUND(SUM(V224*$F$17*E223/T224,W224*$F$17*E223/T223),2),ROUND(E223*$F$17*D224/T223,2))))</f>
        <v>6012.58</v>
      </c>
      <c r="H224" s="29">
        <f ca="1">IF(A223=$D$8,SUM($H$25:H223),IF(A223&gt;$D$8,"",F224+G224))</f>
        <v>22679.25</v>
      </c>
      <c r="I224" s="212" t="str">
        <f t="shared" si="57"/>
        <v/>
      </c>
      <c r="J224" s="212" t="str">
        <f t="shared" si="58"/>
        <v/>
      </c>
      <c r="K224" s="212"/>
      <c r="L224" s="212" t="str">
        <f t="shared" si="59"/>
        <v/>
      </c>
      <c r="M224" s="29" t="str">
        <f t="shared" ref="M224:M265" si="71">IF(A223=$D$8,$M$24,"")</f>
        <v/>
      </c>
      <c r="N224" s="29" t="str">
        <f t="shared" si="70"/>
        <v/>
      </c>
      <c r="P224" s="217" t="str">
        <f>IF(A223=$D$8,XIRR(R$24:R223,C$24:C223),"")</f>
        <v/>
      </c>
      <c r="Q224" s="212" t="str">
        <f t="shared" si="69"/>
        <v/>
      </c>
      <c r="R224" s="29">
        <f t="shared" ca="1" si="65"/>
        <v>22679.25</v>
      </c>
      <c r="S224" s="22">
        <f t="shared" ca="1" si="66"/>
        <v>2038</v>
      </c>
      <c r="T224" s="22">
        <f t="shared" ca="1" si="67"/>
        <v>365</v>
      </c>
      <c r="U224" s="22">
        <f t="shared" ca="1" si="60"/>
        <v>12</v>
      </c>
      <c r="V224" s="23">
        <f t="shared" ca="1" si="61"/>
        <v>11</v>
      </c>
      <c r="W224" s="24">
        <f t="shared" ca="1" si="62"/>
        <v>17</v>
      </c>
    </row>
    <row r="225" spans="1:23" x14ac:dyDescent="0.35">
      <c r="A225" s="32">
        <f t="shared" si="68"/>
        <v>201</v>
      </c>
      <c r="B225" s="28">
        <f t="shared" ca="1" si="63"/>
        <v>50507</v>
      </c>
      <c r="C225" s="28">
        <f t="shared" ca="1" si="64"/>
        <v>50507</v>
      </c>
      <c r="D225" s="32">
        <f t="shared" ca="1" si="55"/>
        <v>31</v>
      </c>
      <c r="E225" s="29">
        <f t="shared" si="56"/>
        <v>649999.3333333456</v>
      </c>
      <c r="F225" s="29">
        <f>IF(AND(A224="",A226=""),"",IF(A225="",ROUND(SUM($F$25:F224),2),IF(A225=$D$8,$E$24-ROUND(SUM($F$25:F224),2),ROUND($E$24/$D$8,2))))</f>
        <v>16666.669999999998</v>
      </c>
      <c r="G225" s="213">
        <f ca="1">IF(A224=$D$8,ROUND(SUM($G$25:G224),2),IF(A225&gt;$F$8,"",IF(T225&lt;&gt;T224,ROUND(SUM(V225*$F$17*E224/T225,W225*$F$17*E224/T224),2),ROUND(E224*$F$17*D225/T224,2))))</f>
        <v>6494.42</v>
      </c>
      <c r="H225" s="29">
        <f ca="1">IF(A224=$D$8,SUM($H$25:H224),IF(A224&gt;$D$8,"",F225+G225))</f>
        <v>23161.089999999997</v>
      </c>
      <c r="I225" s="212" t="str">
        <f t="shared" si="57"/>
        <v/>
      </c>
      <c r="J225" s="212" t="str">
        <f t="shared" si="58"/>
        <v/>
      </c>
      <c r="K225" s="212"/>
      <c r="L225" s="212" t="str">
        <f t="shared" si="59"/>
        <v/>
      </c>
      <c r="M225" s="29" t="str">
        <f t="shared" si="71"/>
        <v/>
      </c>
      <c r="N225" s="29" t="str">
        <f t="shared" si="70"/>
        <v/>
      </c>
      <c r="P225" s="217" t="str">
        <f>IF(A224=$D$8,XIRR(R$24:R224,C$24:C224),"")</f>
        <v/>
      </c>
      <c r="Q225" s="212" t="str">
        <f t="shared" si="69"/>
        <v/>
      </c>
      <c r="R225" s="29">
        <f t="shared" ca="1" si="65"/>
        <v>23161.089999999997</v>
      </c>
      <c r="S225" s="22">
        <f t="shared" ca="1" si="66"/>
        <v>2038</v>
      </c>
      <c r="T225" s="22">
        <f t="shared" ca="1" si="67"/>
        <v>365</v>
      </c>
      <c r="U225" s="22">
        <f t="shared" ca="1" si="60"/>
        <v>12</v>
      </c>
      <c r="V225" s="23">
        <f t="shared" ca="1" si="61"/>
        <v>11</v>
      </c>
      <c r="W225" s="24">
        <f t="shared" ca="1" si="62"/>
        <v>20</v>
      </c>
    </row>
    <row r="226" spans="1:23" x14ac:dyDescent="0.35">
      <c r="A226" s="32">
        <f t="shared" si="68"/>
        <v>202</v>
      </c>
      <c r="B226" s="28">
        <f t="shared" ca="1" si="63"/>
        <v>50537</v>
      </c>
      <c r="C226" s="28">
        <f t="shared" ca="1" si="64"/>
        <v>50537</v>
      </c>
      <c r="D226" s="32">
        <f t="shared" ca="1" si="55"/>
        <v>30</v>
      </c>
      <c r="E226" s="29">
        <f t="shared" si="56"/>
        <v>633332.66333334555</v>
      </c>
      <c r="F226" s="29">
        <f>IF(AND(A225="",A227=""),"",IF(A226="",ROUND(SUM($F$25:F225),2),IF(A226=$D$8,$E$24-ROUND(SUM($F$25:F225),2),ROUND($E$24/$D$8,2))))</f>
        <v>16666.669999999998</v>
      </c>
      <c r="G226" s="213">
        <f ca="1">IF(A225=$D$8,ROUND(SUM($G$25:G225),2),IF(A226&gt;$F$8,"",IF(T226&lt;&gt;T225,ROUND(SUM(V226*$F$17*E225/T226,W226*$F$17*E225/T225),2),ROUND(E225*$F$17*D226/T225,2))))</f>
        <v>6127.8</v>
      </c>
      <c r="H226" s="29">
        <f ca="1">IF(A225=$D$8,SUM($H$25:H225),IF(A225&gt;$D$8,"",F226+G226))</f>
        <v>22794.469999999998</v>
      </c>
      <c r="I226" s="212" t="str">
        <f t="shared" si="57"/>
        <v/>
      </c>
      <c r="J226" s="212" t="str">
        <f t="shared" si="58"/>
        <v/>
      </c>
      <c r="K226" s="212"/>
      <c r="L226" s="212" t="str">
        <f t="shared" si="59"/>
        <v/>
      </c>
      <c r="M226" s="29" t="str">
        <f t="shared" si="71"/>
        <v/>
      </c>
      <c r="N226" s="29" t="str">
        <f t="shared" si="70"/>
        <v/>
      </c>
      <c r="P226" s="217" t="str">
        <f>IF(A225=$D$8,XIRR(R$24:R225,C$24:C225),"")</f>
        <v/>
      </c>
      <c r="Q226" s="212" t="str">
        <f t="shared" si="69"/>
        <v/>
      </c>
      <c r="R226" s="29">
        <f t="shared" ca="1" si="65"/>
        <v>22794.469999999998</v>
      </c>
      <c r="S226" s="22">
        <f t="shared" ca="1" si="66"/>
        <v>2038</v>
      </c>
      <c r="T226" s="22">
        <f t="shared" ca="1" si="67"/>
        <v>365</v>
      </c>
      <c r="U226" s="22">
        <f t="shared" ca="1" si="60"/>
        <v>12</v>
      </c>
      <c r="V226" s="23">
        <f t="shared" ca="1" si="61"/>
        <v>11</v>
      </c>
      <c r="W226" s="24">
        <f t="shared" ca="1" si="62"/>
        <v>19</v>
      </c>
    </row>
    <row r="227" spans="1:23" x14ac:dyDescent="0.35">
      <c r="A227" s="32">
        <f t="shared" si="68"/>
        <v>203</v>
      </c>
      <c r="B227" s="28">
        <f t="shared" ca="1" si="63"/>
        <v>50568</v>
      </c>
      <c r="C227" s="28">
        <f t="shared" ca="1" si="64"/>
        <v>50568</v>
      </c>
      <c r="D227" s="32">
        <f t="shared" ca="1" si="55"/>
        <v>31</v>
      </c>
      <c r="E227" s="29">
        <f t="shared" si="56"/>
        <v>616665.99333334551</v>
      </c>
      <c r="F227" s="29">
        <f>IF(AND(A226="",A228=""),"",IF(A227="",ROUND(SUM($F$25:F226),2),IF(A227=$D$8,$E$24-ROUND(SUM($F$25:F226),2),ROUND($E$24/$D$8,2))))</f>
        <v>16666.669999999998</v>
      </c>
      <c r="G227" s="213">
        <f ca="1">IF(A226=$D$8,ROUND(SUM($G$25:G226),2),IF(A227&gt;$F$8,"",IF(T227&lt;&gt;T226,ROUND(SUM(V227*$F$17*E226/T227,W227*$F$17*E226/T226),2),ROUND(E226*$F$17*D227/T226,2))))</f>
        <v>6169.7</v>
      </c>
      <c r="H227" s="29">
        <f ca="1">IF(A226=$D$8,SUM($H$25:H226),IF(A226&gt;$D$8,"",F227+G227))</f>
        <v>22836.37</v>
      </c>
      <c r="I227" s="212" t="str">
        <f t="shared" si="57"/>
        <v/>
      </c>
      <c r="J227" s="212" t="str">
        <f t="shared" si="58"/>
        <v/>
      </c>
      <c r="K227" s="212"/>
      <c r="L227" s="212" t="str">
        <f t="shared" si="59"/>
        <v/>
      </c>
      <c r="M227" s="29" t="str">
        <f t="shared" si="71"/>
        <v/>
      </c>
      <c r="N227" s="29" t="str">
        <f t="shared" si="70"/>
        <v/>
      </c>
      <c r="P227" s="217" t="str">
        <f>IF(A226=$D$8,XIRR(R$24:R226,C$24:C226),"")</f>
        <v/>
      </c>
      <c r="Q227" s="212" t="str">
        <f t="shared" si="69"/>
        <v/>
      </c>
      <c r="R227" s="29">
        <f t="shared" ca="1" si="65"/>
        <v>22836.37</v>
      </c>
      <c r="S227" s="22">
        <f t="shared" ca="1" si="66"/>
        <v>2038</v>
      </c>
      <c r="T227" s="22">
        <f t="shared" ca="1" si="67"/>
        <v>365</v>
      </c>
      <c r="U227" s="22">
        <f t="shared" ca="1" si="60"/>
        <v>12</v>
      </c>
      <c r="V227" s="23">
        <f t="shared" ca="1" si="61"/>
        <v>11</v>
      </c>
      <c r="W227" s="24">
        <f t="shared" ca="1" si="62"/>
        <v>20</v>
      </c>
    </row>
    <row r="228" spans="1:23" x14ac:dyDescent="0.35">
      <c r="A228" s="32">
        <f t="shared" si="68"/>
        <v>204</v>
      </c>
      <c r="B228" s="28">
        <f t="shared" ca="1" si="63"/>
        <v>50598</v>
      </c>
      <c r="C228" s="28">
        <f t="shared" ca="1" si="64"/>
        <v>50598</v>
      </c>
      <c r="D228" s="32">
        <f t="shared" ca="1" si="55"/>
        <v>30</v>
      </c>
      <c r="E228" s="29">
        <f t="shared" si="56"/>
        <v>599999.32333334547</v>
      </c>
      <c r="F228" s="29">
        <f>IF(AND(A227="",A229=""),"",IF(A228="",ROUND(SUM($F$25:F227),2),IF(A228=$D$8,$E$24-ROUND(SUM($F$25:F227),2),ROUND($E$24/$D$8,2))))</f>
        <v>16666.669999999998</v>
      </c>
      <c r="G228" s="213">
        <f ca="1">IF(A227=$D$8,ROUND(SUM($G$25:G227),2),IF(A228&gt;$F$8,"",IF(T228&lt;&gt;T227,ROUND(SUM(V228*$F$17*E227/T228,W228*$F$17*E227/T227),2),ROUND(E227*$F$17*D228/T227,2))))</f>
        <v>5813.56</v>
      </c>
      <c r="H228" s="29">
        <f ca="1">IF(A227=$D$8,SUM($H$25:H227),IF(A227&gt;$D$8,"",F228+G228))</f>
        <v>22480.23</v>
      </c>
      <c r="I228" s="212" t="str">
        <f t="shared" si="57"/>
        <v/>
      </c>
      <c r="J228" s="212" t="str">
        <f t="shared" si="58"/>
        <v/>
      </c>
      <c r="K228" s="212"/>
      <c r="L228" s="212" t="str">
        <f t="shared" si="59"/>
        <v/>
      </c>
      <c r="M228" s="29" t="str">
        <f t="shared" si="71"/>
        <v/>
      </c>
      <c r="N228" s="29" t="str">
        <f t="shared" si="70"/>
        <v/>
      </c>
      <c r="P228" s="217" t="str">
        <f>IF(A227=$D$8,XIRR(R$24:R227,C$24:C227),"")</f>
        <v/>
      </c>
      <c r="Q228" s="212" t="str">
        <f t="shared" si="69"/>
        <v/>
      </c>
      <c r="R228" s="29">
        <f t="shared" ca="1" si="65"/>
        <v>22480.23</v>
      </c>
      <c r="S228" s="22">
        <f t="shared" ca="1" si="66"/>
        <v>2038</v>
      </c>
      <c r="T228" s="22">
        <f t="shared" ca="1" si="67"/>
        <v>365</v>
      </c>
      <c r="U228" s="22">
        <f t="shared" ca="1" si="60"/>
        <v>12</v>
      </c>
      <c r="V228" s="23">
        <f t="shared" ca="1" si="61"/>
        <v>11</v>
      </c>
      <c r="W228" s="24">
        <f t="shared" ca="1" si="62"/>
        <v>19</v>
      </c>
    </row>
    <row r="229" spans="1:23" x14ac:dyDescent="0.35">
      <c r="A229" s="32">
        <f t="shared" si="68"/>
        <v>205</v>
      </c>
      <c r="B229" s="28">
        <f t="shared" ca="1" si="63"/>
        <v>50629</v>
      </c>
      <c r="C229" s="28">
        <f t="shared" ca="1" si="64"/>
        <v>50629</v>
      </c>
      <c r="D229" s="32">
        <f t="shared" ca="1" si="55"/>
        <v>31</v>
      </c>
      <c r="E229" s="29">
        <f t="shared" si="56"/>
        <v>583332.65333334543</v>
      </c>
      <c r="F229" s="29">
        <f>IF(AND(A228="",A230=""),"",IF(A229="",ROUND(SUM($F$25:F228),2),IF(A229=$D$8,$E$24-ROUND(SUM($F$25:F228),2),ROUND($E$24/$D$8,2))))</f>
        <v>16666.669999999998</v>
      </c>
      <c r="G229" s="213">
        <f ca="1">IF(A228=$D$8,ROUND(SUM($G$25:G228),2),IF(A229&gt;$F$8,"",IF(T229&lt;&gt;T228,ROUND(SUM(V229*$F$17*E228/T229,W229*$F$17*E228/T228),2),ROUND(E228*$F$17*D229/T228,2))))</f>
        <v>5844.98</v>
      </c>
      <c r="H229" s="29">
        <f ca="1">IF(A228=$D$8,SUM($H$25:H228),IF(A228&gt;$D$8,"",F229+G229))</f>
        <v>22511.649999999998</v>
      </c>
      <c r="I229" s="212" t="str">
        <f t="shared" si="57"/>
        <v/>
      </c>
      <c r="J229" s="212" t="str">
        <f t="shared" si="58"/>
        <v/>
      </c>
      <c r="K229" s="212">
        <f>IF($F$8&gt;204,($O$8+$O$10),IF($A$228=$F$8,$K$24*$G$8,""))</f>
        <v>17100</v>
      </c>
      <c r="L229" s="212" t="str">
        <f t="shared" si="59"/>
        <v/>
      </c>
      <c r="M229" s="29" t="str">
        <f t="shared" si="71"/>
        <v/>
      </c>
      <c r="N229" s="29" t="str">
        <f t="shared" si="70"/>
        <v/>
      </c>
      <c r="P229" s="217" t="str">
        <f>IF(A228=$D$8,XIRR(R$24:R228,C$24:C228),"")</f>
        <v/>
      </c>
      <c r="Q229" s="212" t="str">
        <f t="shared" si="69"/>
        <v/>
      </c>
      <c r="R229" s="29">
        <f t="shared" ca="1" si="65"/>
        <v>39611.649999999994</v>
      </c>
      <c r="S229" s="22">
        <f t="shared" ca="1" si="66"/>
        <v>2038</v>
      </c>
      <c r="T229" s="22">
        <f t="shared" ca="1" si="67"/>
        <v>365</v>
      </c>
      <c r="U229" s="22">
        <f t="shared" ca="1" si="60"/>
        <v>12</v>
      </c>
      <c r="V229" s="23">
        <f t="shared" ca="1" si="61"/>
        <v>11</v>
      </c>
      <c r="W229" s="24">
        <f t="shared" ca="1" si="62"/>
        <v>20</v>
      </c>
    </row>
    <row r="230" spans="1:23" x14ac:dyDescent="0.35">
      <c r="A230" s="32">
        <f t="shared" si="68"/>
        <v>206</v>
      </c>
      <c r="B230" s="28">
        <f t="shared" ca="1" si="63"/>
        <v>50660</v>
      </c>
      <c r="C230" s="28">
        <f t="shared" ca="1" si="64"/>
        <v>50660</v>
      </c>
      <c r="D230" s="32">
        <f t="shared" ref="D230:D264" ca="1" si="72">IF(A230&gt;$D$8,"",C230-C229)</f>
        <v>31</v>
      </c>
      <c r="E230" s="29">
        <f t="shared" ref="E230:E265" si="73">IF(A230&gt;$D$8,"",E229-F230)</f>
        <v>566665.98333334539</v>
      </c>
      <c r="F230" s="29">
        <f>IF(AND(A229="",A231=""),"",IF(A230="",ROUND(SUM($F$25:F229),2),IF(A230=$D$8,$E$24-ROUND(SUM($F$25:F229),2),ROUND($E$24/$D$8,2))))</f>
        <v>16666.669999999998</v>
      </c>
      <c r="G230" s="213">
        <f ca="1">IF(A229=$D$8,ROUND(SUM($G$25:G229),2),IF(A230&gt;$F$8,"",IF(T230&lt;&gt;T229,ROUND(SUM(V230*$F$17*E229/T230,W230*$F$17*E229/T229),2),ROUND(E229*$F$17*D230/T229,2))))</f>
        <v>5682.62</v>
      </c>
      <c r="H230" s="29">
        <f ca="1">IF(A229=$D$8,SUM($H$25:H229),IF(A229&gt;$D$8,"",F230+G230))</f>
        <v>22349.289999999997</v>
      </c>
      <c r="I230" s="212" t="str">
        <f t="shared" ref="I230:I265" si="74">IF(A229=$F$8,$I$24,"")</f>
        <v/>
      </c>
      <c r="J230" s="212" t="str">
        <f t="shared" ref="J230:J265" si="75">IF(A229=$F$8,$J$24,"")</f>
        <v/>
      </c>
      <c r="K230" s="212"/>
      <c r="L230" s="212" t="str">
        <f t="shared" ref="L230:L265" si="76">IF(A229=$F$8,$L$24,"")</f>
        <v/>
      </c>
      <c r="M230" s="29" t="str">
        <f t="shared" si="71"/>
        <v/>
      </c>
      <c r="N230" s="29" t="str">
        <f t="shared" si="70"/>
        <v/>
      </c>
      <c r="P230" s="217" t="str">
        <f>IF(A229=$D$8,XIRR(R$24:R229,C$24:C229),"")</f>
        <v/>
      </c>
      <c r="Q230" s="212" t="str">
        <f t="shared" si="69"/>
        <v/>
      </c>
      <c r="R230" s="29">
        <f t="shared" ca="1" si="65"/>
        <v>22349.289999999997</v>
      </c>
      <c r="S230" s="22">
        <f t="shared" ca="1" si="66"/>
        <v>2038</v>
      </c>
      <c r="T230" s="22">
        <f t="shared" ca="1" si="67"/>
        <v>365</v>
      </c>
      <c r="U230" s="22">
        <f t="shared" ca="1" si="60"/>
        <v>12</v>
      </c>
      <c r="V230" s="23">
        <f t="shared" ca="1" si="61"/>
        <v>11</v>
      </c>
      <c r="W230" s="24">
        <f t="shared" ca="1" si="62"/>
        <v>20</v>
      </c>
    </row>
    <row r="231" spans="1:23" x14ac:dyDescent="0.35">
      <c r="A231" s="32">
        <f t="shared" si="68"/>
        <v>207</v>
      </c>
      <c r="B231" s="28">
        <f t="shared" ca="1" si="63"/>
        <v>50690</v>
      </c>
      <c r="C231" s="28">
        <f t="shared" ca="1" si="64"/>
        <v>50690</v>
      </c>
      <c r="D231" s="32">
        <f t="shared" ca="1" si="72"/>
        <v>30</v>
      </c>
      <c r="E231" s="29">
        <f t="shared" si="73"/>
        <v>549999.31333334534</v>
      </c>
      <c r="F231" s="29">
        <f>IF(AND(A230="",A232=""),"",IF(A231="",ROUND(SUM($F$25:F230),2),IF(A231=$D$8,$E$24-ROUND(SUM($F$25:F230),2),ROUND($E$24/$D$8,2))))</f>
        <v>16666.669999999998</v>
      </c>
      <c r="G231" s="213">
        <f ca="1">IF(A230=$D$8,ROUND(SUM($G$25:G230),2),IF(A231&gt;$F$8,"",IF(T231&lt;&gt;T230,ROUND(SUM(V231*$F$17*E230/T231,W231*$F$17*E230/T230),2),ROUND(E230*$F$17*D231/T230,2))))</f>
        <v>5342.19</v>
      </c>
      <c r="H231" s="29">
        <f ca="1">IF(A230=$D$8,SUM($H$25:H230),IF(A230&gt;$D$8,"",F231+G231))</f>
        <v>22008.859999999997</v>
      </c>
      <c r="I231" s="212" t="str">
        <f t="shared" si="74"/>
        <v/>
      </c>
      <c r="J231" s="212" t="str">
        <f t="shared" si="75"/>
        <v/>
      </c>
      <c r="K231" s="212"/>
      <c r="L231" s="212" t="str">
        <f t="shared" si="76"/>
        <v/>
      </c>
      <c r="M231" s="29" t="str">
        <f t="shared" si="71"/>
        <v/>
      </c>
      <c r="N231" s="29" t="str">
        <f t="shared" si="70"/>
        <v/>
      </c>
      <c r="P231" s="217" t="str">
        <f>IF(A230=$D$8,XIRR(R$24:R230,C$24:C230),"")</f>
        <v/>
      </c>
      <c r="Q231" s="212" t="str">
        <f t="shared" si="69"/>
        <v/>
      </c>
      <c r="R231" s="29">
        <f t="shared" ca="1" si="65"/>
        <v>22008.859999999997</v>
      </c>
      <c r="S231" s="22">
        <f t="shared" ca="1" si="66"/>
        <v>2038</v>
      </c>
      <c r="T231" s="22">
        <f t="shared" ca="1" si="67"/>
        <v>365</v>
      </c>
      <c r="U231" s="22">
        <f t="shared" ca="1" si="60"/>
        <v>12</v>
      </c>
      <c r="V231" s="23">
        <f t="shared" ca="1" si="61"/>
        <v>11</v>
      </c>
      <c r="W231" s="24">
        <f t="shared" ca="1" si="62"/>
        <v>19</v>
      </c>
    </row>
    <row r="232" spans="1:23" x14ac:dyDescent="0.35">
      <c r="A232" s="32">
        <f t="shared" si="68"/>
        <v>208</v>
      </c>
      <c r="B232" s="28">
        <f t="shared" ca="1" si="63"/>
        <v>50721</v>
      </c>
      <c r="C232" s="28">
        <f t="shared" ca="1" si="64"/>
        <v>50721</v>
      </c>
      <c r="D232" s="32">
        <f t="shared" ca="1" si="72"/>
        <v>31</v>
      </c>
      <c r="E232" s="29">
        <f t="shared" si="73"/>
        <v>533332.6433333453</v>
      </c>
      <c r="F232" s="29">
        <f>IF(AND(A231="",A233=""),"",IF(A232="",ROUND(SUM($F$25:F231),2),IF(A232=$D$8,$E$24-ROUND(SUM($F$25:F231),2),ROUND($E$24/$D$8,2))))</f>
        <v>16666.669999999998</v>
      </c>
      <c r="G232" s="213">
        <f ca="1">IF(A231=$D$8,ROUND(SUM($G$25:G231),2),IF(A232&gt;$F$8,"",IF(T232&lt;&gt;T231,ROUND(SUM(V232*$F$17*E231/T232,W232*$F$17*E231/T231),2),ROUND(E231*$F$17*D232/T231,2))))</f>
        <v>5357.9</v>
      </c>
      <c r="H232" s="29">
        <f ca="1">IF(A231=$D$8,SUM($H$25:H231),IF(A231&gt;$D$8,"",F232+G232))</f>
        <v>22024.57</v>
      </c>
      <c r="I232" s="212" t="str">
        <f t="shared" si="74"/>
        <v/>
      </c>
      <c r="J232" s="212" t="str">
        <f t="shared" si="75"/>
        <v/>
      </c>
      <c r="K232" s="212"/>
      <c r="L232" s="212" t="str">
        <f t="shared" si="76"/>
        <v/>
      </c>
      <c r="M232" s="29" t="str">
        <f t="shared" si="71"/>
        <v/>
      </c>
      <c r="N232" s="29" t="str">
        <f t="shared" si="70"/>
        <v/>
      </c>
      <c r="P232" s="217" t="str">
        <f>IF(A231=$D$8,XIRR(R$24:R231,C$24:C231),"")</f>
        <v/>
      </c>
      <c r="Q232" s="212" t="str">
        <f t="shared" si="69"/>
        <v/>
      </c>
      <c r="R232" s="29">
        <f t="shared" ca="1" si="65"/>
        <v>22024.57</v>
      </c>
      <c r="S232" s="22">
        <f t="shared" ca="1" si="66"/>
        <v>2038</v>
      </c>
      <c r="T232" s="22">
        <f t="shared" ca="1" si="67"/>
        <v>365</v>
      </c>
      <c r="U232" s="22">
        <f t="shared" ca="1" si="60"/>
        <v>12</v>
      </c>
      <c r="V232" s="23">
        <f t="shared" ca="1" si="61"/>
        <v>11</v>
      </c>
      <c r="W232" s="24">
        <f t="shared" ca="1" si="62"/>
        <v>20</v>
      </c>
    </row>
    <row r="233" spans="1:23" x14ac:dyDescent="0.35">
      <c r="A233" s="32">
        <f t="shared" si="68"/>
        <v>209</v>
      </c>
      <c r="B233" s="28">
        <f t="shared" ca="1" si="63"/>
        <v>50751</v>
      </c>
      <c r="C233" s="28">
        <f t="shared" ca="1" si="64"/>
        <v>50751</v>
      </c>
      <c r="D233" s="32">
        <f t="shared" ca="1" si="72"/>
        <v>30</v>
      </c>
      <c r="E233" s="29">
        <f t="shared" si="73"/>
        <v>516665.97333334532</v>
      </c>
      <c r="F233" s="29">
        <f>IF(AND(A232="",A234=""),"",IF(A233="",ROUND(SUM($F$25:F232),2),IF(A233=$D$8,$E$24-ROUND(SUM($F$25:F232),2),ROUND($E$24/$D$8,2))))</f>
        <v>16666.669999999998</v>
      </c>
      <c r="G233" s="213">
        <f ca="1">IF(A232=$D$8,ROUND(SUM($G$25:G232),2),IF(A233&gt;$F$8,"",IF(T233&lt;&gt;T232,ROUND(SUM(V233*$F$17*E232/T233,W233*$F$17*E232/T232),2),ROUND(E232*$F$17*D233/T232,2))))</f>
        <v>5027.9399999999996</v>
      </c>
      <c r="H233" s="29">
        <f ca="1">IF(A232=$D$8,SUM($H$25:H232),IF(A232&gt;$D$8,"",F233+G233))</f>
        <v>21694.609999999997</v>
      </c>
      <c r="I233" s="212" t="str">
        <f t="shared" si="74"/>
        <v/>
      </c>
      <c r="J233" s="212" t="str">
        <f t="shared" si="75"/>
        <v/>
      </c>
      <c r="K233" s="212"/>
      <c r="L233" s="212" t="str">
        <f t="shared" si="76"/>
        <v/>
      </c>
      <c r="M233" s="29" t="str">
        <f t="shared" si="71"/>
        <v/>
      </c>
      <c r="N233" s="29" t="str">
        <f t="shared" si="70"/>
        <v/>
      </c>
      <c r="P233" s="217" t="str">
        <f>IF(A232=$D$8,XIRR(R$24:R232,C$24:C232),"")</f>
        <v/>
      </c>
      <c r="Q233" s="212" t="str">
        <f t="shared" si="69"/>
        <v/>
      </c>
      <c r="R233" s="29">
        <f t="shared" ca="1" si="65"/>
        <v>21694.609999999997</v>
      </c>
      <c r="S233" s="22">
        <f t="shared" ca="1" si="66"/>
        <v>2038</v>
      </c>
      <c r="T233" s="22">
        <f t="shared" ca="1" si="67"/>
        <v>365</v>
      </c>
      <c r="U233" s="22">
        <f t="shared" ca="1" si="60"/>
        <v>12</v>
      </c>
      <c r="V233" s="23">
        <f t="shared" ca="1" si="61"/>
        <v>11</v>
      </c>
      <c r="W233" s="24">
        <f t="shared" ca="1" si="62"/>
        <v>19</v>
      </c>
    </row>
    <row r="234" spans="1:23" x14ac:dyDescent="0.35">
      <c r="A234" s="32">
        <f t="shared" si="68"/>
        <v>210</v>
      </c>
      <c r="B234" s="28">
        <f t="shared" ca="1" si="63"/>
        <v>50782</v>
      </c>
      <c r="C234" s="28">
        <f t="shared" ca="1" si="64"/>
        <v>50782</v>
      </c>
      <c r="D234" s="32">
        <f t="shared" ca="1" si="72"/>
        <v>31</v>
      </c>
      <c r="E234" s="29">
        <f t="shared" si="73"/>
        <v>499999.30333334533</v>
      </c>
      <c r="F234" s="29">
        <f>IF(AND(A233="",A235=""),"",IF(A234="",ROUND(SUM($F$25:F233),2),IF(A234=$D$8,$E$24-ROUND(SUM($F$25:F233),2),ROUND($E$24/$D$8,2))))</f>
        <v>16666.669999999998</v>
      </c>
      <c r="G234" s="213">
        <f ca="1">IF(A233=$D$8,ROUND(SUM($G$25:G233),2),IF(A234&gt;$F$8,"",IF(T234&lt;&gt;T233,ROUND(SUM(V234*$F$17*E233/T234,W234*$F$17*E233/T233),2),ROUND(E233*$F$17*D234/T233,2))))</f>
        <v>5033.18</v>
      </c>
      <c r="H234" s="29">
        <f ca="1">IF(A233=$D$8,SUM($H$25:H233),IF(A233&gt;$D$8,"",F234+G234))</f>
        <v>21699.85</v>
      </c>
      <c r="I234" s="212" t="str">
        <f t="shared" si="74"/>
        <v/>
      </c>
      <c r="J234" s="212" t="str">
        <f t="shared" si="75"/>
        <v/>
      </c>
      <c r="K234" s="212"/>
      <c r="L234" s="212" t="str">
        <f t="shared" si="76"/>
        <v/>
      </c>
      <c r="M234" s="29" t="str">
        <f t="shared" si="71"/>
        <v/>
      </c>
      <c r="N234" s="29" t="str">
        <f t="shared" si="70"/>
        <v/>
      </c>
      <c r="P234" s="217" t="str">
        <f>IF(A233=$D$8,XIRR(R$24:R233,C$24:C233),"")</f>
        <v/>
      </c>
      <c r="Q234" s="212" t="str">
        <f t="shared" si="69"/>
        <v/>
      </c>
      <c r="R234" s="29">
        <f t="shared" ca="1" si="65"/>
        <v>21699.85</v>
      </c>
      <c r="S234" s="22">
        <f t="shared" ca="1" si="66"/>
        <v>2039</v>
      </c>
      <c r="T234" s="22">
        <f t="shared" ca="1" si="67"/>
        <v>365</v>
      </c>
      <c r="U234" s="22">
        <f t="shared" ca="1" si="60"/>
        <v>12</v>
      </c>
      <c r="V234" s="23">
        <f t="shared" ca="1" si="61"/>
        <v>11</v>
      </c>
      <c r="W234" s="24">
        <f t="shared" ca="1" si="62"/>
        <v>20</v>
      </c>
    </row>
    <row r="235" spans="1:23" x14ac:dyDescent="0.35">
      <c r="A235" s="32">
        <f t="shared" si="68"/>
        <v>211</v>
      </c>
      <c r="B235" s="28">
        <f t="shared" ca="1" si="63"/>
        <v>50813</v>
      </c>
      <c r="C235" s="28">
        <f t="shared" ca="1" si="64"/>
        <v>50813</v>
      </c>
      <c r="D235" s="32">
        <f t="shared" ca="1" si="72"/>
        <v>31</v>
      </c>
      <c r="E235" s="29">
        <f t="shared" si="73"/>
        <v>483332.63333334535</v>
      </c>
      <c r="F235" s="29">
        <f>IF(AND(A234="",A236=""),"",IF(A235="",ROUND(SUM($F$25:F234),2),IF(A235=$D$8,$E$24-ROUND(SUM($F$25:F234),2),ROUND($E$24/$D$8,2))))</f>
        <v>16666.669999999998</v>
      </c>
      <c r="G235" s="213">
        <f ca="1">IF(A234=$D$8,ROUND(SUM($G$25:G234),2),IF(A235&gt;$F$8,"",IF(T235&lt;&gt;T234,ROUND(SUM(V235*$F$17*E234/T235,W235*$F$17*E234/T234),2),ROUND(E234*$F$17*D235/T234,2))))</f>
        <v>4870.82</v>
      </c>
      <c r="H235" s="29">
        <f ca="1">IF(A234=$D$8,SUM($H$25:H234),IF(A234&gt;$D$8,"",F235+G235))</f>
        <v>21537.489999999998</v>
      </c>
      <c r="I235" s="212" t="str">
        <f t="shared" si="74"/>
        <v/>
      </c>
      <c r="J235" s="212" t="str">
        <f t="shared" si="75"/>
        <v/>
      </c>
      <c r="K235" s="212"/>
      <c r="L235" s="212" t="str">
        <f t="shared" si="76"/>
        <v/>
      </c>
      <c r="M235" s="29" t="str">
        <f t="shared" si="71"/>
        <v/>
      </c>
      <c r="N235" s="29" t="str">
        <f t="shared" si="70"/>
        <v/>
      </c>
      <c r="P235" s="217" t="str">
        <f>IF(A234=$D$8,XIRR(R$24:R234,C$24:C234),"")</f>
        <v/>
      </c>
      <c r="Q235" s="212" t="str">
        <f t="shared" si="69"/>
        <v/>
      </c>
      <c r="R235" s="29">
        <f t="shared" ca="1" si="65"/>
        <v>21537.489999999998</v>
      </c>
      <c r="S235" s="22">
        <f t="shared" ca="1" si="66"/>
        <v>2039</v>
      </c>
      <c r="T235" s="22">
        <f t="shared" ca="1" si="67"/>
        <v>365</v>
      </c>
      <c r="U235" s="22">
        <f t="shared" ca="1" si="60"/>
        <v>12</v>
      </c>
      <c r="V235" s="23">
        <f t="shared" ca="1" si="61"/>
        <v>11</v>
      </c>
      <c r="W235" s="24">
        <f t="shared" ca="1" si="62"/>
        <v>20</v>
      </c>
    </row>
    <row r="236" spans="1:23" x14ac:dyDescent="0.35">
      <c r="A236" s="32">
        <f t="shared" si="68"/>
        <v>212</v>
      </c>
      <c r="B236" s="28">
        <f t="shared" ca="1" si="63"/>
        <v>50841</v>
      </c>
      <c r="C236" s="28">
        <f t="shared" ca="1" si="64"/>
        <v>50841</v>
      </c>
      <c r="D236" s="32">
        <f t="shared" ca="1" si="72"/>
        <v>28</v>
      </c>
      <c r="E236" s="29">
        <f t="shared" si="73"/>
        <v>466665.96333334537</v>
      </c>
      <c r="F236" s="29">
        <f>IF(AND(A235="",A237=""),"",IF(A236="",ROUND(SUM($F$25:F235),2),IF(A236=$D$8,$E$24-ROUND(SUM($F$25:F235),2),ROUND($E$24/$D$8,2))))</f>
        <v>16666.669999999998</v>
      </c>
      <c r="G236" s="213">
        <f ca="1">IF(A235=$D$8,ROUND(SUM($G$25:G235),2),IF(A236&gt;$F$8,"",IF(T236&lt;&gt;T235,ROUND(SUM(V236*$F$17*E235/T236,W236*$F$17*E235/T235),2),ROUND(E235*$F$17*D236/T235,2))))</f>
        <v>4252.8</v>
      </c>
      <c r="H236" s="29">
        <f ca="1">IF(A235=$D$8,SUM($H$25:H235),IF(A235&gt;$D$8,"",F236+G236))</f>
        <v>20919.469999999998</v>
      </c>
      <c r="I236" s="212" t="str">
        <f t="shared" si="74"/>
        <v/>
      </c>
      <c r="J236" s="212" t="str">
        <f t="shared" si="75"/>
        <v/>
      </c>
      <c r="K236" s="212"/>
      <c r="L236" s="212" t="str">
        <f t="shared" si="76"/>
        <v/>
      </c>
      <c r="M236" s="29" t="str">
        <f t="shared" si="71"/>
        <v/>
      </c>
      <c r="N236" s="29" t="str">
        <f t="shared" si="70"/>
        <v/>
      </c>
      <c r="P236" s="217" t="str">
        <f>IF(A235=$D$8,XIRR(R$24:R235,C$24:C235),"")</f>
        <v/>
      </c>
      <c r="Q236" s="212" t="str">
        <f t="shared" si="69"/>
        <v/>
      </c>
      <c r="R236" s="29">
        <f t="shared" ca="1" si="65"/>
        <v>20919.469999999998</v>
      </c>
      <c r="S236" s="22">
        <f t="shared" ca="1" si="66"/>
        <v>2039</v>
      </c>
      <c r="T236" s="22">
        <f t="shared" ca="1" si="67"/>
        <v>365</v>
      </c>
      <c r="U236" s="22">
        <f t="shared" ca="1" si="60"/>
        <v>12</v>
      </c>
      <c r="V236" s="23">
        <f t="shared" ca="1" si="61"/>
        <v>11</v>
      </c>
      <c r="W236" s="24">
        <f t="shared" ca="1" si="62"/>
        <v>17</v>
      </c>
    </row>
    <row r="237" spans="1:23" x14ac:dyDescent="0.35">
      <c r="A237" s="32">
        <f t="shared" si="68"/>
        <v>213</v>
      </c>
      <c r="B237" s="28">
        <f t="shared" ca="1" si="63"/>
        <v>50872</v>
      </c>
      <c r="C237" s="28">
        <f t="shared" ca="1" si="64"/>
        <v>50872</v>
      </c>
      <c r="D237" s="32">
        <f t="shared" ca="1" si="72"/>
        <v>31</v>
      </c>
      <c r="E237" s="29">
        <f t="shared" si="73"/>
        <v>449999.29333334538</v>
      </c>
      <c r="F237" s="29">
        <f>IF(AND(A236="",A238=""),"",IF(A237="",ROUND(SUM($F$25:F236),2),IF(A237=$D$8,$E$24-ROUND(SUM($F$25:F236),2),ROUND($E$24/$D$8,2))))</f>
        <v>16666.669999999998</v>
      </c>
      <c r="G237" s="213">
        <f ca="1">IF(A236=$D$8,ROUND(SUM($G$25:G236),2),IF(A237&gt;$F$8,"",IF(T237&lt;&gt;T236,ROUND(SUM(V237*$F$17*E236/T237,W237*$F$17*E236/T236),2),ROUND(E236*$F$17*D237/T236,2))))</f>
        <v>4546.09</v>
      </c>
      <c r="H237" s="29">
        <f ca="1">IF(A236=$D$8,SUM($H$25:H236),IF(A236&gt;$D$8,"",F237+G237))</f>
        <v>21212.76</v>
      </c>
      <c r="I237" s="212" t="str">
        <f t="shared" si="74"/>
        <v/>
      </c>
      <c r="J237" s="212" t="str">
        <f t="shared" si="75"/>
        <v/>
      </c>
      <c r="K237" s="212"/>
      <c r="L237" s="212" t="str">
        <f t="shared" si="76"/>
        <v/>
      </c>
      <c r="M237" s="29" t="str">
        <f t="shared" si="71"/>
        <v/>
      </c>
      <c r="N237" s="29" t="str">
        <f t="shared" si="70"/>
        <v/>
      </c>
      <c r="P237" s="217" t="str">
        <f>IF(A236=$D$8,XIRR(R$24:R236,C$24:C236),"")</f>
        <v/>
      </c>
      <c r="Q237" s="212" t="str">
        <f t="shared" si="69"/>
        <v/>
      </c>
      <c r="R237" s="29">
        <f t="shared" ca="1" si="65"/>
        <v>21212.76</v>
      </c>
      <c r="S237" s="22">
        <f t="shared" ca="1" si="66"/>
        <v>2039</v>
      </c>
      <c r="T237" s="22">
        <f t="shared" ca="1" si="67"/>
        <v>365</v>
      </c>
      <c r="U237" s="22">
        <f t="shared" ref="U237:U264" ca="1" si="77">IF(C237="","",DAY(C237))</f>
        <v>12</v>
      </c>
      <c r="V237" s="23">
        <f t="shared" ref="V237:V264" ca="1" si="78">U237-1</f>
        <v>11</v>
      </c>
      <c r="W237" s="24">
        <f t="shared" ca="1" si="62"/>
        <v>20</v>
      </c>
    </row>
    <row r="238" spans="1:23" x14ac:dyDescent="0.35">
      <c r="A238" s="32">
        <f t="shared" si="68"/>
        <v>214</v>
      </c>
      <c r="B238" s="28">
        <f t="shared" ca="1" si="63"/>
        <v>50902</v>
      </c>
      <c r="C238" s="28">
        <f t="shared" ca="1" si="64"/>
        <v>50902</v>
      </c>
      <c r="D238" s="32">
        <f t="shared" ca="1" si="72"/>
        <v>30</v>
      </c>
      <c r="E238" s="29">
        <f t="shared" si="73"/>
        <v>433332.6233333454</v>
      </c>
      <c r="F238" s="29">
        <f>IF(AND(A237="",A239=""),"",IF(A238="",ROUND(SUM($F$25:F237),2),IF(A238=$D$8,$E$24-ROUND(SUM($F$25:F237),2),ROUND($E$24/$D$8,2))))</f>
        <v>16666.669999999998</v>
      </c>
      <c r="G238" s="213">
        <f ca="1">IF(A237=$D$8,ROUND(SUM($G$25:G237),2),IF(A238&gt;$F$8,"",IF(T238&lt;&gt;T237,ROUND(SUM(V238*$F$17*E237/T238,W238*$F$17*E237/T237),2),ROUND(E237*$F$17*D238/T237,2))))</f>
        <v>4242.32</v>
      </c>
      <c r="H238" s="29">
        <f ca="1">IF(A237=$D$8,SUM($H$25:H237),IF(A237&gt;$D$8,"",F238+G238))</f>
        <v>20908.989999999998</v>
      </c>
      <c r="I238" s="212" t="str">
        <f t="shared" si="74"/>
        <v/>
      </c>
      <c r="J238" s="212" t="str">
        <f t="shared" si="75"/>
        <v/>
      </c>
      <c r="K238" s="212"/>
      <c r="L238" s="212" t="str">
        <f t="shared" si="76"/>
        <v/>
      </c>
      <c r="M238" s="29" t="str">
        <f t="shared" si="71"/>
        <v/>
      </c>
      <c r="N238" s="29" t="str">
        <f t="shared" si="70"/>
        <v/>
      </c>
      <c r="P238" s="217" t="str">
        <f>IF(A237=$D$8,XIRR(R$24:R237,C$24:C237),"")</f>
        <v/>
      </c>
      <c r="Q238" s="212" t="str">
        <f t="shared" si="69"/>
        <v/>
      </c>
      <c r="R238" s="29">
        <f t="shared" ca="1" si="65"/>
        <v>20908.989999999998</v>
      </c>
      <c r="S238" s="22">
        <f t="shared" ca="1" si="66"/>
        <v>2039</v>
      </c>
      <c r="T238" s="22">
        <f t="shared" ca="1" si="67"/>
        <v>365</v>
      </c>
      <c r="U238" s="22">
        <f t="shared" ca="1" si="77"/>
        <v>12</v>
      </c>
      <c r="V238" s="23">
        <f t="shared" ca="1" si="78"/>
        <v>11</v>
      </c>
      <c r="W238" s="24">
        <f t="shared" ca="1" si="62"/>
        <v>19</v>
      </c>
    </row>
    <row r="239" spans="1:23" x14ac:dyDescent="0.35">
      <c r="A239" s="32">
        <f t="shared" si="68"/>
        <v>215</v>
      </c>
      <c r="B239" s="28">
        <f t="shared" ca="1" si="63"/>
        <v>50933</v>
      </c>
      <c r="C239" s="28">
        <f t="shared" ca="1" si="64"/>
        <v>50933</v>
      </c>
      <c r="D239" s="32">
        <f t="shared" ca="1" si="72"/>
        <v>31</v>
      </c>
      <c r="E239" s="29">
        <f t="shared" si="73"/>
        <v>416665.95333334542</v>
      </c>
      <c r="F239" s="29">
        <f>IF(AND(A238="",A240=""),"",IF(A239="",ROUND(SUM($F$25:F238),2),IF(A239=$D$8,$E$24-ROUND(SUM($F$25:F238),2),ROUND($E$24/$D$8,2))))</f>
        <v>16666.669999999998</v>
      </c>
      <c r="G239" s="213">
        <f ca="1">IF(A238=$D$8,ROUND(SUM($G$25:G238),2),IF(A239&gt;$F$8,"",IF(T239&lt;&gt;T238,ROUND(SUM(V239*$F$17*E238/T239,W239*$F$17*E238/T238),2),ROUND(E238*$F$17*D239/T238,2))))</f>
        <v>4221.37</v>
      </c>
      <c r="H239" s="29">
        <f ca="1">IF(A238=$D$8,SUM($H$25:H238),IF(A238&gt;$D$8,"",F239+G239))</f>
        <v>20888.039999999997</v>
      </c>
      <c r="I239" s="212" t="str">
        <f t="shared" si="74"/>
        <v/>
      </c>
      <c r="J239" s="212" t="str">
        <f t="shared" si="75"/>
        <v/>
      </c>
      <c r="K239" s="212"/>
      <c r="L239" s="212" t="str">
        <f t="shared" si="76"/>
        <v/>
      </c>
      <c r="M239" s="29" t="str">
        <f t="shared" si="71"/>
        <v/>
      </c>
      <c r="N239" s="29" t="str">
        <f t="shared" si="70"/>
        <v/>
      </c>
      <c r="P239" s="217" t="str">
        <f>IF(A238=$D$8,XIRR(R$24:R238,C$24:C238),"")</f>
        <v/>
      </c>
      <c r="Q239" s="212" t="str">
        <f t="shared" si="69"/>
        <v/>
      </c>
      <c r="R239" s="29">
        <f t="shared" ca="1" si="65"/>
        <v>20888.039999999997</v>
      </c>
      <c r="S239" s="22">
        <f t="shared" ca="1" si="66"/>
        <v>2039</v>
      </c>
      <c r="T239" s="22">
        <f t="shared" ca="1" si="67"/>
        <v>365</v>
      </c>
      <c r="U239" s="22">
        <f t="shared" ca="1" si="77"/>
        <v>12</v>
      </c>
      <c r="V239" s="23">
        <f t="shared" ca="1" si="78"/>
        <v>11</v>
      </c>
      <c r="W239" s="24">
        <f t="shared" ca="1" si="62"/>
        <v>20</v>
      </c>
    </row>
    <row r="240" spans="1:23" x14ac:dyDescent="0.35">
      <c r="A240" s="32">
        <f t="shared" si="68"/>
        <v>216</v>
      </c>
      <c r="B240" s="28">
        <f t="shared" ca="1" si="63"/>
        <v>50963</v>
      </c>
      <c r="C240" s="28">
        <f t="shared" ca="1" si="64"/>
        <v>50963</v>
      </c>
      <c r="D240" s="32">
        <f t="shared" ca="1" si="72"/>
        <v>30</v>
      </c>
      <c r="E240" s="29">
        <f t="shared" si="73"/>
        <v>399999.28333334543</v>
      </c>
      <c r="F240" s="29">
        <f>IF(AND(A239="",A241=""),"",IF(A240="",ROUND(SUM($F$25:F239),2),IF(A240=$D$8,$E$24-ROUND(SUM($F$25:F239),2),ROUND($E$24/$D$8,2))))</f>
        <v>16666.669999999998</v>
      </c>
      <c r="G240" s="213">
        <f ca="1">IF(A239=$D$8,ROUND(SUM($G$25:G239),2),IF(A240&gt;$F$8,"",IF(T240&lt;&gt;T239,ROUND(SUM(V240*$F$17*E239/T240,W240*$F$17*E239/T239),2),ROUND(E239*$F$17*D240/T239,2))))</f>
        <v>3928.08</v>
      </c>
      <c r="H240" s="29">
        <f ca="1">IF(A239=$D$8,SUM($H$25:H239),IF(A239&gt;$D$8,"",F240+G240))</f>
        <v>20594.75</v>
      </c>
      <c r="I240" s="212" t="str">
        <f t="shared" si="74"/>
        <v/>
      </c>
      <c r="J240" s="212" t="str">
        <f t="shared" si="75"/>
        <v/>
      </c>
      <c r="K240" s="212"/>
      <c r="L240" s="212" t="str">
        <f t="shared" si="76"/>
        <v/>
      </c>
      <c r="M240" s="29" t="str">
        <f t="shared" si="71"/>
        <v/>
      </c>
      <c r="N240" s="29" t="str">
        <f t="shared" si="70"/>
        <v/>
      </c>
      <c r="P240" s="217" t="str">
        <f>IF(A239=$D$8,XIRR(R$24:R239,C$24:C239),"")</f>
        <v/>
      </c>
      <c r="Q240" s="212" t="str">
        <f t="shared" si="69"/>
        <v/>
      </c>
      <c r="R240" s="29">
        <f t="shared" ca="1" si="65"/>
        <v>20594.75</v>
      </c>
      <c r="S240" s="22">
        <f t="shared" ca="1" si="66"/>
        <v>2039</v>
      </c>
      <c r="T240" s="22">
        <f t="shared" ca="1" si="67"/>
        <v>365</v>
      </c>
      <c r="U240" s="22">
        <f t="shared" ca="1" si="77"/>
        <v>12</v>
      </c>
      <c r="V240" s="23">
        <f t="shared" ca="1" si="78"/>
        <v>11</v>
      </c>
      <c r="W240" s="24">
        <f t="shared" ca="1" si="62"/>
        <v>19</v>
      </c>
    </row>
    <row r="241" spans="1:23" x14ac:dyDescent="0.35">
      <c r="A241" s="32">
        <f t="shared" si="68"/>
        <v>217</v>
      </c>
      <c r="B241" s="28">
        <f t="shared" ca="1" si="63"/>
        <v>50994</v>
      </c>
      <c r="C241" s="28">
        <f t="shared" ca="1" si="64"/>
        <v>50994</v>
      </c>
      <c r="D241" s="32">
        <f t="shared" ca="1" si="72"/>
        <v>31</v>
      </c>
      <c r="E241" s="29">
        <f t="shared" si="73"/>
        <v>383332.61333334545</v>
      </c>
      <c r="F241" s="29">
        <f>IF(AND(A240="",A242=""),"",IF(A241="",ROUND(SUM($F$25:F240),2),IF(A241=$D$8,$E$24-ROUND(SUM($F$25:F240),2),ROUND($E$24/$D$8,2))))</f>
        <v>16666.669999999998</v>
      </c>
      <c r="G241" s="213">
        <f ca="1">IF(A240=$D$8,ROUND(SUM($G$25:G240),2),IF(A241&gt;$F$8,"",IF(T241&lt;&gt;T240,ROUND(SUM(V241*$F$17*E240/T241,W241*$F$17*E240/T240),2),ROUND(E240*$F$17*D241/T240,2))))</f>
        <v>3896.65</v>
      </c>
      <c r="H241" s="29">
        <f ca="1">IF(A240=$D$8,SUM($H$25:H240),IF(A240&gt;$D$8,"",F241+G241))</f>
        <v>20563.32</v>
      </c>
      <c r="I241" s="212" t="str">
        <f t="shared" si="74"/>
        <v/>
      </c>
      <c r="J241" s="212" t="str">
        <f t="shared" si="75"/>
        <v/>
      </c>
      <c r="K241" s="212">
        <f>IF($F$8&gt;216,($O$8+$O$10),IF($A$240=$F$8,$K$24*$G$8,""))</f>
        <v>17100</v>
      </c>
      <c r="L241" s="212" t="str">
        <f t="shared" si="76"/>
        <v/>
      </c>
      <c r="M241" s="29" t="str">
        <f t="shared" si="71"/>
        <v/>
      </c>
      <c r="N241" s="29" t="str">
        <f t="shared" si="70"/>
        <v/>
      </c>
      <c r="P241" s="217" t="str">
        <f>IF(A240=$D$8,XIRR(R$24:R240,C$24:C240),"")</f>
        <v/>
      </c>
      <c r="Q241" s="212" t="str">
        <f t="shared" si="69"/>
        <v/>
      </c>
      <c r="R241" s="29">
        <f t="shared" ca="1" si="65"/>
        <v>37663.32</v>
      </c>
      <c r="S241" s="22">
        <f t="shared" ca="1" si="66"/>
        <v>2039</v>
      </c>
      <c r="T241" s="22">
        <f t="shared" ca="1" si="67"/>
        <v>365</v>
      </c>
      <c r="U241" s="22">
        <f t="shared" ca="1" si="77"/>
        <v>12</v>
      </c>
      <c r="V241" s="23">
        <f t="shared" ca="1" si="78"/>
        <v>11</v>
      </c>
      <c r="W241" s="24">
        <f t="shared" ca="1" si="62"/>
        <v>20</v>
      </c>
    </row>
    <row r="242" spans="1:23" x14ac:dyDescent="0.35">
      <c r="A242" s="32">
        <f t="shared" si="68"/>
        <v>218</v>
      </c>
      <c r="B242" s="28">
        <f t="shared" ca="1" si="63"/>
        <v>51025</v>
      </c>
      <c r="C242" s="28">
        <f t="shared" ca="1" si="64"/>
        <v>51025</v>
      </c>
      <c r="D242" s="32">
        <f t="shared" ca="1" si="72"/>
        <v>31</v>
      </c>
      <c r="E242" s="29">
        <f t="shared" si="73"/>
        <v>366665.94333334547</v>
      </c>
      <c r="F242" s="29">
        <f>IF(AND(A241="",A243=""),"",IF(A242="",ROUND(SUM($F$25:F241),2),IF(A242=$D$8,$E$24-ROUND(SUM($F$25:F241),2),ROUND($E$24/$D$8,2))))</f>
        <v>16666.669999999998</v>
      </c>
      <c r="G242" s="213">
        <f ca="1">IF(A241=$D$8,ROUND(SUM($G$25:G241),2),IF(A242&gt;$F$8,"",IF(T242&lt;&gt;T241,ROUND(SUM(V242*$F$17*E241/T242,W242*$F$17*E241/T241),2),ROUND(E241*$F$17*D242/T241,2))))</f>
        <v>3734.29</v>
      </c>
      <c r="H242" s="29">
        <f ca="1">IF(A241=$D$8,SUM($H$25:H241),IF(A241&gt;$D$8,"",F242+G242))</f>
        <v>20400.96</v>
      </c>
      <c r="I242" s="212" t="str">
        <f t="shared" si="74"/>
        <v/>
      </c>
      <c r="J242" s="212" t="str">
        <f t="shared" si="75"/>
        <v/>
      </c>
      <c r="K242" s="212"/>
      <c r="L242" s="212" t="str">
        <f t="shared" si="76"/>
        <v/>
      </c>
      <c r="M242" s="29" t="str">
        <f t="shared" si="71"/>
        <v/>
      </c>
      <c r="N242" s="29" t="str">
        <f t="shared" si="70"/>
        <v/>
      </c>
      <c r="P242" s="217" t="str">
        <f>IF(A241=$D$8,XIRR(R$24:R241,C$24:C241),"")</f>
        <v/>
      </c>
      <c r="Q242" s="212" t="str">
        <f t="shared" si="69"/>
        <v/>
      </c>
      <c r="R242" s="29">
        <f t="shared" ca="1" si="65"/>
        <v>20400.96</v>
      </c>
      <c r="S242" s="22">
        <f t="shared" ca="1" si="66"/>
        <v>2039</v>
      </c>
      <c r="T242" s="22">
        <f t="shared" ca="1" si="67"/>
        <v>365</v>
      </c>
      <c r="U242" s="22">
        <f t="shared" ca="1" si="77"/>
        <v>12</v>
      </c>
      <c r="V242" s="23">
        <f t="shared" ca="1" si="78"/>
        <v>11</v>
      </c>
      <c r="W242" s="24">
        <f t="shared" ca="1" si="62"/>
        <v>20</v>
      </c>
    </row>
    <row r="243" spans="1:23" x14ac:dyDescent="0.35">
      <c r="A243" s="32">
        <f t="shared" si="68"/>
        <v>219</v>
      </c>
      <c r="B243" s="28">
        <f t="shared" ca="1" si="63"/>
        <v>51055</v>
      </c>
      <c r="C243" s="28">
        <f t="shared" ca="1" si="64"/>
        <v>51055</v>
      </c>
      <c r="D243" s="32">
        <f t="shared" ca="1" si="72"/>
        <v>30</v>
      </c>
      <c r="E243" s="29">
        <f t="shared" si="73"/>
        <v>349999.27333334548</v>
      </c>
      <c r="F243" s="29">
        <f>IF(AND(A242="",A244=""),"",IF(A243="",ROUND(SUM($F$25:F242),2),IF(A243=$D$8,$E$24-ROUND(SUM($F$25:F242),2),ROUND($E$24/$D$8,2))))</f>
        <v>16666.669999999998</v>
      </c>
      <c r="G243" s="213">
        <f ca="1">IF(A242=$D$8,ROUND(SUM($G$25:G242),2),IF(A243&gt;$F$8,"",IF(T243&lt;&gt;T242,ROUND(SUM(V243*$F$17*E242/T243,W243*$F$17*E242/T242),2),ROUND(E242*$F$17*D243/T242,2))))</f>
        <v>3456.71</v>
      </c>
      <c r="H243" s="29">
        <f ca="1">IF(A242=$D$8,SUM($H$25:H242),IF(A242&gt;$D$8,"",F243+G243))</f>
        <v>20123.379999999997</v>
      </c>
      <c r="I243" s="212" t="str">
        <f t="shared" si="74"/>
        <v/>
      </c>
      <c r="J243" s="212" t="str">
        <f t="shared" si="75"/>
        <v/>
      </c>
      <c r="K243" s="212"/>
      <c r="L243" s="212" t="str">
        <f t="shared" si="76"/>
        <v/>
      </c>
      <c r="M243" s="29" t="str">
        <f t="shared" si="71"/>
        <v/>
      </c>
      <c r="N243" s="29" t="str">
        <f t="shared" si="70"/>
        <v/>
      </c>
      <c r="P243" s="217" t="str">
        <f>IF(A242=$D$8,XIRR(R$24:R242,C$24:C242),"")</f>
        <v/>
      </c>
      <c r="Q243" s="212" t="str">
        <f t="shared" si="69"/>
        <v/>
      </c>
      <c r="R243" s="29">
        <f t="shared" ca="1" si="65"/>
        <v>20123.379999999997</v>
      </c>
      <c r="S243" s="22">
        <f t="shared" ca="1" si="66"/>
        <v>2039</v>
      </c>
      <c r="T243" s="22">
        <f t="shared" ca="1" si="67"/>
        <v>365</v>
      </c>
      <c r="U243" s="22">
        <f t="shared" ca="1" si="77"/>
        <v>12</v>
      </c>
      <c r="V243" s="23">
        <f t="shared" ca="1" si="78"/>
        <v>11</v>
      </c>
      <c r="W243" s="24">
        <f t="shared" ca="1" si="62"/>
        <v>19</v>
      </c>
    </row>
    <row r="244" spans="1:23" x14ac:dyDescent="0.35">
      <c r="A244" s="32">
        <f t="shared" si="68"/>
        <v>220</v>
      </c>
      <c r="B244" s="28">
        <f t="shared" ca="1" si="63"/>
        <v>51086</v>
      </c>
      <c r="C244" s="28">
        <f t="shared" ca="1" si="64"/>
        <v>51086</v>
      </c>
      <c r="D244" s="32">
        <f t="shared" ca="1" si="72"/>
        <v>31</v>
      </c>
      <c r="E244" s="29">
        <f t="shared" si="73"/>
        <v>333332.6033333455</v>
      </c>
      <c r="F244" s="29">
        <f>IF(AND(A243="",A245=""),"",IF(A244="",ROUND(SUM($F$25:F243),2),IF(A244=$D$8,$E$24-ROUND(SUM($F$25:F243),2),ROUND($E$24/$D$8,2))))</f>
        <v>16666.669999999998</v>
      </c>
      <c r="G244" s="213">
        <f ca="1">IF(A243=$D$8,ROUND(SUM($G$25:G243),2),IF(A244&gt;$F$8,"",IF(T244&lt;&gt;T243,ROUND(SUM(V244*$F$17*E243/T244,W244*$F$17*E243/T243),2),ROUND(E243*$F$17*D244/T243,2))))</f>
        <v>3409.57</v>
      </c>
      <c r="H244" s="29">
        <f ca="1">IF(A243=$D$8,SUM($H$25:H243),IF(A243&gt;$D$8,"",F244+G244))</f>
        <v>20076.239999999998</v>
      </c>
      <c r="I244" s="212" t="str">
        <f t="shared" si="74"/>
        <v/>
      </c>
      <c r="J244" s="212" t="str">
        <f t="shared" si="75"/>
        <v/>
      </c>
      <c r="K244" s="212"/>
      <c r="L244" s="212" t="str">
        <f t="shared" si="76"/>
        <v/>
      </c>
      <c r="M244" s="29" t="str">
        <f t="shared" si="71"/>
        <v/>
      </c>
      <c r="N244" s="29" t="str">
        <f t="shared" si="70"/>
        <v/>
      </c>
      <c r="P244" s="217" t="str">
        <f>IF(A243=$D$8,XIRR(R$24:R243,C$24:C243),"")</f>
        <v/>
      </c>
      <c r="Q244" s="212" t="str">
        <f t="shared" si="69"/>
        <v/>
      </c>
      <c r="R244" s="29">
        <f t="shared" ca="1" si="65"/>
        <v>20076.239999999998</v>
      </c>
      <c r="S244" s="22">
        <f t="shared" ca="1" si="66"/>
        <v>2039</v>
      </c>
      <c r="T244" s="22">
        <f t="shared" ca="1" si="67"/>
        <v>365</v>
      </c>
      <c r="U244" s="22">
        <f t="shared" ca="1" si="77"/>
        <v>12</v>
      </c>
      <c r="V244" s="23">
        <f t="shared" ca="1" si="78"/>
        <v>11</v>
      </c>
      <c r="W244" s="24">
        <f t="shared" ca="1" si="62"/>
        <v>20</v>
      </c>
    </row>
    <row r="245" spans="1:23" x14ac:dyDescent="0.35">
      <c r="A245" s="32">
        <f t="shared" si="68"/>
        <v>221</v>
      </c>
      <c r="B245" s="28">
        <f t="shared" ca="1" si="63"/>
        <v>51116</v>
      </c>
      <c r="C245" s="28">
        <f t="shared" ca="1" si="64"/>
        <v>51116</v>
      </c>
      <c r="D245" s="32">
        <f t="shared" ca="1" si="72"/>
        <v>30</v>
      </c>
      <c r="E245" s="29">
        <f t="shared" si="73"/>
        <v>316665.93333334551</v>
      </c>
      <c r="F245" s="29">
        <f>IF(AND(A244="",A246=""),"",IF(A245="",ROUND(SUM($F$25:F244),2),IF(A245=$D$8,$E$24-ROUND(SUM($F$25:F244),2),ROUND($E$24/$D$8,2))))</f>
        <v>16666.669999999998</v>
      </c>
      <c r="G245" s="213">
        <f ca="1">IF(A244=$D$8,ROUND(SUM($G$25:G244),2),IF(A245&gt;$F$8,"",IF(T245&lt;&gt;T244,ROUND(SUM(V245*$F$17*E244/T245,W245*$F$17*E244/T244),2),ROUND(E244*$F$17*D245/T244,2))))</f>
        <v>3142.46</v>
      </c>
      <c r="H245" s="29">
        <f ca="1">IF(A244=$D$8,SUM($H$25:H244),IF(A244&gt;$D$8,"",F245+G245))</f>
        <v>19809.129999999997</v>
      </c>
      <c r="I245" s="212" t="str">
        <f t="shared" si="74"/>
        <v/>
      </c>
      <c r="J245" s="212" t="str">
        <f t="shared" si="75"/>
        <v/>
      </c>
      <c r="K245" s="212"/>
      <c r="L245" s="212" t="str">
        <f t="shared" si="76"/>
        <v/>
      </c>
      <c r="M245" s="29" t="str">
        <f t="shared" si="71"/>
        <v/>
      </c>
      <c r="N245" s="29" t="str">
        <f t="shared" si="70"/>
        <v/>
      </c>
      <c r="P245" s="217" t="str">
        <f>IF(A244=$D$8,XIRR(R$24:R244,C$24:C244),"")</f>
        <v/>
      </c>
      <c r="Q245" s="212" t="str">
        <f t="shared" si="69"/>
        <v/>
      </c>
      <c r="R245" s="29">
        <f t="shared" ca="1" si="65"/>
        <v>19809.129999999997</v>
      </c>
      <c r="S245" s="22">
        <f t="shared" ca="1" si="66"/>
        <v>2039</v>
      </c>
      <c r="T245" s="22">
        <f t="shared" ca="1" si="67"/>
        <v>365</v>
      </c>
      <c r="U245" s="22">
        <f t="shared" ca="1" si="77"/>
        <v>12</v>
      </c>
      <c r="V245" s="23">
        <f t="shared" ca="1" si="78"/>
        <v>11</v>
      </c>
      <c r="W245" s="24">
        <f t="shared" ca="1" si="62"/>
        <v>19</v>
      </c>
    </row>
    <row r="246" spans="1:23" x14ac:dyDescent="0.35">
      <c r="A246" s="32">
        <f t="shared" si="68"/>
        <v>222</v>
      </c>
      <c r="B246" s="28">
        <f t="shared" ca="1" si="63"/>
        <v>51147</v>
      </c>
      <c r="C246" s="28">
        <f t="shared" ca="1" si="64"/>
        <v>51147</v>
      </c>
      <c r="D246" s="32">
        <f t="shared" ca="1" si="72"/>
        <v>31</v>
      </c>
      <c r="E246" s="29">
        <f t="shared" si="73"/>
        <v>299999.26333334553</v>
      </c>
      <c r="F246" s="29">
        <f>IF(AND(A245="",A247=""),"",IF(A246="",ROUND(SUM($F$25:F245),2),IF(A246=$D$8,$E$24-ROUND(SUM($F$25:F245),2),ROUND($E$24/$D$8,2))))</f>
        <v>16666.669999999998</v>
      </c>
      <c r="G246" s="213">
        <f ca="1">IF(A245=$D$8,ROUND(SUM($G$25:G245),2),IF(A246&gt;$F$8,"",IF(T246&lt;&gt;T245,ROUND(SUM(V246*$F$17*E245/T246,W246*$F$17*E245/T245),2),ROUND(E245*$F$17*D246/T245,2))))</f>
        <v>3081.86</v>
      </c>
      <c r="H246" s="29">
        <f ca="1">IF(A245=$D$8,SUM($H$25:H245),IF(A245&gt;$D$8,"",F246+G246))</f>
        <v>19748.53</v>
      </c>
      <c r="I246" s="212" t="str">
        <f t="shared" si="74"/>
        <v/>
      </c>
      <c r="J246" s="212" t="str">
        <f t="shared" si="75"/>
        <v/>
      </c>
      <c r="K246" s="212"/>
      <c r="L246" s="212" t="str">
        <f t="shared" si="76"/>
        <v/>
      </c>
      <c r="M246" s="29" t="str">
        <f t="shared" si="71"/>
        <v/>
      </c>
      <c r="N246" s="29" t="str">
        <f t="shared" si="70"/>
        <v/>
      </c>
      <c r="P246" s="217" t="str">
        <f>IF(A245=$D$8,XIRR(R$24:R245,C$24:C245),"")</f>
        <v/>
      </c>
      <c r="Q246" s="212" t="str">
        <f t="shared" si="69"/>
        <v/>
      </c>
      <c r="R246" s="29">
        <f t="shared" ca="1" si="65"/>
        <v>19748.53</v>
      </c>
      <c r="S246" s="22">
        <f t="shared" ca="1" si="66"/>
        <v>2040</v>
      </c>
      <c r="T246" s="22">
        <f t="shared" ca="1" si="67"/>
        <v>366</v>
      </c>
      <c r="U246" s="22">
        <f t="shared" ca="1" si="77"/>
        <v>12</v>
      </c>
      <c r="V246" s="23">
        <f t="shared" ca="1" si="78"/>
        <v>11</v>
      </c>
      <c r="W246" s="24">
        <f t="shared" ca="1" si="62"/>
        <v>20</v>
      </c>
    </row>
    <row r="247" spans="1:23" x14ac:dyDescent="0.35">
      <c r="A247" s="32">
        <f t="shared" si="68"/>
        <v>223</v>
      </c>
      <c r="B247" s="28">
        <f t="shared" ca="1" si="63"/>
        <v>51178</v>
      </c>
      <c r="C247" s="28">
        <f t="shared" ca="1" si="64"/>
        <v>51178</v>
      </c>
      <c r="D247" s="32">
        <f t="shared" ca="1" si="72"/>
        <v>31</v>
      </c>
      <c r="E247" s="29">
        <f t="shared" si="73"/>
        <v>283332.59333334555</v>
      </c>
      <c r="F247" s="29">
        <f>IF(AND(A246="",A248=""),"",IF(A247="",ROUND(SUM($F$25:F246),2),IF(A247=$D$8,$E$24-ROUND(SUM($F$25:F246),2),ROUND($E$24/$D$8,2))))</f>
        <v>16666.669999999998</v>
      </c>
      <c r="G247" s="213">
        <f ca="1">IF(A246=$D$8,ROUND(SUM($G$25:G246),2),IF(A247&gt;$F$8,"",IF(T247&lt;&gt;T246,ROUND(SUM(V247*$F$17*E246/T247,W247*$F$17*E246/T246),2),ROUND(E246*$F$17*D247/T246,2))))</f>
        <v>2914.5</v>
      </c>
      <c r="H247" s="29">
        <f ca="1">IF(A246=$D$8,SUM($H$25:H246),IF(A246&gt;$D$8,"",F247+G247))</f>
        <v>19581.169999999998</v>
      </c>
      <c r="I247" s="212" t="str">
        <f t="shared" si="74"/>
        <v/>
      </c>
      <c r="J247" s="212" t="str">
        <f t="shared" si="75"/>
        <v/>
      </c>
      <c r="K247" s="212"/>
      <c r="L247" s="212" t="str">
        <f t="shared" si="76"/>
        <v/>
      </c>
      <c r="M247" s="29" t="str">
        <f t="shared" si="71"/>
        <v/>
      </c>
      <c r="N247" s="29" t="str">
        <f t="shared" si="70"/>
        <v/>
      </c>
      <c r="P247" s="217" t="str">
        <f>IF(A246=$D$8,XIRR(R$24:R246,C$24:C246),"")</f>
        <v/>
      </c>
      <c r="Q247" s="212" t="str">
        <f t="shared" si="69"/>
        <v/>
      </c>
      <c r="R247" s="29">
        <f t="shared" ca="1" si="65"/>
        <v>19581.169999999998</v>
      </c>
      <c r="S247" s="22">
        <f t="shared" ca="1" si="66"/>
        <v>2040</v>
      </c>
      <c r="T247" s="22">
        <f t="shared" ca="1" si="67"/>
        <v>366</v>
      </c>
      <c r="U247" s="22">
        <f t="shared" ca="1" si="77"/>
        <v>12</v>
      </c>
      <c r="V247" s="23">
        <f t="shared" ca="1" si="78"/>
        <v>11</v>
      </c>
      <c r="W247" s="24">
        <f t="shared" ca="1" si="62"/>
        <v>20</v>
      </c>
    </row>
    <row r="248" spans="1:23" x14ac:dyDescent="0.35">
      <c r="A248" s="32">
        <f t="shared" si="68"/>
        <v>224</v>
      </c>
      <c r="B248" s="28">
        <f t="shared" ca="1" si="63"/>
        <v>51207</v>
      </c>
      <c r="C248" s="28">
        <f t="shared" ca="1" si="64"/>
        <v>51207</v>
      </c>
      <c r="D248" s="32">
        <f t="shared" ca="1" si="72"/>
        <v>29</v>
      </c>
      <c r="E248" s="29">
        <f t="shared" si="73"/>
        <v>266665.92333334556</v>
      </c>
      <c r="F248" s="29">
        <f>IF(AND(A247="",A249=""),"",IF(A248="",ROUND(SUM($F$25:F247),2),IF(A248=$D$8,$E$24-ROUND(SUM($F$25:F247),2),ROUND($E$24/$D$8,2))))</f>
        <v>16666.669999999998</v>
      </c>
      <c r="G248" s="213">
        <f ca="1">IF(A247=$D$8,ROUND(SUM($G$25:G247),2),IF(A248&gt;$F$8,"",IF(T248&lt;&gt;T247,ROUND(SUM(V248*$F$17*E247/T248,W248*$F$17*E247/T247),2),ROUND(E247*$F$17*D248/T247,2))))</f>
        <v>2575</v>
      </c>
      <c r="H248" s="29">
        <f ca="1">IF(A247=$D$8,SUM($H$25:H247),IF(A247&gt;$D$8,"",F248+G248))</f>
        <v>19241.669999999998</v>
      </c>
      <c r="I248" s="212" t="str">
        <f t="shared" si="74"/>
        <v/>
      </c>
      <c r="J248" s="212" t="str">
        <f t="shared" si="75"/>
        <v/>
      </c>
      <c r="K248" s="212"/>
      <c r="L248" s="212" t="str">
        <f t="shared" si="76"/>
        <v/>
      </c>
      <c r="M248" s="29" t="str">
        <f t="shared" si="71"/>
        <v/>
      </c>
      <c r="N248" s="29" t="str">
        <f t="shared" si="70"/>
        <v/>
      </c>
      <c r="P248" s="217" t="str">
        <f>IF(A247=$D$8,XIRR(R$24:R247,C$24:C247),"")</f>
        <v/>
      </c>
      <c r="Q248" s="212" t="str">
        <f t="shared" si="69"/>
        <v/>
      </c>
      <c r="R248" s="29">
        <f t="shared" ca="1" si="65"/>
        <v>19241.669999999998</v>
      </c>
      <c r="S248" s="22">
        <f t="shared" ca="1" si="66"/>
        <v>2040</v>
      </c>
      <c r="T248" s="22">
        <f t="shared" ca="1" si="67"/>
        <v>366</v>
      </c>
      <c r="U248" s="22">
        <f t="shared" ca="1" si="77"/>
        <v>12</v>
      </c>
      <c r="V248" s="23">
        <f t="shared" ca="1" si="78"/>
        <v>11</v>
      </c>
      <c r="W248" s="24">
        <f t="shared" ca="1" si="62"/>
        <v>18</v>
      </c>
    </row>
    <row r="249" spans="1:23" x14ac:dyDescent="0.35">
      <c r="A249" s="32">
        <f t="shared" si="68"/>
        <v>225</v>
      </c>
      <c r="B249" s="28">
        <f t="shared" ca="1" si="63"/>
        <v>51238</v>
      </c>
      <c r="C249" s="28">
        <f t="shared" ca="1" si="64"/>
        <v>51238</v>
      </c>
      <c r="D249" s="32">
        <f t="shared" ca="1" si="72"/>
        <v>31</v>
      </c>
      <c r="E249" s="29">
        <f t="shared" si="73"/>
        <v>249999.25333334558</v>
      </c>
      <c r="F249" s="29">
        <f>IF(AND(A248="",A250=""),"",IF(A249="",ROUND(SUM($F$25:F248),2),IF(A249=$D$8,$E$24-ROUND(SUM($F$25:F248),2),ROUND($E$24/$D$8,2))))</f>
        <v>16666.669999999998</v>
      </c>
      <c r="G249" s="213">
        <f ca="1">IF(A248=$D$8,ROUND(SUM($G$25:G248),2),IF(A249&gt;$F$8,"",IF(T249&lt;&gt;T248,ROUND(SUM(V249*$F$17*E248/T249,W249*$F$17*E248/T248),2),ROUND(E248*$F$17*D249/T248,2))))</f>
        <v>2590.67</v>
      </c>
      <c r="H249" s="29">
        <f ca="1">IF(A248=$D$8,SUM($H$25:H248),IF(A248&gt;$D$8,"",F249+G249))</f>
        <v>19257.339999999997</v>
      </c>
      <c r="I249" s="212" t="str">
        <f t="shared" si="74"/>
        <v/>
      </c>
      <c r="J249" s="212" t="str">
        <f t="shared" si="75"/>
        <v/>
      </c>
      <c r="K249" s="212"/>
      <c r="L249" s="212" t="str">
        <f t="shared" si="76"/>
        <v/>
      </c>
      <c r="M249" s="29" t="str">
        <f t="shared" si="71"/>
        <v/>
      </c>
      <c r="N249" s="29" t="str">
        <f t="shared" si="70"/>
        <v/>
      </c>
      <c r="P249" s="217" t="str">
        <f>IF(A248=$D$8,XIRR(R$24:R248,C$24:C248),"")</f>
        <v/>
      </c>
      <c r="Q249" s="212" t="str">
        <f t="shared" si="69"/>
        <v/>
      </c>
      <c r="R249" s="29">
        <f t="shared" ca="1" si="65"/>
        <v>19257.339999999997</v>
      </c>
      <c r="S249" s="22">
        <f t="shared" ca="1" si="66"/>
        <v>2040</v>
      </c>
      <c r="T249" s="22">
        <f t="shared" ca="1" si="67"/>
        <v>366</v>
      </c>
      <c r="U249" s="22">
        <f t="shared" ca="1" si="77"/>
        <v>12</v>
      </c>
      <c r="V249" s="23">
        <f t="shared" ca="1" si="78"/>
        <v>11</v>
      </c>
      <c r="W249" s="24">
        <f t="shared" ca="1" si="62"/>
        <v>20</v>
      </c>
    </row>
    <row r="250" spans="1:23" x14ac:dyDescent="0.35">
      <c r="A250" s="32">
        <f t="shared" si="68"/>
        <v>226</v>
      </c>
      <c r="B250" s="28">
        <f t="shared" ca="1" si="63"/>
        <v>51268</v>
      </c>
      <c r="C250" s="28">
        <f t="shared" ca="1" si="64"/>
        <v>51268</v>
      </c>
      <c r="D250" s="32">
        <f t="shared" ca="1" si="72"/>
        <v>30</v>
      </c>
      <c r="E250" s="29">
        <f t="shared" si="73"/>
        <v>233332.5833333456</v>
      </c>
      <c r="F250" s="29">
        <f>IF(AND(A249="",A251=""),"",IF(A250="",ROUND(SUM($F$25:F249),2),IF(A250=$D$8,$E$24-ROUND(SUM($F$25:F249),2),ROUND($E$24/$D$8,2))))</f>
        <v>16666.669999999998</v>
      </c>
      <c r="G250" s="213">
        <f ca="1">IF(A249=$D$8,ROUND(SUM($G$25:G249),2),IF(A250&gt;$F$8,"",IF(T250&lt;&gt;T249,ROUND(SUM(V250*$F$17*E249/T250,W250*$F$17*E249/T249),2),ROUND(E249*$F$17*D250/T249,2))))</f>
        <v>2350.4</v>
      </c>
      <c r="H250" s="29">
        <f ca="1">IF(A249=$D$8,SUM($H$25:H249),IF(A249&gt;$D$8,"",F250+G250))</f>
        <v>19017.07</v>
      </c>
      <c r="I250" s="212" t="str">
        <f t="shared" si="74"/>
        <v/>
      </c>
      <c r="J250" s="212" t="str">
        <f t="shared" si="75"/>
        <v/>
      </c>
      <c r="K250" s="212"/>
      <c r="L250" s="212" t="str">
        <f t="shared" si="76"/>
        <v/>
      </c>
      <c r="M250" s="29" t="str">
        <f t="shared" si="71"/>
        <v/>
      </c>
      <c r="N250" s="29" t="str">
        <f t="shared" si="70"/>
        <v/>
      </c>
      <c r="P250" s="217" t="str">
        <f>IF(A249=$D$8,XIRR(R$24:R249,C$24:C249),"")</f>
        <v/>
      </c>
      <c r="Q250" s="212" t="str">
        <f t="shared" si="69"/>
        <v/>
      </c>
      <c r="R250" s="29">
        <f t="shared" ca="1" si="65"/>
        <v>19017.07</v>
      </c>
      <c r="S250" s="22">
        <f t="shared" ca="1" si="66"/>
        <v>2040</v>
      </c>
      <c r="T250" s="22">
        <f t="shared" ca="1" si="67"/>
        <v>366</v>
      </c>
      <c r="U250" s="22">
        <f t="shared" ca="1" si="77"/>
        <v>12</v>
      </c>
      <c r="V250" s="23">
        <f t="shared" ca="1" si="78"/>
        <v>11</v>
      </c>
      <c r="W250" s="24">
        <f t="shared" ca="1" si="62"/>
        <v>19</v>
      </c>
    </row>
    <row r="251" spans="1:23" x14ac:dyDescent="0.35">
      <c r="A251" s="32">
        <f t="shared" si="68"/>
        <v>227</v>
      </c>
      <c r="B251" s="28">
        <f t="shared" ca="1" si="63"/>
        <v>51299</v>
      </c>
      <c r="C251" s="28">
        <f t="shared" ca="1" si="64"/>
        <v>51299</v>
      </c>
      <c r="D251" s="32">
        <f t="shared" ca="1" si="72"/>
        <v>31</v>
      </c>
      <c r="E251" s="29">
        <f t="shared" si="73"/>
        <v>216665.91333334561</v>
      </c>
      <c r="F251" s="29">
        <f>IF(AND(A250="",A252=""),"",IF(A251="",ROUND(SUM($F$25:F250),2),IF(A251=$D$8,$E$24-ROUND(SUM($F$25:F250),2),ROUND($E$24/$D$8,2))))</f>
        <v>16666.669999999998</v>
      </c>
      <c r="G251" s="213">
        <f ca="1">IF(A250=$D$8,ROUND(SUM($G$25:G250),2),IF(A251&gt;$F$8,"",IF(T251&lt;&gt;T250,ROUND(SUM(V251*$F$17*E250/T251,W251*$F$17*E250/T250),2),ROUND(E250*$F$17*D251/T250,2))))</f>
        <v>2266.83</v>
      </c>
      <c r="H251" s="29">
        <f ca="1">IF(A250=$D$8,SUM($H$25:H250),IF(A250&gt;$D$8,"",F251+G251))</f>
        <v>18933.5</v>
      </c>
      <c r="I251" s="212" t="str">
        <f t="shared" si="74"/>
        <v/>
      </c>
      <c r="J251" s="212" t="str">
        <f t="shared" si="75"/>
        <v/>
      </c>
      <c r="K251" s="212"/>
      <c r="L251" s="212" t="str">
        <f t="shared" si="76"/>
        <v/>
      </c>
      <c r="M251" s="29" t="str">
        <f t="shared" si="71"/>
        <v/>
      </c>
      <c r="N251" s="29" t="str">
        <f t="shared" si="70"/>
        <v/>
      </c>
      <c r="P251" s="217" t="str">
        <f>IF(A250=$D$8,XIRR(R$24:R250,C$24:C250),"")</f>
        <v/>
      </c>
      <c r="Q251" s="212" t="str">
        <f t="shared" si="69"/>
        <v/>
      </c>
      <c r="R251" s="29">
        <f t="shared" ca="1" si="65"/>
        <v>18933.5</v>
      </c>
      <c r="S251" s="22">
        <f t="shared" ca="1" si="66"/>
        <v>2040</v>
      </c>
      <c r="T251" s="22">
        <f t="shared" ca="1" si="67"/>
        <v>366</v>
      </c>
      <c r="U251" s="22">
        <f t="shared" ca="1" si="77"/>
        <v>12</v>
      </c>
      <c r="V251" s="23">
        <f t="shared" ca="1" si="78"/>
        <v>11</v>
      </c>
      <c r="W251" s="24">
        <f t="shared" ca="1" si="62"/>
        <v>20</v>
      </c>
    </row>
    <row r="252" spans="1:23" x14ac:dyDescent="0.35">
      <c r="A252" s="32">
        <f t="shared" si="68"/>
        <v>228</v>
      </c>
      <c r="B252" s="28">
        <f t="shared" ca="1" si="63"/>
        <v>51329</v>
      </c>
      <c r="C252" s="28">
        <f t="shared" ca="1" si="64"/>
        <v>51329</v>
      </c>
      <c r="D252" s="32">
        <f t="shared" ca="1" si="72"/>
        <v>30</v>
      </c>
      <c r="E252" s="29">
        <f t="shared" si="73"/>
        <v>199999.24333334563</v>
      </c>
      <c r="F252" s="29">
        <f>IF(AND(A251="",A253=""),"",IF(A252="",ROUND(SUM($F$25:F251),2),IF(A252=$D$8,$E$24-ROUND(SUM($F$25:F251),2),ROUND($E$24/$D$8,2))))</f>
        <v>16666.669999999998</v>
      </c>
      <c r="G252" s="213">
        <f ca="1">IF(A251=$D$8,ROUND(SUM($G$25:G251),2),IF(A252&gt;$F$8,"",IF(T252&lt;&gt;T251,ROUND(SUM(V252*$F$17*E251/T252,W252*$F$17*E251/T251),2),ROUND(E251*$F$17*D252/T251,2))))</f>
        <v>2037.01</v>
      </c>
      <c r="H252" s="29">
        <f ca="1">IF(A251=$D$8,SUM($H$25:H251),IF(A251&gt;$D$8,"",F252+G252))</f>
        <v>18703.679999999997</v>
      </c>
      <c r="I252" s="212" t="str">
        <f t="shared" si="74"/>
        <v/>
      </c>
      <c r="J252" s="212" t="str">
        <f t="shared" si="75"/>
        <v/>
      </c>
      <c r="K252" s="212"/>
      <c r="L252" s="212" t="str">
        <f t="shared" si="76"/>
        <v/>
      </c>
      <c r="M252" s="29" t="str">
        <f t="shared" si="71"/>
        <v/>
      </c>
      <c r="N252" s="29" t="str">
        <f t="shared" si="70"/>
        <v/>
      </c>
      <c r="P252" s="217" t="str">
        <f>IF(A251=$D$8,XIRR(R$24:R251,C$24:C251),"")</f>
        <v/>
      </c>
      <c r="Q252" s="212" t="str">
        <f t="shared" si="69"/>
        <v/>
      </c>
      <c r="R252" s="29">
        <f t="shared" ca="1" si="65"/>
        <v>18703.679999999997</v>
      </c>
      <c r="S252" s="22">
        <f t="shared" ca="1" si="66"/>
        <v>2040</v>
      </c>
      <c r="T252" s="22">
        <f t="shared" ca="1" si="67"/>
        <v>366</v>
      </c>
      <c r="U252" s="22">
        <f t="shared" ca="1" si="77"/>
        <v>12</v>
      </c>
      <c r="V252" s="23">
        <f t="shared" ca="1" si="78"/>
        <v>11</v>
      </c>
      <c r="W252" s="24">
        <f t="shared" ca="1" si="62"/>
        <v>19</v>
      </c>
    </row>
    <row r="253" spans="1:23" x14ac:dyDescent="0.35">
      <c r="A253" s="32">
        <f t="shared" si="68"/>
        <v>229</v>
      </c>
      <c r="B253" s="28">
        <f t="shared" ca="1" si="63"/>
        <v>51360</v>
      </c>
      <c r="C253" s="28">
        <f t="shared" ca="1" si="64"/>
        <v>51360</v>
      </c>
      <c r="D253" s="32">
        <f t="shared" ca="1" si="72"/>
        <v>31</v>
      </c>
      <c r="E253" s="29">
        <f t="shared" si="73"/>
        <v>183332.57333334564</v>
      </c>
      <c r="F253" s="29">
        <f>IF(AND(A252="",A254=""),"",IF(A253="",ROUND(SUM($F$25:F252),2),IF(A253=$D$8,$E$24-ROUND(SUM($F$25:F252),2),ROUND($E$24/$D$8,2))))</f>
        <v>16666.669999999998</v>
      </c>
      <c r="G253" s="213">
        <f ca="1">IF(A252=$D$8,ROUND(SUM($G$25:G252),2),IF(A253&gt;$F$8,"",IF(T253&lt;&gt;T252,ROUND(SUM(V253*$F$17*E252/T253,W253*$F$17*E252/T252),2),ROUND(E252*$F$17*D253/T252,2))))</f>
        <v>1943</v>
      </c>
      <c r="H253" s="29">
        <f ca="1">IF(A252=$D$8,SUM($H$25:H252),IF(A252&gt;$D$8,"",F253+G253))</f>
        <v>18609.669999999998</v>
      </c>
      <c r="I253" s="212" t="str">
        <f t="shared" si="74"/>
        <v/>
      </c>
      <c r="J253" s="212" t="str">
        <f t="shared" si="75"/>
        <v/>
      </c>
      <c r="K253" s="212">
        <f>IF($F$8&gt;228,($O$8+$O$10),IF($A$252=$F$8,$K$24*$G$8,""))</f>
        <v>17100</v>
      </c>
      <c r="L253" s="212" t="str">
        <f t="shared" si="76"/>
        <v/>
      </c>
      <c r="M253" s="29" t="str">
        <f t="shared" si="71"/>
        <v/>
      </c>
      <c r="N253" s="29" t="str">
        <f t="shared" si="70"/>
        <v/>
      </c>
      <c r="P253" s="217" t="str">
        <f>IF(A252=$D$8,XIRR(R$24:R252,C$24:C252),"")</f>
        <v/>
      </c>
      <c r="Q253" s="212" t="str">
        <f t="shared" si="69"/>
        <v/>
      </c>
      <c r="R253" s="29">
        <f t="shared" ca="1" si="65"/>
        <v>35709.67</v>
      </c>
      <c r="S253" s="22">
        <f t="shared" ca="1" si="66"/>
        <v>2040</v>
      </c>
      <c r="T253" s="22">
        <f t="shared" ca="1" si="67"/>
        <v>366</v>
      </c>
      <c r="U253" s="22">
        <f t="shared" ca="1" si="77"/>
        <v>12</v>
      </c>
      <c r="V253" s="23">
        <f t="shared" ca="1" si="78"/>
        <v>11</v>
      </c>
      <c r="W253" s="24">
        <f t="shared" ca="1" si="62"/>
        <v>20</v>
      </c>
    </row>
    <row r="254" spans="1:23" x14ac:dyDescent="0.35">
      <c r="A254" s="32">
        <f t="shared" si="68"/>
        <v>230</v>
      </c>
      <c r="B254" s="28">
        <f t="shared" ca="1" si="63"/>
        <v>51391</v>
      </c>
      <c r="C254" s="28">
        <f t="shared" ca="1" si="64"/>
        <v>51391</v>
      </c>
      <c r="D254" s="32">
        <f t="shared" ca="1" si="72"/>
        <v>31</v>
      </c>
      <c r="E254" s="29">
        <f t="shared" si="73"/>
        <v>166665.90333334566</v>
      </c>
      <c r="F254" s="29">
        <f>IF(AND(A253="",A255=""),"",IF(A254="",ROUND(SUM($F$25:F253),2),IF(A254=$D$8,$E$24-ROUND(SUM($F$25:F253),2),ROUND($E$24/$D$8,2))))</f>
        <v>16666.669999999998</v>
      </c>
      <c r="G254" s="213">
        <f ca="1">IF(A253=$D$8,ROUND(SUM($G$25:G253),2),IF(A254&gt;$F$8,"",IF(T254&lt;&gt;T253,ROUND(SUM(V254*$F$17*E253/T254,W254*$F$17*E253/T253),2),ROUND(E253*$F$17*D254/T253,2))))</f>
        <v>1781.08</v>
      </c>
      <c r="H254" s="29">
        <f ca="1">IF(A253=$D$8,SUM($H$25:H253),IF(A253&gt;$D$8,"",F254+G254))</f>
        <v>18447.75</v>
      </c>
      <c r="I254" s="212" t="str">
        <f t="shared" si="74"/>
        <v/>
      </c>
      <c r="J254" s="212" t="str">
        <f t="shared" si="75"/>
        <v/>
      </c>
      <c r="K254" s="212" t="str">
        <f t="shared" ref="K254:K264" si="79">IF(A253=$F$8,$K$24,"")</f>
        <v/>
      </c>
      <c r="L254" s="212" t="str">
        <f t="shared" si="76"/>
        <v/>
      </c>
      <c r="M254" s="29" t="str">
        <f t="shared" si="71"/>
        <v/>
      </c>
      <c r="N254" s="29" t="str">
        <f t="shared" si="70"/>
        <v/>
      </c>
      <c r="P254" s="217" t="str">
        <f>IF(A253=$D$8,XIRR(R$24:R253,C$24:C253),"")</f>
        <v/>
      </c>
      <c r="Q254" s="212" t="str">
        <f t="shared" si="69"/>
        <v/>
      </c>
      <c r="R254" s="29">
        <f t="shared" ca="1" si="65"/>
        <v>18447.75</v>
      </c>
      <c r="S254" s="22">
        <f t="shared" ca="1" si="66"/>
        <v>2040</v>
      </c>
      <c r="T254" s="22">
        <f t="shared" ca="1" si="67"/>
        <v>366</v>
      </c>
      <c r="U254" s="22">
        <f t="shared" ca="1" si="77"/>
        <v>12</v>
      </c>
      <c r="V254" s="23">
        <f t="shared" ca="1" si="78"/>
        <v>11</v>
      </c>
      <c r="W254" s="24">
        <f t="shared" ca="1" si="62"/>
        <v>20</v>
      </c>
    </row>
    <row r="255" spans="1:23" x14ac:dyDescent="0.35">
      <c r="A255" s="32">
        <f t="shared" si="68"/>
        <v>231</v>
      </c>
      <c r="B255" s="28">
        <f t="shared" ca="1" si="63"/>
        <v>51421</v>
      </c>
      <c r="C255" s="28">
        <f t="shared" ca="1" si="64"/>
        <v>51421</v>
      </c>
      <c r="D255" s="32">
        <f t="shared" ca="1" si="72"/>
        <v>30</v>
      </c>
      <c r="E255" s="29">
        <f t="shared" si="73"/>
        <v>149999.23333334568</v>
      </c>
      <c r="F255" s="29">
        <f>IF(AND(A254="",A256=""),"",IF(A255="",ROUND(SUM($F$25:F254),2),IF(A255=$D$8,$E$24-ROUND(SUM($F$25:F254),2),ROUND($E$24/$D$8,2))))</f>
        <v>16666.669999999998</v>
      </c>
      <c r="G255" s="213">
        <f ca="1">IF(A254=$D$8,ROUND(SUM($G$25:G254),2),IF(A255&gt;$F$8,"",IF(T255&lt;&gt;T254,ROUND(SUM(V255*$F$17*E254/T255,W255*$F$17*E254/T254),2),ROUND(E254*$F$17*D255/T254,2))))</f>
        <v>1566.93</v>
      </c>
      <c r="H255" s="29">
        <f ca="1">IF(A254=$D$8,SUM($H$25:H254),IF(A254&gt;$D$8,"",F255+G255))</f>
        <v>18233.599999999999</v>
      </c>
      <c r="I255" s="212" t="str">
        <f t="shared" si="74"/>
        <v/>
      </c>
      <c r="J255" s="212" t="str">
        <f t="shared" si="75"/>
        <v/>
      </c>
      <c r="K255" s="212" t="str">
        <f t="shared" si="79"/>
        <v/>
      </c>
      <c r="L255" s="212" t="str">
        <f t="shared" si="76"/>
        <v/>
      </c>
      <c r="M255" s="29" t="str">
        <f t="shared" si="71"/>
        <v/>
      </c>
      <c r="N255" s="29" t="str">
        <f t="shared" si="70"/>
        <v/>
      </c>
      <c r="P255" s="217" t="str">
        <f>IF(A254=$D$8,XIRR(R$24:R254,C$24:C254),"")</f>
        <v/>
      </c>
      <c r="Q255" s="212" t="str">
        <f t="shared" si="69"/>
        <v/>
      </c>
      <c r="R255" s="29">
        <f t="shared" ca="1" si="65"/>
        <v>18233.599999999999</v>
      </c>
      <c r="S255" s="22">
        <f t="shared" ca="1" si="66"/>
        <v>2040</v>
      </c>
      <c r="T255" s="22">
        <f t="shared" ca="1" si="67"/>
        <v>366</v>
      </c>
      <c r="U255" s="22">
        <f t="shared" ca="1" si="77"/>
        <v>12</v>
      </c>
      <c r="V255" s="23">
        <f t="shared" ca="1" si="78"/>
        <v>11</v>
      </c>
      <c r="W255" s="24">
        <f t="shared" ca="1" si="62"/>
        <v>19</v>
      </c>
    </row>
    <row r="256" spans="1:23" x14ac:dyDescent="0.35">
      <c r="A256" s="32">
        <f t="shared" si="68"/>
        <v>232</v>
      </c>
      <c r="B256" s="28">
        <f t="shared" ca="1" si="63"/>
        <v>51452</v>
      </c>
      <c r="C256" s="28">
        <f t="shared" ca="1" si="64"/>
        <v>51452</v>
      </c>
      <c r="D256" s="32">
        <f t="shared" ca="1" si="72"/>
        <v>31</v>
      </c>
      <c r="E256" s="29">
        <f t="shared" si="73"/>
        <v>133332.56333334569</v>
      </c>
      <c r="F256" s="29">
        <f>IF(AND(A255="",A257=""),"",IF(A256="",ROUND(SUM($F$25:F255),2),IF(A256=$D$8,$E$24-ROUND(SUM($F$25:F255),2),ROUND($E$24/$D$8,2))))</f>
        <v>16666.669999999998</v>
      </c>
      <c r="G256" s="213">
        <f ca="1">IF(A255=$D$8,ROUND(SUM($G$25:G255),2),IF(A256&gt;$F$8,"",IF(T256&lt;&gt;T255,ROUND(SUM(V256*$F$17*E255/T256,W256*$F$17*E255/T255),2),ROUND(E255*$F$17*D256/T255,2))))</f>
        <v>1457.25</v>
      </c>
      <c r="H256" s="29">
        <f ca="1">IF(A255=$D$8,SUM($H$25:H255),IF(A255&gt;$D$8,"",F256+G256))</f>
        <v>18123.919999999998</v>
      </c>
      <c r="I256" s="212" t="str">
        <f t="shared" si="74"/>
        <v/>
      </c>
      <c r="J256" s="212" t="str">
        <f t="shared" si="75"/>
        <v/>
      </c>
      <c r="K256" s="212" t="str">
        <f t="shared" si="79"/>
        <v/>
      </c>
      <c r="L256" s="212" t="str">
        <f t="shared" si="76"/>
        <v/>
      </c>
      <c r="M256" s="29" t="str">
        <f t="shared" si="71"/>
        <v/>
      </c>
      <c r="N256" s="29" t="str">
        <f t="shared" si="70"/>
        <v/>
      </c>
      <c r="P256" s="217" t="str">
        <f>IF(A255=$D$8,XIRR(R$24:R255,C$24:C255),"")</f>
        <v/>
      </c>
      <c r="Q256" s="212" t="str">
        <f t="shared" si="69"/>
        <v/>
      </c>
      <c r="R256" s="29">
        <f t="shared" ca="1" si="65"/>
        <v>18123.919999999998</v>
      </c>
      <c r="S256" s="22">
        <f t="shared" ca="1" si="66"/>
        <v>2040</v>
      </c>
      <c r="T256" s="22">
        <f t="shared" ca="1" si="67"/>
        <v>366</v>
      </c>
      <c r="U256" s="22">
        <f t="shared" ca="1" si="77"/>
        <v>12</v>
      </c>
      <c r="V256" s="23">
        <f t="shared" ca="1" si="78"/>
        <v>11</v>
      </c>
      <c r="W256" s="24">
        <f t="shared" ca="1" si="62"/>
        <v>20</v>
      </c>
    </row>
    <row r="257" spans="1:23" x14ac:dyDescent="0.35">
      <c r="A257" s="32">
        <f t="shared" si="68"/>
        <v>233</v>
      </c>
      <c r="B257" s="28">
        <f t="shared" ca="1" si="63"/>
        <v>51482</v>
      </c>
      <c r="C257" s="28">
        <f t="shared" ca="1" si="64"/>
        <v>51482</v>
      </c>
      <c r="D257" s="32">
        <f t="shared" ca="1" si="72"/>
        <v>30</v>
      </c>
      <c r="E257" s="29">
        <f t="shared" si="73"/>
        <v>116665.8933333457</v>
      </c>
      <c r="F257" s="29">
        <f>IF(AND(A256="",A258=""),"",IF(A257="",ROUND(SUM($F$25:F256),2),IF(A257=$D$8,$E$24-ROUND(SUM($F$25:F256),2),ROUND($E$24/$D$8,2))))</f>
        <v>16666.669999999998</v>
      </c>
      <c r="G257" s="213">
        <f ca="1">IF(A256=$D$8,ROUND(SUM($G$25:G256),2),IF(A257&gt;$F$8,"",IF(T257&lt;&gt;T256,ROUND(SUM(V257*$F$17*E256/T257,W257*$F$17*E256/T256),2),ROUND(E256*$F$17*D257/T256,2))))</f>
        <v>1253.54</v>
      </c>
      <c r="H257" s="29">
        <f ca="1">IF(A256=$D$8,SUM($H$25:H256),IF(A256&gt;$D$8,"",F257+G257))</f>
        <v>17920.21</v>
      </c>
      <c r="I257" s="212" t="str">
        <f t="shared" si="74"/>
        <v/>
      </c>
      <c r="J257" s="212" t="str">
        <f t="shared" si="75"/>
        <v/>
      </c>
      <c r="K257" s="212" t="str">
        <f t="shared" si="79"/>
        <v/>
      </c>
      <c r="L257" s="212" t="str">
        <f t="shared" si="76"/>
        <v/>
      </c>
      <c r="M257" s="29" t="str">
        <f t="shared" si="71"/>
        <v/>
      </c>
      <c r="N257" s="29" t="str">
        <f t="shared" si="70"/>
        <v/>
      </c>
      <c r="P257" s="217" t="str">
        <f>IF(A256=$D$8,XIRR(R$24:R256,C$24:C256),"")</f>
        <v/>
      </c>
      <c r="Q257" s="212" t="str">
        <f t="shared" si="69"/>
        <v/>
      </c>
      <c r="R257" s="29">
        <f t="shared" ca="1" si="65"/>
        <v>17920.21</v>
      </c>
      <c r="S257" s="22">
        <f t="shared" ca="1" si="66"/>
        <v>2040</v>
      </c>
      <c r="T257" s="22">
        <f t="shared" ca="1" si="67"/>
        <v>366</v>
      </c>
      <c r="U257" s="22">
        <f t="shared" ca="1" si="77"/>
        <v>12</v>
      </c>
      <c r="V257" s="23">
        <f t="shared" ca="1" si="78"/>
        <v>11</v>
      </c>
      <c r="W257" s="24">
        <f t="shared" ca="1" si="62"/>
        <v>19</v>
      </c>
    </row>
    <row r="258" spans="1:23" x14ac:dyDescent="0.35">
      <c r="A258" s="32">
        <f t="shared" si="68"/>
        <v>234</v>
      </c>
      <c r="B258" s="28">
        <f t="shared" ca="1" si="63"/>
        <v>51513</v>
      </c>
      <c r="C258" s="28">
        <f t="shared" ca="1" si="64"/>
        <v>51513</v>
      </c>
      <c r="D258" s="32">
        <f t="shared" ca="1" si="72"/>
        <v>31</v>
      </c>
      <c r="E258" s="29">
        <f t="shared" si="73"/>
        <v>99999.223333345697</v>
      </c>
      <c r="F258" s="29">
        <f>IF(AND(A257="",A259=""),"",IF(A258="",ROUND(SUM($F$25:F257),2),IF(A258=$D$8,$E$24-ROUND(SUM($F$25:F257),2),ROUND($E$24/$D$8,2))))</f>
        <v>16666.669999999998</v>
      </c>
      <c r="G258" s="213">
        <f ca="1">IF(A257=$D$8,ROUND(SUM($G$25:G257),2),IF(A258&gt;$F$8,"",IF(T258&lt;&gt;T257,ROUND(SUM(V258*$F$17*E257/T258,W258*$F$17*E257/T257),2),ROUND(E257*$F$17*D258/T257,2))))</f>
        <v>1134.51</v>
      </c>
      <c r="H258" s="29">
        <f ca="1">IF(A257=$D$8,SUM($H$25:H257),IF(A257&gt;$D$8,"",F258+G258))</f>
        <v>17801.179999999997</v>
      </c>
      <c r="I258" s="212" t="str">
        <f t="shared" si="74"/>
        <v/>
      </c>
      <c r="J258" s="212" t="str">
        <f t="shared" si="75"/>
        <v/>
      </c>
      <c r="K258" s="212" t="str">
        <f t="shared" si="79"/>
        <v/>
      </c>
      <c r="L258" s="212" t="str">
        <f t="shared" si="76"/>
        <v/>
      </c>
      <c r="M258" s="29" t="str">
        <f t="shared" si="71"/>
        <v/>
      </c>
      <c r="N258" s="29" t="str">
        <f t="shared" si="70"/>
        <v/>
      </c>
      <c r="P258" s="217" t="str">
        <f>IF(A257=$D$8,XIRR(R$24:R257,C$24:C257),"")</f>
        <v/>
      </c>
      <c r="Q258" s="212" t="str">
        <f t="shared" si="69"/>
        <v/>
      </c>
      <c r="R258" s="29">
        <f t="shared" ca="1" si="65"/>
        <v>17801.179999999997</v>
      </c>
      <c r="S258" s="22">
        <f t="shared" ca="1" si="66"/>
        <v>2041</v>
      </c>
      <c r="T258" s="22">
        <f t="shared" ca="1" si="67"/>
        <v>365</v>
      </c>
      <c r="U258" s="22">
        <f t="shared" ca="1" si="77"/>
        <v>12</v>
      </c>
      <c r="V258" s="23">
        <f t="shared" ca="1" si="78"/>
        <v>11</v>
      </c>
      <c r="W258" s="24">
        <f t="shared" ca="1" si="62"/>
        <v>20</v>
      </c>
    </row>
    <row r="259" spans="1:23" x14ac:dyDescent="0.35">
      <c r="A259" s="32">
        <f t="shared" si="68"/>
        <v>235</v>
      </c>
      <c r="B259" s="28">
        <f t="shared" ca="1" si="63"/>
        <v>51544</v>
      </c>
      <c r="C259" s="28">
        <f t="shared" ca="1" si="64"/>
        <v>51544</v>
      </c>
      <c r="D259" s="32">
        <f t="shared" ca="1" si="72"/>
        <v>31</v>
      </c>
      <c r="E259" s="29">
        <f t="shared" si="73"/>
        <v>83332.553333345699</v>
      </c>
      <c r="F259" s="29">
        <f>IF(AND(A258="",A260=""),"",IF(A259="",ROUND(SUM($F$25:F258),2),IF(A259=$D$8,$E$24-ROUND(SUM($F$25:F258),2),ROUND($E$24/$D$8,2))))</f>
        <v>16666.669999999998</v>
      </c>
      <c r="G259" s="213">
        <f ca="1">IF(A258=$D$8,ROUND(SUM($G$25:G258),2),IF(A259&gt;$F$8,"",IF(T259&lt;&gt;T258,ROUND(SUM(V259*$F$17*E258/T259,W259*$F$17*E258/T258),2),ROUND(E258*$F$17*D259/T258,2))))</f>
        <v>974.16</v>
      </c>
      <c r="H259" s="29">
        <f ca="1">IF(A258=$D$8,SUM($H$25:H258),IF(A258&gt;$D$8,"",F259+G259))</f>
        <v>17640.829999999998</v>
      </c>
      <c r="I259" s="212" t="str">
        <f t="shared" si="74"/>
        <v/>
      </c>
      <c r="J259" s="212" t="str">
        <f t="shared" si="75"/>
        <v/>
      </c>
      <c r="K259" s="212" t="str">
        <f t="shared" si="79"/>
        <v/>
      </c>
      <c r="L259" s="212" t="str">
        <f t="shared" si="76"/>
        <v/>
      </c>
      <c r="M259" s="29" t="str">
        <f t="shared" si="71"/>
        <v/>
      </c>
      <c r="N259" s="29" t="str">
        <f t="shared" si="70"/>
        <v/>
      </c>
      <c r="P259" s="217" t="str">
        <f>IF(A258=$D$8,XIRR(R$24:R258,C$24:C258),"")</f>
        <v/>
      </c>
      <c r="Q259" s="212" t="str">
        <f t="shared" si="69"/>
        <v/>
      </c>
      <c r="R259" s="29">
        <f t="shared" ca="1" si="65"/>
        <v>17640.829999999998</v>
      </c>
      <c r="S259" s="22">
        <f t="shared" ca="1" si="66"/>
        <v>2041</v>
      </c>
      <c r="T259" s="22">
        <f t="shared" ca="1" si="67"/>
        <v>365</v>
      </c>
      <c r="U259" s="22">
        <f t="shared" ca="1" si="77"/>
        <v>12</v>
      </c>
      <c r="V259" s="23">
        <f t="shared" ca="1" si="78"/>
        <v>11</v>
      </c>
      <c r="W259" s="24">
        <f t="shared" ca="1" si="62"/>
        <v>20</v>
      </c>
    </row>
    <row r="260" spans="1:23" x14ac:dyDescent="0.35">
      <c r="A260" s="32">
        <f t="shared" si="68"/>
        <v>236</v>
      </c>
      <c r="B260" s="28">
        <f t="shared" ca="1" si="63"/>
        <v>51572</v>
      </c>
      <c r="C260" s="28">
        <f t="shared" ca="1" si="64"/>
        <v>51572</v>
      </c>
      <c r="D260" s="32">
        <f t="shared" ca="1" si="72"/>
        <v>28</v>
      </c>
      <c r="E260" s="29">
        <f t="shared" si="73"/>
        <v>66665.883333345701</v>
      </c>
      <c r="F260" s="29">
        <f>IF(AND(A259="",A261=""),"",IF(A260="",ROUND(SUM($F$25:F259),2),IF(A260=$D$8,$E$24-ROUND(SUM($F$25:F259),2),ROUND($E$24/$D$8,2))))</f>
        <v>16666.669999999998</v>
      </c>
      <c r="G260" s="213">
        <f ca="1">IF(A259=$D$8,ROUND(SUM($G$25:G259),2),IF(A260&gt;$F$8,"",IF(T260&lt;&gt;T259,ROUND(SUM(V260*$F$17*E259/T260,W260*$F$17*E259/T259),2),ROUND(E259*$F$17*D260/T259,2))))</f>
        <v>733.24</v>
      </c>
      <c r="H260" s="29">
        <f ca="1">IF(A259=$D$8,SUM($H$25:H259),IF(A259&gt;$D$8,"",F260+G260))</f>
        <v>17399.91</v>
      </c>
      <c r="I260" s="212" t="str">
        <f t="shared" si="74"/>
        <v/>
      </c>
      <c r="J260" s="212" t="str">
        <f t="shared" si="75"/>
        <v/>
      </c>
      <c r="K260" s="212" t="str">
        <f t="shared" si="79"/>
        <v/>
      </c>
      <c r="L260" s="212" t="str">
        <f t="shared" si="76"/>
        <v/>
      </c>
      <c r="M260" s="29" t="str">
        <f t="shared" si="71"/>
        <v/>
      </c>
      <c r="N260" s="29" t="str">
        <f t="shared" si="70"/>
        <v/>
      </c>
      <c r="P260" s="217" t="str">
        <f>IF(A259=$D$8,XIRR(R$24:R259,C$24:C259),"")</f>
        <v/>
      </c>
      <c r="Q260" s="212" t="str">
        <f t="shared" si="69"/>
        <v/>
      </c>
      <c r="R260" s="29">
        <f t="shared" ca="1" si="65"/>
        <v>17399.91</v>
      </c>
      <c r="S260" s="22">
        <f t="shared" ca="1" si="66"/>
        <v>2041</v>
      </c>
      <c r="T260" s="22">
        <f t="shared" ca="1" si="67"/>
        <v>365</v>
      </c>
      <c r="U260" s="22">
        <f t="shared" ca="1" si="77"/>
        <v>12</v>
      </c>
      <c r="V260" s="23">
        <f t="shared" ca="1" si="78"/>
        <v>11</v>
      </c>
      <c r="W260" s="24">
        <f t="shared" ca="1" si="62"/>
        <v>17</v>
      </c>
    </row>
    <row r="261" spans="1:23" x14ac:dyDescent="0.35">
      <c r="A261" s="32">
        <f t="shared" si="68"/>
        <v>237</v>
      </c>
      <c r="B261" s="28">
        <f t="shared" ca="1" si="63"/>
        <v>51603</v>
      </c>
      <c r="C261" s="28">
        <f t="shared" ca="1" si="64"/>
        <v>51603</v>
      </c>
      <c r="D261" s="32">
        <f t="shared" ca="1" si="72"/>
        <v>31</v>
      </c>
      <c r="E261" s="29">
        <f t="shared" si="73"/>
        <v>49999.213333345702</v>
      </c>
      <c r="F261" s="29">
        <f>IF(AND(A260="",A262=""),"",IF(A261="",ROUND(SUM($F$25:F260),2),IF(A261=$D$8,$E$24-ROUND(SUM($F$25:F260),2),ROUND($E$24/$D$8,2))))</f>
        <v>16666.669999999998</v>
      </c>
      <c r="G261" s="213">
        <f ca="1">IF(A260=$D$8,ROUND(SUM($G$25:G260),2),IF(A261&gt;$F$8,"",IF(T261&lt;&gt;T260,ROUND(SUM(V261*$F$17*E260/T261,W261*$F$17*E260/T260),2),ROUND(E260*$F$17*D261/T260,2))))</f>
        <v>649.44000000000005</v>
      </c>
      <c r="H261" s="29">
        <f ca="1">IF(A260=$D$8,SUM($H$25:H260),IF(A260&gt;$D$8,"",F261+G261))</f>
        <v>17316.109999999997</v>
      </c>
      <c r="I261" s="212" t="str">
        <f t="shared" si="74"/>
        <v/>
      </c>
      <c r="J261" s="212" t="str">
        <f t="shared" si="75"/>
        <v/>
      </c>
      <c r="K261" s="212" t="str">
        <f t="shared" si="79"/>
        <v/>
      </c>
      <c r="L261" s="212" t="str">
        <f t="shared" si="76"/>
        <v/>
      </c>
      <c r="M261" s="29" t="str">
        <f t="shared" si="71"/>
        <v/>
      </c>
      <c r="N261" s="29" t="str">
        <f t="shared" si="70"/>
        <v/>
      </c>
      <c r="P261" s="217" t="str">
        <f>IF(A260=$D$8,XIRR(R$24:R260,C$24:C260),"")</f>
        <v/>
      </c>
      <c r="Q261" s="212" t="str">
        <f t="shared" si="69"/>
        <v/>
      </c>
      <c r="R261" s="29">
        <f t="shared" ca="1" si="65"/>
        <v>17316.109999999997</v>
      </c>
      <c r="S261" s="22">
        <f t="shared" ca="1" si="66"/>
        <v>2041</v>
      </c>
      <c r="T261" s="22">
        <f t="shared" ca="1" si="67"/>
        <v>365</v>
      </c>
      <c r="U261" s="22">
        <f t="shared" ca="1" si="77"/>
        <v>12</v>
      </c>
      <c r="V261" s="23">
        <f t="shared" ca="1" si="78"/>
        <v>11</v>
      </c>
      <c r="W261" s="24">
        <f t="shared" ca="1" si="62"/>
        <v>20</v>
      </c>
    </row>
    <row r="262" spans="1:23" x14ac:dyDescent="0.35">
      <c r="A262" s="32">
        <f t="shared" si="68"/>
        <v>238</v>
      </c>
      <c r="B262" s="28">
        <f t="shared" ca="1" si="63"/>
        <v>51633</v>
      </c>
      <c r="C262" s="28">
        <f t="shared" ca="1" si="64"/>
        <v>51633</v>
      </c>
      <c r="D262" s="32">
        <f t="shared" ca="1" si="72"/>
        <v>30</v>
      </c>
      <c r="E262" s="29">
        <f t="shared" si="73"/>
        <v>33332.543333345704</v>
      </c>
      <c r="F262" s="29">
        <f>IF(AND(A261="",A263=""),"",IF(A262="",ROUND(SUM($F$25:F261),2),IF(A262=$D$8,$E$24-ROUND(SUM($F$25:F261),2),ROUND($E$24/$D$8,2))))</f>
        <v>16666.669999999998</v>
      </c>
      <c r="G262" s="213">
        <f ca="1">IF(A261=$D$8,ROUND(SUM($G$25:G261),2),IF(A262&gt;$F$8,"",IF(T262&lt;&gt;T261,ROUND(SUM(V262*$F$17*E261/T262,W262*$F$17*E261/T261),2),ROUND(E261*$F$17*D262/T261,2))))</f>
        <v>471.36</v>
      </c>
      <c r="H262" s="29">
        <f ca="1">IF(A261=$D$8,SUM($H$25:H261),IF(A261&gt;$D$8,"",F262+G262))</f>
        <v>17138.03</v>
      </c>
      <c r="I262" s="212" t="str">
        <f t="shared" si="74"/>
        <v/>
      </c>
      <c r="J262" s="212" t="str">
        <f t="shared" si="75"/>
        <v/>
      </c>
      <c r="K262" s="212" t="str">
        <f t="shared" si="79"/>
        <v/>
      </c>
      <c r="L262" s="212" t="str">
        <f t="shared" si="76"/>
        <v/>
      </c>
      <c r="M262" s="29" t="str">
        <f t="shared" si="71"/>
        <v/>
      </c>
      <c r="N262" s="29" t="str">
        <f t="shared" si="70"/>
        <v/>
      </c>
      <c r="P262" s="217" t="str">
        <f>IF(A261=$D$8,XIRR(R$24:R261,C$24:C261),"")</f>
        <v/>
      </c>
      <c r="Q262" s="212" t="str">
        <f t="shared" si="69"/>
        <v/>
      </c>
      <c r="R262" s="29">
        <f t="shared" ca="1" si="65"/>
        <v>17138.03</v>
      </c>
      <c r="S262" s="22">
        <f t="shared" ca="1" si="66"/>
        <v>2041</v>
      </c>
      <c r="T262" s="22">
        <f t="shared" ca="1" si="67"/>
        <v>365</v>
      </c>
      <c r="U262" s="22">
        <f t="shared" ca="1" si="77"/>
        <v>12</v>
      </c>
      <c r="V262" s="23">
        <f t="shared" ca="1" si="78"/>
        <v>11</v>
      </c>
      <c r="W262" s="24">
        <f t="shared" ca="1" si="62"/>
        <v>19</v>
      </c>
    </row>
    <row r="263" spans="1:23" x14ac:dyDescent="0.35">
      <c r="A263" s="32">
        <f t="shared" si="68"/>
        <v>239</v>
      </c>
      <c r="B263" s="28">
        <f t="shared" ca="1" si="63"/>
        <v>51664</v>
      </c>
      <c r="C263" s="28">
        <f t="shared" ca="1" si="64"/>
        <v>51664</v>
      </c>
      <c r="D263" s="32">
        <f t="shared" ca="1" si="72"/>
        <v>31</v>
      </c>
      <c r="E263" s="29">
        <f t="shared" si="73"/>
        <v>16665.873333345706</v>
      </c>
      <c r="F263" s="29">
        <f>IF(AND(A262="",A264=""),"",IF(A263="",ROUND(SUM($F$25:F262),2),IF(A263=$D$8,$E$24-ROUND(SUM($F$25:F262),2),ROUND($E$24/$D$8,2))))</f>
        <v>16666.669999999998</v>
      </c>
      <c r="G263" s="213">
        <f ca="1">IF(A262=$D$8,ROUND(SUM($G$25:G262),2),IF(A263&gt;$F$8,"",IF(T263&lt;&gt;T262,ROUND(SUM(V263*$F$17*E262/T263,W263*$F$17*E262/T262),2),ROUND(E262*$F$17*D263/T262,2))))</f>
        <v>324.70999999999998</v>
      </c>
      <c r="H263" s="29">
        <f ca="1">IF(A262=$D$8,SUM($H$25:H262),IF(A262&gt;$D$8,"",F263+G263))</f>
        <v>16991.379999999997</v>
      </c>
      <c r="I263" s="212" t="str">
        <f t="shared" si="74"/>
        <v/>
      </c>
      <c r="J263" s="212" t="str">
        <f t="shared" si="75"/>
        <v/>
      </c>
      <c r="K263" s="212" t="str">
        <f t="shared" si="79"/>
        <v/>
      </c>
      <c r="L263" s="212" t="str">
        <f t="shared" si="76"/>
        <v/>
      </c>
      <c r="M263" s="29" t="str">
        <f t="shared" si="71"/>
        <v/>
      </c>
      <c r="N263" s="29" t="str">
        <f t="shared" si="70"/>
        <v/>
      </c>
      <c r="P263" s="217" t="str">
        <f>IF(A262=$D$8,XIRR(R$24:R262,C$24:C262),"")</f>
        <v/>
      </c>
      <c r="Q263" s="212" t="str">
        <f t="shared" si="69"/>
        <v/>
      </c>
      <c r="R263" s="29">
        <f t="shared" ca="1" si="65"/>
        <v>16991.379999999997</v>
      </c>
      <c r="S263" s="22">
        <f t="shared" ca="1" si="66"/>
        <v>2041</v>
      </c>
      <c r="T263" s="22">
        <f t="shared" ca="1" si="67"/>
        <v>365</v>
      </c>
      <c r="U263" s="22">
        <f t="shared" ca="1" si="77"/>
        <v>12</v>
      </c>
      <c r="V263" s="23">
        <f t="shared" ca="1" si="78"/>
        <v>11</v>
      </c>
      <c r="W263" s="24">
        <f t="shared" ca="1" si="62"/>
        <v>20</v>
      </c>
    </row>
    <row r="264" spans="1:23" x14ac:dyDescent="0.35">
      <c r="A264" s="32">
        <f t="shared" si="68"/>
        <v>240</v>
      </c>
      <c r="B264" s="28">
        <f t="shared" ca="1" si="63"/>
        <v>51694</v>
      </c>
      <c r="C264" s="28">
        <f t="shared" ca="1" si="64"/>
        <v>51693</v>
      </c>
      <c r="D264" s="32">
        <f t="shared" ca="1" si="72"/>
        <v>29</v>
      </c>
      <c r="E264" s="29">
        <f t="shared" si="73"/>
        <v>3.3333455940010026E-3</v>
      </c>
      <c r="F264" s="29">
        <f>IF(AND(A263="",A265=""),"",IF(A264="",ROUND(SUM($F$25:F263),2),IF(A264=$D$8,$E$24-ROUND(SUM($F$25:F263),2),ROUND($E$24/$D$8,2))))</f>
        <v>16665.870000000112</v>
      </c>
      <c r="G264" s="213">
        <f ca="1">IF(A263=$D$8,ROUND(SUM($G$25:G263),2),IF(A264&gt;$F$8,"",IF(T264&lt;&gt;T263,ROUND(SUM(V264*$F$17*E263/T264,W264*$F$17*E263/T263),2),ROUND(E263*$F$17*D264/T263,2))))</f>
        <v>151.88</v>
      </c>
      <c r="H264" s="29">
        <f ca="1">IF(A263=$D$8,SUM($H$25:H263),IF(A263&gt;$D$8,"",F264+G264))</f>
        <v>16817.750000000113</v>
      </c>
      <c r="I264" s="212" t="str">
        <f t="shared" si="74"/>
        <v/>
      </c>
      <c r="J264" s="212" t="str">
        <f t="shared" si="75"/>
        <v/>
      </c>
      <c r="K264" s="212" t="str">
        <f t="shared" si="79"/>
        <v/>
      </c>
      <c r="L264" s="212" t="str">
        <f t="shared" si="76"/>
        <v/>
      </c>
      <c r="M264" s="29" t="str">
        <f t="shared" si="71"/>
        <v/>
      </c>
      <c r="N264" s="29" t="str">
        <f t="shared" si="70"/>
        <v/>
      </c>
      <c r="P264" s="217" t="str">
        <f>IF(A263=$D$8,XIRR(R$24:R263,C$24:C263),"")</f>
        <v/>
      </c>
      <c r="Q264" s="212" t="str">
        <f t="shared" si="69"/>
        <v/>
      </c>
      <c r="R264" s="29">
        <f t="shared" ca="1" si="65"/>
        <v>16817.750000000113</v>
      </c>
      <c r="S264" s="22">
        <f t="shared" ca="1" si="66"/>
        <v>2041</v>
      </c>
      <c r="T264" s="22">
        <f t="shared" ca="1" si="67"/>
        <v>365</v>
      </c>
      <c r="U264" s="22">
        <f t="shared" ca="1" si="77"/>
        <v>11</v>
      </c>
      <c r="V264" s="23">
        <f t="shared" ca="1" si="78"/>
        <v>10</v>
      </c>
      <c r="W264" s="24">
        <f t="shared" ca="1" si="62"/>
        <v>19</v>
      </c>
    </row>
    <row r="265" spans="1:23" x14ac:dyDescent="0.35">
      <c r="A265" s="32" t="str">
        <f t="shared" si="68"/>
        <v/>
      </c>
      <c r="B265" s="22"/>
      <c r="C265" s="22"/>
      <c r="D265" s="22"/>
      <c r="E265" s="29" t="str">
        <f t="shared" si="73"/>
        <v/>
      </c>
      <c r="F265" s="29">
        <f>IF(AND(A264="",A266=""),"",IF(A265="",ROUND(SUM($F$25:F264),2),IF(A265=$D$8,$E$24-ROUND(SUM($F$25:F264),2),ROUND($E$24/$D$8,2))))</f>
        <v>4000000</v>
      </c>
      <c r="G265" s="29">
        <f ca="1">IF(A264=$D$8,ROUND(SUM($G$25:G264),2),IF(A265&gt;$F$8,"",IF(T265&lt;&gt;T264,ROUND(SUM(V265*$F$17*E264/T265,W265*$F$17*E264/T264),2),ROUND(E264*$F$17*D265/T264,2))))</f>
        <v>5050213.33</v>
      </c>
      <c r="H265" s="29">
        <f ca="1">IF(A264=$D$8,SUM($H$25:H264),IF(A264&gt;$D$8,"",F265+G265))</f>
        <v>9050213.3266666699</v>
      </c>
      <c r="I265" s="212">
        <f t="shared" si="74"/>
        <v>10000</v>
      </c>
      <c r="J265" s="212">
        <f t="shared" si="75"/>
        <v>2000</v>
      </c>
      <c r="K265" s="206">
        <f>IF($F$8&gt;240,($O$8+$O$10),IF($A$264=$F$8,$K$24*$G$8,""))</f>
        <v>342000</v>
      </c>
      <c r="L265" s="212">
        <f t="shared" si="76"/>
        <v>0</v>
      </c>
      <c r="M265" s="29">
        <f t="shared" si="71"/>
        <v>40000</v>
      </c>
      <c r="N265" s="29">
        <f t="shared" si="70"/>
        <v>0</v>
      </c>
      <c r="P265" s="217">
        <f ca="1">IF(A264=$D$8,XIRR(R$24:R264,C$24:C264),"")</f>
        <v>0.15020998120307927</v>
      </c>
      <c r="Q265" s="212">
        <f t="shared" ca="1" si="69"/>
        <v>9444213.3300000001</v>
      </c>
      <c r="R265" s="29"/>
      <c r="S265" s="22" t="str">
        <f t="shared" si="66"/>
        <v/>
      </c>
    </row>
    <row r="266" spans="1:23" x14ac:dyDescent="0.35">
      <c r="A266" s="32" t="str">
        <f t="shared" si="68"/>
        <v/>
      </c>
      <c r="C266"/>
      <c r="K266" s="212"/>
    </row>
    <row r="267" spans="1:23" x14ac:dyDescent="0.35">
      <c r="A267" s="32" t="str">
        <f t="shared" si="68"/>
        <v/>
      </c>
      <c r="C267"/>
      <c r="K267" s="212"/>
    </row>
    <row r="268" spans="1:23" x14ac:dyDescent="0.35">
      <c r="A268" s="32" t="str">
        <f t="shared" si="68"/>
        <v/>
      </c>
      <c r="C268"/>
      <c r="K268" s="212"/>
    </row>
    <row r="269" spans="1:23" x14ac:dyDescent="0.35">
      <c r="A269" s="32" t="str">
        <f t="shared" si="68"/>
        <v/>
      </c>
      <c r="C269"/>
      <c r="K269" s="212"/>
    </row>
    <row r="270" spans="1:23" x14ac:dyDescent="0.35">
      <c r="A270" s="32" t="str">
        <f t="shared" si="68"/>
        <v/>
      </c>
      <c r="C270"/>
      <c r="K270" s="212"/>
    </row>
    <row r="271" spans="1:23" x14ac:dyDescent="0.35">
      <c r="A271" s="32" t="str">
        <f t="shared" si="68"/>
        <v/>
      </c>
      <c r="C271"/>
    </row>
    <row r="272" spans="1:23" x14ac:dyDescent="0.35">
      <c r="A272" s="32" t="str">
        <f t="shared" si="68"/>
        <v/>
      </c>
      <c r="C272"/>
    </row>
    <row r="273" spans="1:3" x14ac:dyDescent="0.35">
      <c r="A273" s="32" t="str">
        <f t="shared" si="68"/>
        <v/>
      </c>
      <c r="C273"/>
    </row>
    <row r="274" spans="1:3" x14ac:dyDescent="0.35">
      <c r="A274" s="32" t="str">
        <f t="shared" si="68"/>
        <v/>
      </c>
      <c r="C274"/>
    </row>
    <row r="275" spans="1:3" x14ac:dyDescent="0.35">
      <c r="A275" s="32" t="str">
        <f t="shared" si="68"/>
        <v/>
      </c>
      <c r="C275"/>
    </row>
    <row r="276" spans="1:3" x14ac:dyDescent="0.35">
      <c r="A276" s="32" t="str">
        <f t="shared" si="68"/>
        <v/>
      </c>
      <c r="C276"/>
    </row>
    <row r="277" spans="1:3" x14ac:dyDescent="0.35">
      <c r="A277" s="8"/>
      <c r="C277"/>
    </row>
    <row r="278" spans="1:3" x14ac:dyDescent="0.35">
      <c r="A278" s="8"/>
      <c r="C278"/>
    </row>
    <row r="279" spans="1:3" x14ac:dyDescent="0.35">
      <c r="A279" s="8"/>
      <c r="C279"/>
    </row>
    <row r="280" spans="1:3" x14ac:dyDescent="0.35">
      <c r="A280" s="8"/>
      <c r="C280"/>
    </row>
  </sheetData>
  <sheetProtection algorithmName="SHA-512" hashValue="slZJ6W9vuLq2f8Nn5YDqYdZQJKqCDb/Yf4V8KKJeAPDbQ7iBzMD1/x91YK0ns26lG4FFc4NSbHDezR6vvjyn4Q==" saltValue="5mwYrg417mxKzYMfv4Vi3g==" spinCount="100000" sheet="1" objects="1" scenarios="1"/>
  <protectedRanges>
    <protectedRange password="C797" sqref="A27:A276 B27:B264 C109:D264 E109:F265 C85:F108 C27:H84 M22:M23 P22:Q23 A22:H26 G85:H265 M24:O29 M30:N265 O30:O120" name="Диапазон1"/>
    <protectedRange password="C797" sqref="R24" name="Диапазон1_1"/>
    <protectedRange password="C797" sqref="R25:R265" name="Диапазон1_2"/>
  </protectedRanges>
  <mergeCells count="20">
    <mergeCell ref="A1:Q1"/>
    <mergeCell ref="I22:L22"/>
    <mergeCell ref="N22:N23"/>
    <mergeCell ref="H3:M3"/>
    <mergeCell ref="N3:O3"/>
    <mergeCell ref="H4:M4"/>
    <mergeCell ref="N4:O4"/>
    <mergeCell ref="N5:O5"/>
    <mergeCell ref="I6:O6"/>
    <mergeCell ref="N7:O7"/>
    <mergeCell ref="I9:M9"/>
    <mergeCell ref="N9:O9"/>
    <mergeCell ref="I10:M10"/>
    <mergeCell ref="O22:O23"/>
    <mergeCell ref="R22:R23"/>
    <mergeCell ref="I11:M11"/>
    <mergeCell ref="N11:O11"/>
    <mergeCell ref="N12:O12"/>
    <mergeCell ref="N13:O13"/>
    <mergeCell ref="N14:O14"/>
  </mergeCells>
  <dataValidations count="1">
    <dataValidation type="list" allowBlank="1" showInputMessage="1" showErrorMessage="1" sqref="Q8:R8">
      <formula1>$T$8:$T$9</formula1>
    </dataValidation>
  </dataValidations>
  <pageMargins left="0.23622047244094491" right="0.23622047244094491" top="0.74803149606299213" bottom="0.74803149606299213" header="0.31496062992125984" footer="0.31496062992125984"/>
  <pageSetup paperSize="9" scale="72" fitToHeight="0" orientation="portrait" r:id="rId1"/>
  <ignoredErrors>
    <ignoredError sqref="G9 F3 D9" unlockedFormula="1"/>
  </ignoredError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C63"/>
  <sheetViews>
    <sheetView topLeftCell="A31" workbookViewId="0">
      <selection activeCell="B46" sqref="B46:C46"/>
    </sheetView>
  </sheetViews>
  <sheetFormatPr defaultColWidth="9.1796875" defaultRowHeight="14.5" x14ac:dyDescent="0.35"/>
  <cols>
    <col min="1" max="1" width="45.54296875" style="10" customWidth="1"/>
    <col min="2" max="2" width="7.453125" style="10" customWidth="1"/>
    <col min="3" max="3" width="60.81640625" style="10" customWidth="1"/>
    <col min="4" max="16384" width="9.1796875" style="10"/>
  </cols>
  <sheetData>
    <row r="1" spans="1:3" ht="15" thickBot="1" x14ac:dyDescent="0.4">
      <c r="A1" s="278" t="s">
        <v>0</v>
      </c>
      <c r="B1" s="279"/>
      <c r="C1" s="279"/>
    </row>
    <row r="2" spans="1:3" ht="15" customHeight="1" x14ac:dyDescent="0.35">
      <c r="A2" s="311" t="s">
        <v>1</v>
      </c>
      <c r="B2" s="316" t="s">
        <v>109</v>
      </c>
      <c r="C2" s="317"/>
    </row>
    <row r="3" spans="1:3" x14ac:dyDescent="0.35">
      <c r="A3" s="312"/>
      <c r="B3" s="318"/>
      <c r="C3" s="319"/>
    </row>
    <row r="4" spans="1:3" ht="15" thickBot="1" x14ac:dyDescent="0.4">
      <c r="A4" s="313"/>
      <c r="B4" s="276" t="s">
        <v>2</v>
      </c>
      <c r="C4" s="277"/>
    </row>
    <row r="5" spans="1:3" ht="15" customHeight="1" x14ac:dyDescent="0.35">
      <c r="A5" s="311" t="s">
        <v>3</v>
      </c>
      <c r="B5" s="316" t="s">
        <v>4</v>
      </c>
      <c r="C5" s="317"/>
    </row>
    <row r="6" spans="1:3" x14ac:dyDescent="0.35">
      <c r="A6" s="312"/>
      <c r="B6" s="320" t="s">
        <v>5</v>
      </c>
      <c r="C6" s="321"/>
    </row>
    <row r="7" spans="1:3" ht="15" thickBot="1" x14ac:dyDescent="0.4">
      <c r="A7" s="313"/>
      <c r="B7" s="322"/>
      <c r="C7" s="323"/>
    </row>
    <row r="8" spans="1:3" x14ac:dyDescent="0.35">
      <c r="A8" s="314" t="s">
        <v>6</v>
      </c>
      <c r="B8" s="324" t="s">
        <v>7</v>
      </c>
      <c r="C8" s="325"/>
    </row>
    <row r="9" spans="1:3" ht="15" thickBot="1" x14ac:dyDescent="0.4">
      <c r="A9" s="315"/>
      <c r="B9" s="326" t="s">
        <v>110</v>
      </c>
      <c r="C9" s="327"/>
    </row>
    <row r="10" spans="1:3" ht="15" thickBot="1" x14ac:dyDescent="0.4">
      <c r="A10" s="147" t="s">
        <v>8</v>
      </c>
      <c r="B10" s="280" t="s">
        <v>9</v>
      </c>
      <c r="C10" s="281"/>
    </row>
    <row r="11" spans="1:3" ht="15" thickBot="1" x14ac:dyDescent="0.4">
      <c r="A11" s="147" t="s">
        <v>10</v>
      </c>
      <c r="B11" s="280" t="s">
        <v>11</v>
      </c>
      <c r="C11" s="281"/>
    </row>
    <row r="12" spans="1:3" ht="15" thickBot="1" x14ac:dyDescent="0.4">
      <c r="A12" s="147" t="s">
        <v>12</v>
      </c>
      <c r="B12" s="280" t="s">
        <v>13</v>
      </c>
      <c r="C12" s="281"/>
    </row>
    <row r="13" spans="1:3" ht="15.75" customHeight="1" thickBot="1" x14ac:dyDescent="0.4">
      <c r="A13" s="282" t="s">
        <v>14</v>
      </c>
      <c r="B13" s="283"/>
      <c r="C13" s="284"/>
    </row>
    <row r="14" spans="1:3" ht="15.75" customHeight="1" thickBot="1" x14ac:dyDescent="0.4">
      <c r="A14" s="282" t="s">
        <v>15</v>
      </c>
      <c r="B14" s="283"/>
      <c r="C14" s="284"/>
    </row>
    <row r="15" spans="1:3" ht="15" thickBot="1" x14ac:dyDescent="0.4">
      <c r="A15" s="147" t="s">
        <v>16</v>
      </c>
      <c r="B15" s="280" t="s">
        <v>79</v>
      </c>
      <c r="C15" s="281"/>
    </row>
    <row r="16" spans="1:3" ht="15" thickBot="1" x14ac:dyDescent="0.4">
      <c r="A16" s="147" t="s">
        <v>17</v>
      </c>
      <c r="B16" s="295">
        <f>'графік із підвищеною %'!F7</f>
        <v>4000000</v>
      </c>
      <c r="C16" s="296"/>
    </row>
    <row r="17" spans="1:3" ht="15" thickBot="1" x14ac:dyDescent="0.4">
      <c r="A17" s="147" t="s">
        <v>78</v>
      </c>
      <c r="B17" s="280">
        <f>'графік із підвищеною %'!F8</f>
        <v>240</v>
      </c>
      <c r="C17" s="281"/>
    </row>
    <row r="18" spans="1:3" ht="15" thickBot="1" x14ac:dyDescent="0.4">
      <c r="A18" s="148" t="s">
        <v>18</v>
      </c>
      <c r="B18" s="274" t="s">
        <v>112</v>
      </c>
      <c r="C18" s="275"/>
    </row>
    <row r="19" spans="1:3" ht="13.5" customHeight="1" thickBot="1" x14ac:dyDescent="0.4">
      <c r="A19" s="154" t="s">
        <v>19</v>
      </c>
      <c r="B19" s="285" t="s">
        <v>113</v>
      </c>
      <c r="C19" s="281"/>
    </row>
    <row r="20" spans="1:3" ht="15" thickBot="1" x14ac:dyDescent="0.4">
      <c r="A20" s="146" t="s">
        <v>20</v>
      </c>
      <c r="B20" s="280" t="s">
        <v>131</v>
      </c>
      <c r="C20" s="281"/>
    </row>
    <row r="21" spans="1:3" ht="15" thickBot="1" x14ac:dyDescent="0.4">
      <c r="A21" s="146" t="s">
        <v>21</v>
      </c>
      <c r="B21" s="280" t="s">
        <v>22</v>
      </c>
      <c r="C21" s="281"/>
    </row>
    <row r="22" spans="1:3" ht="20.25" customHeight="1" x14ac:dyDescent="0.35">
      <c r="A22" s="311" t="s">
        <v>23</v>
      </c>
      <c r="B22" s="274" t="s">
        <v>114</v>
      </c>
      <c r="C22" s="275"/>
    </row>
    <row r="23" spans="1:3" ht="15" thickBot="1" x14ac:dyDescent="0.4">
      <c r="A23" s="312"/>
      <c r="B23" s="276"/>
      <c r="C23" s="277"/>
    </row>
    <row r="24" spans="1:3" ht="19.5" customHeight="1" thickBot="1" x14ac:dyDescent="0.4">
      <c r="A24" s="282" t="s">
        <v>24</v>
      </c>
      <c r="B24" s="283"/>
      <c r="C24" s="284"/>
    </row>
    <row r="25" spans="1:3" ht="19.5" customHeight="1" thickBot="1" x14ac:dyDescent="0.4">
      <c r="A25" s="152" t="s">
        <v>25</v>
      </c>
      <c r="B25" s="153">
        <f>'графік із підвищеною %'!F9</f>
        <v>0.24990000000000001</v>
      </c>
      <c r="C25" s="155" t="s">
        <v>133</v>
      </c>
    </row>
    <row r="26" spans="1:3" ht="15" thickBot="1" x14ac:dyDescent="0.4">
      <c r="A26" s="146" t="s">
        <v>26</v>
      </c>
      <c r="B26" s="276" t="s">
        <v>128</v>
      </c>
      <c r="C26" s="277"/>
    </row>
    <row r="27" spans="1:3" ht="21" customHeight="1" thickBot="1" x14ac:dyDescent="0.4">
      <c r="A27" s="146" t="s">
        <v>27</v>
      </c>
      <c r="B27" s="280" t="s">
        <v>129</v>
      </c>
      <c r="C27" s="281"/>
    </row>
    <row r="28" spans="1:3" ht="23.5" thickBot="1" x14ac:dyDescent="0.4">
      <c r="A28" s="146" t="s">
        <v>28</v>
      </c>
      <c r="B28" s="280" t="s">
        <v>29</v>
      </c>
      <c r="C28" s="281"/>
    </row>
    <row r="29" spans="1:3" ht="15" thickBot="1" x14ac:dyDescent="0.4">
      <c r="A29" s="146" t="s">
        <v>108</v>
      </c>
      <c r="B29" s="293">
        <f>'графік із підвищеною %'!K7</f>
        <v>10000</v>
      </c>
      <c r="C29" s="294"/>
    </row>
    <row r="30" spans="1:3" ht="15" thickBot="1" x14ac:dyDescent="0.4">
      <c r="A30" s="146" t="s">
        <v>30</v>
      </c>
      <c r="B30" s="357">
        <v>0</v>
      </c>
      <c r="C30" s="281"/>
    </row>
    <row r="31" spans="1:3" ht="26.25" customHeight="1" thickBot="1" x14ac:dyDescent="0.4">
      <c r="A31" s="152" t="s">
        <v>31</v>
      </c>
      <c r="B31" s="295">
        <f>'графік із підвищеною %'!K9</f>
        <v>342000</v>
      </c>
      <c r="C31" s="281"/>
    </row>
    <row r="32" spans="1:3" ht="15" hidden="1" thickBot="1" x14ac:dyDescent="0.4">
      <c r="A32" s="146"/>
      <c r="B32" s="2"/>
    </row>
    <row r="33" spans="1:3" ht="15" thickBot="1" x14ac:dyDescent="0.4">
      <c r="A33" s="146" t="s">
        <v>32</v>
      </c>
      <c r="B33" s="295" t="e">
        <f>B34-B16</f>
        <v>#REF!</v>
      </c>
      <c r="C33" s="296"/>
    </row>
    <row r="34" spans="1:3" ht="35" thickBot="1" x14ac:dyDescent="0.4">
      <c r="A34" s="146" t="s">
        <v>33</v>
      </c>
      <c r="B34" s="295" t="e">
        <f>SUM('дод 1 до дог кред'!#REF!)</f>
        <v>#REF!</v>
      </c>
      <c r="C34" s="296"/>
    </row>
    <row r="35" spans="1:3" ht="15" thickBot="1" x14ac:dyDescent="0.4">
      <c r="A35" s="145" t="s">
        <v>34</v>
      </c>
      <c r="B35" s="288">
        <f>SUM('графік із підвищеною %'!K19:K103)</f>
        <v>0</v>
      </c>
      <c r="C35" s="289"/>
    </row>
    <row r="36" spans="1:3" ht="48" customHeight="1" thickBot="1" x14ac:dyDescent="0.4">
      <c r="A36" s="290" t="s">
        <v>35</v>
      </c>
      <c r="B36" s="291"/>
      <c r="C36" s="292"/>
    </row>
    <row r="37" spans="1:3" ht="24" customHeight="1" thickBot="1" x14ac:dyDescent="0.4">
      <c r="A37" s="290" t="s">
        <v>36</v>
      </c>
      <c r="B37" s="291"/>
      <c r="C37" s="292"/>
    </row>
    <row r="38" spans="1:3" ht="24" customHeight="1" thickBot="1" x14ac:dyDescent="0.4">
      <c r="A38" s="290" t="s">
        <v>37</v>
      </c>
      <c r="B38" s="291"/>
      <c r="C38" s="292"/>
    </row>
    <row r="39" spans="1:3" ht="15" thickBot="1" x14ac:dyDescent="0.4">
      <c r="A39" s="282" t="s">
        <v>38</v>
      </c>
      <c r="B39" s="283"/>
      <c r="C39" s="284"/>
    </row>
    <row r="40" spans="1:3" ht="15" thickBot="1" x14ac:dyDescent="0.4">
      <c r="A40" s="152" t="s">
        <v>39</v>
      </c>
      <c r="B40" s="280" t="s">
        <v>40</v>
      </c>
      <c r="C40" s="281"/>
    </row>
    <row r="41" spans="1:3" ht="15" thickBot="1" x14ac:dyDescent="0.4">
      <c r="A41" s="282" t="s">
        <v>41</v>
      </c>
      <c r="B41" s="283"/>
      <c r="C41" s="284"/>
    </row>
    <row r="42" spans="1:3" ht="15" customHeight="1" thickBot="1" x14ac:dyDescent="0.4">
      <c r="A42" s="274" t="s">
        <v>42</v>
      </c>
      <c r="B42" s="356"/>
      <c r="C42" s="275"/>
    </row>
    <row r="43" spans="1:3" ht="15" thickBot="1" x14ac:dyDescent="0.4">
      <c r="A43" s="152" t="s">
        <v>43</v>
      </c>
      <c r="B43" s="280" t="s">
        <v>124</v>
      </c>
      <c r="C43" s="281"/>
    </row>
    <row r="44" spans="1:3" ht="15" thickBot="1" x14ac:dyDescent="0.4">
      <c r="A44" s="146" t="s">
        <v>125</v>
      </c>
      <c r="B44" s="280" t="s">
        <v>124</v>
      </c>
      <c r="C44" s="281"/>
    </row>
    <row r="45" spans="1:3" ht="30.75" customHeight="1" thickBot="1" x14ac:dyDescent="0.4">
      <c r="A45" s="146" t="s">
        <v>127</v>
      </c>
      <c r="B45" s="280" t="e">
        <f>паспорт!#REF!</f>
        <v>#REF!</v>
      </c>
      <c r="C45" s="281"/>
    </row>
    <row r="46" spans="1:3" ht="23.5" thickBot="1" x14ac:dyDescent="0.4">
      <c r="A46" s="146" t="s">
        <v>44</v>
      </c>
      <c r="B46" s="280"/>
      <c r="C46" s="281"/>
    </row>
    <row r="47" spans="1:3" ht="15" thickBot="1" x14ac:dyDescent="0.4">
      <c r="A47" s="146" t="s">
        <v>45</v>
      </c>
      <c r="B47" s="280" t="s">
        <v>46</v>
      </c>
      <c r="C47" s="281"/>
    </row>
    <row r="48" spans="1:3" ht="23.5" thickBot="1" x14ac:dyDescent="0.4">
      <c r="A48" s="146" t="s">
        <v>132</v>
      </c>
      <c r="B48" s="280" t="s">
        <v>83</v>
      </c>
      <c r="C48" s="281"/>
    </row>
    <row r="49" spans="1:3" ht="15" thickBot="1" x14ac:dyDescent="0.4">
      <c r="A49" s="145" t="s">
        <v>47</v>
      </c>
      <c r="B49" s="280" t="s">
        <v>80</v>
      </c>
      <c r="C49" s="281"/>
    </row>
    <row r="50" spans="1:3" ht="15" thickBot="1" x14ac:dyDescent="0.4">
      <c r="A50" s="282" t="s">
        <v>48</v>
      </c>
      <c r="B50" s="283"/>
      <c r="C50" s="284"/>
    </row>
    <row r="51" spans="1:3" ht="36" customHeight="1" thickBot="1" x14ac:dyDescent="0.4">
      <c r="A51" s="290" t="s">
        <v>49</v>
      </c>
      <c r="B51" s="291"/>
      <c r="C51" s="292"/>
    </row>
    <row r="52" spans="1:3" ht="46.5" thickBot="1" x14ac:dyDescent="0.4">
      <c r="A52" s="152" t="s">
        <v>50</v>
      </c>
      <c r="B52" s="280" t="s">
        <v>126</v>
      </c>
      <c r="C52" s="281"/>
    </row>
    <row r="53" spans="1:3" ht="36" customHeight="1" thickBot="1" x14ac:dyDescent="0.4">
      <c r="A53" s="280" t="s">
        <v>51</v>
      </c>
      <c r="B53" s="285"/>
      <c r="C53" s="281"/>
    </row>
    <row r="54" spans="1:3" ht="36" customHeight="1" thickBot="1" x14ac:dyDescent="0.4">
      <c r="A54" s="280" t="s">
        <v>52</v>
      </c>
      <c r="B54" s="285"/>
      <c r="C54" s="281"/>
    </row>
    <row r="55" spans="1:3" ht="15" customHeight="1" x14ac:dyDescent="0.35">
      <c r="A55" s="354" t="s">
        <v>53</v>
      </c>
      <c r="B55" s="274" t="s">
        <v>54</v>
      </c>
      <c r="C55" s="275"/>
    </row>
    <row r="56" spans="1:3" ht="15" thickBot="1" x14ac:dyDescent="0.4">
      <c r="A56" s="355"/>
      <c r="B56" s="276"/>
      <c r="C56" s="277"/>
    </row>
    <row r="57" spans="1:3" x14ac:dyDescent="0.35">
      <c r="A57" s="148"/>
      <c r="B57" s="274" t="s">
        <v>56</v>
      </c>
      <c r="C57" s="275"/>
    </row>
    <row r="58" spans="1:3" ht="15" thickBot="1" x14ac:dyDescent="0.4">
      <c r="A58" s="4" t="s">
        <v>55</v>
      </c>
      <c r="B58" s="276"/>
      <c r="C58" s="277"/>
    </row>
    <row r="59" spans="1:3" ht="24" customHeight="1" thickBot="1" x14ac:dyDescent="0.4">
      <c r="A59" s="290" t="s">
        <v>57</v>
      </c>
      <c r="B59" s="291"/>
      <c r="C59" s="292"/>
    </row>
    <row r="60" spans="1:3" ht="48" customHeight="1" thickBot="1" x14ac:dyDescent="0.4">
      <c r="A60" s="290" t="s">
        <v>58</v>
      </c>
      <c r="B60" s="291"/>
      <c r="C60" s="292"/>
    </row>
    <row r="61" spans="1:3" x14ac:dyDescent="0.35">
      <c r="A61" s="3"/>
      <c r="B61" s="274" t="s">
        <v>60</v>
      </c>
      <c r="C61" s="275"/>
    </row>
    <row r="62" spans="1:3" ht="15" thickBot="1" x14ac:dyDescent="0.4">
      <c r="A62" s="4" t="s">
        <v>59</v>
      </c>
      <c r="B62" s="276"/>
      <c r="C62" s="277"/>
    </row>
    <row r="63" spans="1:3" x14ac:dyDescent="0.35">
      <c r="A63" s="5"/>
    </row>
  </sheetData>
  <mergeCells count="61">
    <mergeCell ref="B12:C12"/>
    <mergeCell ref="A1:C1"/>
    <mergeCell ref="A2:A4"/>
    <mergeCell ref="B2:C2"/>
    <mergeCell ref="B3:C3"/>
    <mergeCell ref="B4:C4"/>
    <mergeCell ref="A5:A7"/>
    <mergeCell ref="B5:C5"/>
    <mergeCell ref="B6:C6"/>
    <mergeCell ref="B7:C7"/>
    <mergeCell ref="A8:A9"/>
    <mergeCell ref="B8:C8"/>
    <mergeCell ref="B9:C9"/>
    <mergeCell ref="B10:C10"/>
    <mergeCell ref="B11:C11"/>
    <mergeCell ref="A24:C24"/>
    <mergeCell ref="A13:C13"/>
    <mergeCell ref="A14:C14"/>
    <mergeCell ref="B15:C15"/>
    <mergeCell ref="B16:C16"/>
    <mergeCell ref="B17:C17"/>
    <mergeCell ref="B18:C18"/>
    <mergeCell ref="B19:C19"/>
    <mergeCell ref="B20:C20"/>
    <mergeCell ref="B21:C21"/>
    <mergeCell ref="A22:A23"/>
    <mergeCell ref="B22:C23"/>
    <mergeCell ref="A38:C38"/>
    <mergeCell ref="B26:C26"/>
    <mergeCell ref="B27:C27"/>
    <mergeCell ref="B28:C28"/>
    <mergeCell ref="B29:C29"/>
    <mergeCell ref="B30:C30"/>
    <mergeCell ref="B31:C31"/>
    <mergeCell ref="B33:C33"/>
    <mergeCell ref="B34:C34"/>
    <mergeCell ref="B35:C35"/>
    <mergeCell ref="A36:C36"/>
    <mergeCell ref="A37:C37"/>
    <mergeCell ref="A50:C50"/>
    <mergeCell ref="A39:C39"/>
    <mergeCell ref="B40:C40"/>
    <mergeCell ref="A41:C41"/>
    <mergeCell ref="A42:C42"/>
    <mergeCell ref="B43:C43"/>
    <mergeCell ref="B44:C44"/>
    <mergeCell ref="B45:C45"/>
    <mergeCell ref="B46:C46"/>
    <mergeCell ref="B47:C47"/>
    <mergeCell ref="B48:C48"/>
    <mergeCell ref="B49:C49"/>
    <mergeCell ref="B57:C58"/>
    <mergeCell ref="A59:C59"/>
    <mergeCell ref="A60:C60"/>
    <mergeCell ref="B61:C62"/>
    <mergeCell ref="A51:C51"/>
    <mergeCell ref="B52:C52"/>
    <mergeCell ref="A53:C53"/>
    <mergeCell ref="A54:C54"/>
    <mergeCell ref="A55:A56"/>
    <mergeCell ref="B55:C56"/>
  </mergeCells>
  <hyperlinks>
    <hyperlink ref="B11" r:id="rId1" display="mailto:bank@pravex.kiev.ua"/>
  </hyperlinks>
  <pageMargins left="0.7" right="0.7" top="0.75" bottom="0.75" header="0.3" footer="0.3"/>
  <pageSetup paperSize="9" scale="76" fitToHeight="0"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W205"/>
  <sheetViews>
    <sheetView workbookViewId="0">
      <selection activeCell="F16" sqref="F16"/>
    </sheetView>
  </sheetViews>
  <sheetFormatPr defaultColWidth="9.1796875" defaultRowHeight="14.5" x14ac:dyDescent="0.35"/>
  <cols>
    <col min="1" max="1" width="4.26953125" style="10" customWidth="1"/>
    <col min="2" max="2" width="24.81640625" style="10" hidden="1" customWidth="1"/>
    <col min="3" max="3" width="18.81640625" style="10" customWidth="1"/>
    <col min="4" max="4" width="12" style="10" customWidth="1"/>
    <col min="5" max="5" width="15.81640625" style="10" hidden="1" customWidth="1"/>
    <col min="6" max="6" width="14.7265625" style="10" customWidth="1"/>
    <col min="7" max="7" width="15.54296875" style="10" customWidth="1"/>
    <col min="8" max="8" width="17.453125" style="10" customWidth="1"/>
    <col min="9" max="9" width="15.26953125" style="10" customWidth="1"/>
    <col min="10" max="10" width="15.81640625" style="10" customWidth="1"/>
    <col min="11" max="11" width="12.26953125" style="10" customWidth="1"/>
    <col min="12" max="12" width="12" style="10" customWidth="1"/>
    <col min="13" max="15" width="9.1796875" style="10" hidden="1" customWidth="1"/>
    <col min="16" max="16" width="10.81640625" style="10" hidden="1" customWidth="1"/>
    <col min="17" max="17" width="9.1796875" style="10" hidden="1" customWidth="1"/>
    <col min="18" max="18" width="9.1796875" style="10"/>
    <col min="19" max="20" width="9.1796875" style="10" customWidth="1"/>
    <col min="21" max="21" width="20.54296875" style="10" hidden="1" customWidth="1"/>
    <col min="22" max="23" width="9.1796875" style="10" hidden="1" customWidth="1"/>
    <col min="24" max="16384" width="9.1796875" style="10"/>
  </cols>
  <sheetData>
    <row r="1" spans="1:23" x14ac:dyDescent="0.35">
      <c r="A1" s="345" t="s">
        <v>107</v>
      </c>
      <c r="B1" s="345"/>
      <c r="C1" s="345"/>
      <c r="D1" s="345"/>
      <c r="E1" s="345"/>
      <c r="F1" s="345"/>
      <c r="G1" s="345"/>
      <c r="H1" s="345"/>
      <c r="I1" s="345"/>
      <c r="J1" s="345"/>
      <c r="K1" s="345"/>
      <c r="L1" s="345"/>
    </row>
    <row r="2" spans="1:23" x14ac:dyDescent="0.35">
      <c r="A2" s="13"/>
      <c r="B2" s="13"/>
      <c r="C2" s="110"/>
      <c r="D2" s="13"/>
      <c r="E2" s="13"/>
      <c r="F2" s="15"/>
      <c r="G2" s="12"/>
      <c r="H2" s="13"/>
      <c r="I2" s="13"/>
      <c r="J2" s="13"/>
      <c r="K2" s="13"/>
      <c r="L2" s="13"/>
    </row>
    <row r="3" spans="1:23" x14ac:dyDescent="0.35">
      <c r="A3" s="13"/>
      <c r="B3" s="12" t="s">
        <v>61</v>
      </c>
      <c r="C3" s="125" t="s">
        <v>61</v>
      </c>
      <c r="D3" s="116">
        <f ca="1">F3</f>
        <v>44389</v>
      </c>
      <c r="E3" s="97"/>
      <c r="F3" s="118">
        <f ca="1">графік!F3</f>
        <v>44389</v>
      </c>
      <c r="G3" s="14"/>
      <c r="H3" s="361"/>
      <c r="I3" s="361"/>
      <c r="J3" s="150"/>
      <c r="K3" s="82"/>
      <c r="L3" s="13"/>
    </row>
    <row r="4" spans="1:23" hidden="1" x14ac:dyDescent="0.35">
      <c r="A4" s="13"/>
      <c r="B4" s="12" t="s">
        <v>66</v>
      </c>
      <c r="C4" s="126" t="s">
        <v>66</v>
      </c>
      <c r="D4" s="93">
        <f t="shared" ref="D4:D9" si="0">F4</f>
        <v>1000000</v>
      </c>
      <c r="E4" s="77"/>
      <c r="F4" s="117">
        <v>1000000</v>
      </c>
      <c r="G4" s="15"/>
      <c r="H4" s="362"/>
      <c r="I4" s="362"/>
      <c r="J4" s="151"/>
      <c r="K4" s="83"/>
      <c r="L4" s="13"/>
    </row>
    <row r="5" spans="1:23" hidden="1" x14ac:dyDescent="0.35">
      <c r="A5" s="13"/>
      <c r="B5" s="12" t="s">
        <v>65</v>
      </c>
      <c r="C5" s="127" t="s">
        <v>65</v>
      </c>
      <c r="D5" s="78">
        <f t="shared" si="0"/>
        <v>500000</v>
      </c>
      <c r="E5" s="77"/>
      <c r="F5" s="98">
        <v>500000</v>
      </c>
      <c r="G5" s="16"/>
      <c r="H5" s="363"/>
      <c r="I5" s="363"/>
      <c r="J5" s="363"/>
      <c r="K5" s="363"/>
      <c r="L5" s="13"/>
    </row>
    <row r="6" spans="1:23" hidden="1" x14ac:dyDescent="0.35">
      <c r="A6" s="13"/>
      <c r="B6" s="12" t="s">
        <v>67</v>
      </c>
      <c r="C6" s="128" t="s">
        <v>67</v>
      </c>
      <c r="D6" s="92">
        <f t="shared" si="0"/>
        <v>0.5</v>
      </c>
      <c r="E6" s="105"/>
      <c r="F6" s="99">
        <f>F5/F4</f>
        <v>0.5</v>
      </c>
      <c r="G6" s="17"/>
      <c r="H6" s="362"/>
      <c r="I6" s="362"/>
      <c r="J6" s="151"/>
      <c r="K6" s="76"/>
      <c r="L6" s="13"/>
    </row>
    <row r="7" spans="1:23" x14ac:dyDescent="0.35">
      <c r="A7" s="13"/>
      <c r="B7" s="12" t="s">
        <v>64</v>
      </c>
      <c r="C7" s="129" t="s">
        <v>64</v>
      </c>
      <c r="D7" s="94">
        <f t="shared" si="0"/>
        <v>4000000</v>
      </c>
      <c r="E7" s="107"/>
      <c r="F7" s="100">
        <f>графік!F7</f>
        <v>4000000</v>
      </c>
      <c r="G7" s="17"/>
      <c r="H7" s="368" t="s">
        <v>121</v>
      </c>
      <c r="I7" s="369"/>
      <c r="J7" s="369"/>
      <c r="K7" s="156">
        <f>графік!P7</f>
        <v>10000</v>
      </c>
      <c r="L7" s="102"/>
      <c r="U7" s="10" t="s">
        <v>118</v>
      </c>
    </row>
    <row r="8" spans="1:23" x14ac:dyDescent="0.35">
      <c r="A8" s="13"/>
      <c r="B8" s="12" t="s">
        <v>63</v>
      </c>
      <c r="C8" s="130" t="s">
        <v>63</v>
      </c>
      <c r="D8" s="95">
        <f t="shared" si="0"/>
        <v>240</v>
      </c>
      <c r="E8" s="106"/>
      <c r="F8" s="101">
        <f>графік!F8</f>
        <v>240</v>
      </c>
      <c r="G8" s="17"/>
      <c r="H8" s="366" t="s">
        <v>77</v>
      </c>
      <c r="I8" s="367"/>
      <c r="J8" s="367"/>
      <c r="K8" s="157">
        <f>F7*K7</f>
        <v>40000000000</v>
      </c>
      <c r="L8" s="115"/>
      <c r="N8" s="10" t="s">
        <v>105</v>
      </c>
      <c r="U8" s="13" t="s">
        <v>119</v>
      </c>
      <c r="V8" s="10" t="s">
        <v>84</v>
      </c>
      <c r="W8" s="10">
        <v>1700</v>
      </c>
    </row>
    <row r="9" spans="1:23" x14ac:dyDescent="0.35">
      <c r="A9" s="13"/>
      <c r="B9" s="12" t="s">
        <v>62</v>
      </c>
      <c r="C9" s="131" t="s">
        <v>62</v>
      </c>
      <c r="D9" s="108">
        <f t="shared" si="0"/>
        <v>0.24990000000000001</v>
      </c>
      <c r="E9" s="104"/>
      <c r="F9" s="109">
        <f>графік!F9+11%</f>
        <v>0.24990000000000001</v>
      </c>
      <c r="G9" s="25">
        <f>F12+F13</f>
        <v>0.18770000000000001</v>
      </c>
      <c r="H9" s="364" t="s">
        <v>130</v>
      </c>
      <c r="I9" s="365"/>
      <c r="J9" s="365"/>
      <c r="K9" s="158">
        <f>графік!P9</f>
        <v>342000</v>
      </c>
      <c r="L9" s="13"/>
      <c r="N9" s="10" t="s">
        <v>106</v>
      </c>
    </row>
    <row r="10" spans="1:23" ht="17.25" hidden="1" customHeight="1" x14ac:dyDescent="0.35">
      <c r="A10" s="13"/>
      <c r="B10" s="13"/>
      <c r="C10" s="132"/>
      <c r="D10" s="79">
        <f ca="1">EDATE(D3,F8)</f>
        <v>51694</v>
      </c>
      <c r="E10" s="15"/>
      <c r="F10" s="103"/>
      <c r="G10" s="18"/>
      <c r="H10" s="114"/>
      <c r="I10" s="112"/>
      <c r="J10" s="112"/>
      <c r="K10" s="113"/>
      <c r="L10" s="18"/>
      <c r="M10" s="11"/>
      <c r="W10" s="10">
        <f>F4/W8</f>
        <v>588.23529411764707</v>
      </c>
    </row>
    <row r="11" spans="1:23" ht="17.25" hidden="1" customHeight="1" x14ac:dyDescent="0.35">
      <c r="A11" s="13"/>
      <c r="B11" s="13"/>
      <c r="C11" s="129" t="s">
        <v>82</v>
      </c>
      <c r="D11" s="358">
        <f ca="1">графік!D11</f>
        <v>46215</v>
      </c>
      <c r="E11" s="359"/>
      <c r="F11" s="360"/>
      <c r="G11" s="133"/>
      <c r="H11" s="135" t="s">
        <v>115</v>
      </c>
      <c r="I11" s="136"/>
      <c r="J11" s="136"/>
      <c r="K11" s="142"/>
      <c r="L11" s="141"/>
      <c r="M11" s="11"/>
    </row>
    <row r="12" spans="1:23" ht="18.75" hidden="1" customHeight="1" x14ac:dyDescent="0.35">
      <c r="A12" s="13"/>
      <c r="B12" s="13"/>
      <c r="C12" s="129" t="s">
        <v>117</v>
      </c>
      <c r="D12" s="108"/>
      <c r="E12" s="104"/>
      <c r="F12" s="109">
        <f>графік!F12</f>
        <v>0.15770000000000001</v>
      </c>
      <c r="G12" s="134"/>
      <c r="H12" s="139" t="s">
        <v>116</v>
      </c>
      <c r="I12" s="137"/>
      <c r="J12" s="137"/>
      <c r="K12" s="140">
        <f>IF(I12="наявне",F7*F8*0.12%,0)</f>
        <v>0</v>
      </c>
      <c r="L12" s="141"/>
      <c r="M12" s="11"/>
    </row>
    <row r="13" spans="1:23" ht="15.75" hidden="1" customHeight="1" x14ac:dyDescent="0.35">
      <c r="A13" s="91"/>
      <c r="B13" s="13"/>
      <c r="C13" s="131" t="s">
        <v>81</v>
      </c>
      <c r="D13" s="110"/>
      <c r="E13" s="110"/>
      <c r="F13" s="111">
        <f>графік!F13</f>
        <v>0.03</v>
      </c>
      <c r="G13" s="96"/>
      <c r="H13" s="96"/>
      <c r="I13" s="138"/>
      <c r="J13" s="138"/>
      <c r="K13" s="138"/>
      <c r="L13" s="19"/>
      <c r="M13" s="9"/>
    </row>
    <row r="14" spans="1:23" hidden="1" x14ac:dyDescent="0.35">
      <c r="A14" s="13"/>
      <c r="B14" s="13"/>
      <c r="C14" s="90" t="s">
        <v>82</v>
      </c>
      <c r="D14" s="13"/>
      <c r="E14" s="13"/>
      <c r="F14" s="75">
        <f ca="1">IF(F8&gt;60,EDATE(F3,60),"Фіксова на весь строк ")</f>
        <v>46215</v>
      </c>
      <c r="G14" s="19"/>
      <c r="H14" s="19"/>
      <c r="I14" s="19"/>
      <c r="J14" s="19"/>
      <c r="K14" s="19"/>
      <c r="L14" s="19"/>
      <c r="M14" s="9"/>
    </row>
    <row r="15" spans="1:23" hidden="1" x14ac:dyDescent="0.35">
      <c r="A15" s="13"/>
      <c r="B15" s="13"/>
      <c r="C15" s="80" t="s">
        <v>111</v>
      </c>
      <c r="D15" s="80"/>
      <c r="E15" s="80"/>
      <c r="F15" s="81">
        <f>F12+F13</f>
        <v>0.18770000000000001</v>
      </c>
      <c r="G15" s="18"/>
      <c r="H15" s="88"/>
      <c r="I15" s="18"/>
      <c r="J15" s="18"/>
      <c r="K15" s="86"/>
      <c r="L15" s="18"/>
      <c r="M15" s="11"/>
      <c r="W15" s="10" t="str">
        <f>IF(W10&lt;165,"3%",IF(W10&gt;290,"5%","4%"))</f>
        <v>5%</v>
      </c>
    </row>
    <row r="16" spans="1:23" ht="15" thickBot="1" x14ac:dyDescent="0.4">
      <c r="A16" s="89"/>
      <c r="B16" s="13"/>
      <c r="C16" s="89"/>
      <c r="D16" s="89"/>
      <c r="E16" s="13"/>
      <c r="F16" s="13"/>
      <c r="G16" s="85"/>
      <c r="H16" s="87"/>
      <c r="I16" s="85"/>
      <c r="J16" s="85"/>
      <c r="K16" s="87"/>
      <c r="L16" s="19"/>
      <c r="M16" s="9"/>
    </row>
    <row r="17" spans="1:18" ht="48" x14ac:dyDescent="0.35">
      <c r="A17" s="119" t="s">
        <v>68</v>
      </c>
      <c r="B17" s="120" t="s">
        <v>69</v>
      </c>
      <c r="C17" s="121" t="s">
        <v>69</v>
      </c>
      <c r="D17" s="121" t="s">
        <v>70</v>
      </c>
      <c r="E17" s="120" t="s">
        <v>71</v>
      </c>
      <c r="F17" s="121" t="s">
        <v>73</v>
      </c>
      <c r="G17" s="122" t="s">
        <v>74</v>
      </c>
      <c r="H17" s="123" t="s">
        <v>75</v>
      </c>
      <c r="I17" s="123" t="s">
        <v>76</v>
      </c>
      <c r="J17" s="124" t="str">
        <f>H9</f>
        <v>Розрахунково-касове обслуговування, грн</v>
      </c>
      <c r="K17" s="124" t="s">
        <v>123</v>
      </c>
      <c r="L17" s="121" t="s">
        <v>122</v>
      </c>
      <c r="M17" s="9"/>
    </row>
    <row r="18" spans="1:18" ht="12" customHeight="1" x14ac:dyDescent="0.35">
      <c r="A18" s="27"/>
      <c r="B18" s="28">
        <f ca="1">D3</f>
        <v>44389</v>
      </c>
      <c r="C18" s="28">
        <f t="shared" ref="C18:C19" ca="1" si="1">IF(A18&gt;$D$8,"",B18)</f>
        <v>44389</v>
      </c>
      <c r="D18" s="27"/>
      <c r="E18" s="29">
        <f>IF(L8="кредит",D7+K8,D7)</f>
        <v>4000000</v>
      </c>
      <c r="F18" s="27"/>
      <c r="G18" s="27"/>
      <c r="H18" s="71">
        <f>-E18+I18+J18</f>
        <v>39996342000</v>
      </c>
      <c r="I18" s="29">
        <f>K8</f>
        <v>40000000000</v>
      </c>
      <c r="J18" s="29">
        <f>K9</f>
        <v>342000</v>
      </c>
      <c r="K18" s="30"/>
      <c r="L18" s="31"/>
      <c r="M18" s="26"/>
      <c r="N18" s="22">
        <f ca="1">N19</f>
        <v>365</v>
      </c>
      <c r="O18" s="22"/>
      <c r="P18" s="22"/>
      <c r="Q18" s="22"/>
      <c r="R18" s="22"/>
    </row>
    <row r="19" spans="1:18" x14ac:dyDescent="0.35">
      <c r="A19" s="32">
        <v>1</v>
      </c>
      <c r="B19" s="28">
        <f ca="1">EDATE($B$18,1)</f>
        <v>44420</v>
      </c>
      <c r="C19" s="28">
        <f t="shared" ca="1" si="1"/>
        <v>44420</v>
      </c>
      <c r="D19" s="32">
        <f t="shared" ref="D19:D30" ca="1" si="2">B19-B18</f>
        <v>31</v>
      </c>
      <c r="E19" s="29">
        <f>E18-F19</f>
        <v>3983333.3333333335</v>
      </c>
      <c r="F19" s="29">
        <f t="shared" ref="F19" si="3">$E$18/$D$8</f>
        <v>16666.666666666668</v>
      </c>
      <c r="G19" s="29">
        <f ca="1">IF(N19&lt;&gt;N18,ROUND(SUM(P19*$F$9*E18/N19,Q19*$F$9*E18/N18),2),ROUND(E18*$F$9*D19/N18,2))</f>
        <v>84897.53</v>
      </c>
      <c r="H19" s="29">
        <f ca="1">F19+G19</f>
        <v>101564.19666666667</v>
      </c>
      <c r="I19" s="32"/>
      <c r="J19" s="32"/>
      <c r="K19" s="33" t="str">
        <f>IF(A18=$D$8,XIRR(H$18:H18,C$18:C18),"")</f>
        <v/>
      </c>
      <c r="L19" s="29" t="str">
        <f t="shared" ref="L19:L78" si="4">IF(A18=$D$8,G19+$I$18+$J$18+F19,"")</f>
        <v/>
      </c>
      <c r="M19" s="22">
        <f ca="1">IF(C19="","",YEAR(C19))</f>
        <v>2021</v>
      </c>
      <c r="N19" s="22">
        <f ca="1">IF(OR(M19=2024,M19=2028,M19=2016,M19=2020),366,365)</f>
        <v>365</v>
      </c>
      <c r="O19" s="22">
        <f ca="1">IF(C19="","",DAY(C19))</f>
        <v>12</v>
      </c>
      <c r="P19" s="23">
        <f ca="1">O19-1</f>
        <v>11</v>
      </c>
      <c r="Q19" s="24">
        <f ca="1">D19-P19</f>
        <v>20</v>
      </c>
      <c r="R19" s="22"/>
    </row>
    <row r="20" spans="1:18" x14ac:dyDescent="0.35">
      <c r="A20" s="32">
        <f>IF(A19&lt;$D$8,A19+1,"")</f>
        <v>2</v>
      </c>
      <c r="B20" s="28">
        <f ca="1">EDATE($B$18,2)</f>
        <v>44451</v>
      </c>
      <c r="C20" s="28">
        <f t="shared" ref="C20:C83" ca="1" si="5">IF(B20=$D$10,B20-1,(IF(B20&gt;$D$10," ",B20)))</f>
        <v>44451</v>
      </c>
      <c r="D20" s="32">
        <f t="shared" ca="1" si="2"/>
        <v>31</v>
      </c>
      <c r="E20" s="29">
        <f>E19-F20</f>
        <v>3966666.6633333336</v>
      </c>
      <c r="F20" s="29">
        <f>ROUND($E$18/$D$8,2)</f>
        <v>16666.669999999998</v>
      </c>
      <c r="G20" s="29">
        <f ca="1">IF(A19=$D$8,ROUND(SUM($G$19:G19),2),IF(A20&gt;$F$8,"",IF(N20&lt;&gt;N19,ROUND(SUM(P20*$F$9*E19/N20,Q20*$F$9*E19/N19),2),ROUND(E19*$F$9*D20/N19,2))))</f>
        <v>84543.79</v>
      </c>
      <c r="H20" s="29">
        <f ca="1">IF(A19=$D$8,SUM(H7:H19),IF(A19&gt;$D$8,"",F20+G20))</f>
        <v>101210.45999999999</v>
      </c>
      <c r="I20" s="32"/>
      <c r="J20" s="32"/>
      <c r="K20" s="72" t="str">
        <f>IF(A19=$D$8,XIRR(H$18:H19,C$18:C19),"")</f>
        <v/>
      </c>
      <c r="L20" s="29" t="str">
        <f t="shared" si="4"/>
        <v/>
      </c>
      <c r="M20" s="22">
        <f t="shared" ref="M20:M83" ca="1" si="6">IF(C20="","",YEAR(C20))</f>
        <v>2021</v>
      </c>
      <c r="N20" s="22">
        <f t="shared" ref="N20:N83" ca="1" si="7">IF(OR(M20=2024,M20=2028,M20=2016,M20=2020),366,365)</f>
        <v>365</v>
      </c>
      <c r="O20" s="22">
        <f t="shared" ref="O20:O83" ca="1" si="8">IF(C20="","",DAY(C20))</f>
        <v>12</v>
      </c>
      <c r="P20" s="23">
        <f t="shared" ref="P20:P83" ca="1" si="9">O20-1</f>
        <v>11</v>
      </c>
      <c r="Q20" s="24">
        <f t="shared" ref="Q20:Q83" ca="1" si="10">D20-P20</f>
        <v>20</v>
      </c>
      <c r="R20" s="22"/>
    </row>
    <row r="21" spans="1:18" x14ac:dyDescent="0.35">
      <c r="A21" s="32">
        <f t="shared" ref="A21:A84" si="11">IF(A20&lt;$D$8,A20+1,"")</f>
        <v>3</v>
      </c>
      <c r="B21" s="28">
        <f ca="1">EDATE($B$18,3)</f>
        <v>44481</v>
      </c>
      <c r="C21" s="28">
        <f t="shared" ca="1" si="5"/>
        <v>44481</v>
      </c>
      <c r="D21" s="32">
        <f t="shared" ca="1" si="2"/>
        <v>30</v>
      </c>
      <c r="E21" s="29">
        <f t="shared" ref="E21:E30" si="12">E20-F21</f>
        <v>3949999.9933333336</v>
      </c>
      <c r="F21" s="29">
        <f>IF(AND(A20="",A22=""),"",IF(A21="",ROUND(SUM($F$19:F20),2),IF(A21=$D$8,$E$18-ROUND(SUM($F$19:F20),2),ROUND($E$18/$D$8,2))))</f>
        <v>16666.669999999998</v>
      </c>
      <c r="G21" s="29">
        <f ca="1">IF(A20=$D$8,ROUND(SUM($G$19:G20),2),IF(A21&gt;$F$8,"",IF(N21&lt;&gt;N20,ROUND(SUM(P21*$F$9*E20/N21,Q21*$F$9*E20/N20),2),ROUND(E20*$F$9*D21/N20,2))))</f>
        <v>81474.25</v>
      </c>
      <c r="H21" s="29">
        <f ca="1">IF(A20=$D$8,SUM(H8:H20),IF(A20&gt;$D$8,"",F21+G21))</f>
        <v>98140.92</v>
      </c>
      <c r="I21" s="32"/>
      <c r="J21" s="32"/>
      <c r="K21" s="72" t="str">
        <f>IF(A20=$D$8,XIRR(H$18:H20,C$18:C20),"")</f>
        <v/>
      </c>
      <c r="L21" s="29" t="str">
        <f t="shared" si="4"/>
        <v/>
      </c>
      <c r="M21" s="22">
        <f t="shared" ca="1" si="6"/>
        <v>2021</v>
      </c>
      <c r="N21" s="22">
        <f t="shared" ca="1" si="7"/>
        <v>365</v>
      </c>
      <c r="O21" s="22">
        <f t="shared" ca="1" si="8"/>
        <v>12</v>
      </c>
      <c r="P21" s="23">
        <f t="shared" ca="1" si="9"/>
        <v>11</v>
      </c>
      <c r="Q21" s="24">
        <f t="shared" ca="1" si="10"/>
        <v>19</v>
      </c>
      <c r="R21" s="22"/>
    </row>
    <row r="22" spans="1:18" x14ac:dyDescent="0.35">
      <c r="A22" s="32">
        <f t="shared" si="11"/>
        <v>4</v>
      </c>
      <c r="B22" s="28">
        <f ca="1">EDATE($B$18,4)</f>
        <v>44512</v>
      </c>
      <c r="C22" s="28">
        <f t="shared" ca="1" si="5"/>
        <v>44512</v>
      </c>
      <c r="D22" s="32">
        <f t="shared" ca="1" si="2"/>
        <v>31</v>
      </c>
      <c r="E22" s="29">
        <f t="shared" si="12"/>
        <v>3933333.3233333337</v>
      </c>
      <c r="F22" s="29">
        <f>IF(AND(A21="",A23=""),"",IF(A22="",ROUND(SUM($F$19:F21),2),IF(A22=$D$8,$E$18-ROUND(SUM($F$19:F21),2),ROUND($E$18/$D$8,2))))</f>
        <v>16666.669999999998</v>
      </c>
      <c r="G22" s="29">
        <f ca="1">IF(A21=$D$8,ROUND(SUM($G$19:G21),2),IF(A22&gt;$F$8,"",IF(N22&lt;&gt;N21,ROUND(SUM(P22*$F$9*E21/N22,Q22*$F$9*E21/N21),2),ROUND(E21*$F$9*D22/N21,2))))</f>
        <v>83836.31</v>
      </c>
      <c r="H22" s="29">
        <f ca="1">IF(A21=$D$8,SUM(H9:H21),IF(A21&gt;$D$8,"",F22+G22))</f>
        <v>100502.98</v>
      </c>
      <c r="I22" s="29" t="str">
        <f>IF(A21=$D$8,$I$18,"")</f>
        <v/>
      </c>
      <c r="J22" s="29"/>
      <c r="K22" s="72" t="str">
        <f>IF(A21=$D$8,XIRR(H$18:H21,C$18:C21),"")</f>
        <v/>
      </c>
      <c r="L22" s="29" t="str">
        <f t="shared" si="4"/>
        <v/>
      </c>
      <c r="M22" s="22">
        <f t="shared" ca="1" si="6"/>
        <v>2021</v>
      </c>
      <c r="N22" s="22">
        <f t="shared" ca="1" si="7"/>
        <v>365</v>
      </c>
      <c r="O22" s="22">
        <f t="shared" ca="1" si="8"/>
        <v>12</v>
      </c>
      <c r="P22" s="23">
        <f t="shared" ca="1" si="9"/>
        <v>11</v>
      </c>
      <c r="Q22" s="24">
        <f t="shared" ca="1" si="10"/>
        <v>20</v>
      </c>
      <c r="R22" s="22"/>
    </row>
    <row r="23" spans="1:18" x14ac:dyDescent="0.35">
      <c r="A23" s="32">
        <f t="shared" si="11"/>
        <v>5</v>
      </c>
      <c r="B23" s="28">
        <f ca="1">EDATE($B$18,5)</f>
        <v>44542</v>
      </c>
      <c r="C23" s="28">
        <f t="shared" ca="1" si="5"/>
        <v>44542</v>
      </c>
      <c r="D23" s="32">
        <f t="shared" ca="1" si="2"/>
        <v>30</v>
      </c>
      <c r="E23" s="29">
        <f t="shared" si="12"/>
        <v>3916666.6533333338</v>
      </c>
      <c r="F23" s="29">
        <f>IF(AND(A22="",A24=""),"",IF(A23="",ROUND(SUM($F$19:F22),2),IF(A23=$D$8,$E$18-ROUND(SUM($F$19:F22),2),ROUND($E$18/$D$8,2))))</f>
        <v>16666.669999999998</v>
      </c>
      <c r="G23" s="29">
        <f ca="1">IF(A22=$D$8,ROUND(SUM($G$19:G22),2),IF(A23&gt;$F$8,"",IF(N23&lt;&gt;N22,ROUND(SUM(P23*$F$9*E22/N23,Q23*$F$9*E22/N22),2),ROUND(E22*$F$9*D23/N22,2))))</f>
        <v>80789.59</v>
      </c>
      <c r="H23" s="29">
        <f ca="1">IF(A22=$D$8,SUM(H10:H22),IF(A22&gt;$D$8,"",F23+G23))</f>
        <v>97456.26</v>
      </c>
      <c r="I23" s="29" t="str">
        <f>IF(A22=$D$8,$I$18,"")</f>
        <v/>
      </c>
      <c r="J23" s="29"/>
      <c r="K23" s="72" t="str">
        <f>IF(A22=$D$8,XIRR(H$18:H22,C$18:C22),"")</f>
        <v/>
      </c>
      <c r="L23" s="29" t="str">
        <f t="shared" si="4"/>
        <v/>
      </c>
      <c r="M23" s="22">
        <f t="shared" ca="1" si="6"/>
        <v>2021</v>
      </c>
      <c r="N23" s="22">
        <f t="shared" ca="1" si="7"/>
        <v>365</v>
      </c>
      <c r="O23" s="22">
        <f t="shared" ca="1" si="8"/>
        <v>12</v>
      </c>
      <c r="P23" s="23">
        <f t="shared" ca="1" si="9"/>
        <v>11</v>
      </c>
      <c r="Q23" s="24">
        <f t="shared" ca="1" si="10"/>
        <v>19</v>
      </c>
      <c r="R23" s="22"/>
    </row>
    <row r="24" spans="1:18" x14ac:dyDescent="0.35">
      <c r="A24" s="32">
        <f t="shared" si="11"/>
        <v>6</v>
      </c>
      <c r="B24" s="28">
        <f ca="1">EDATE($B$18,6)</f>
        <v>44573</v>
      </c>
      <c r="C24" s="28">
        <f t="shared" ca="1" si="5"/>
        <v>44573</v>
      </c>
      <c r="D24" s="32">
        <f t="shared" ca="1" si="2"/>
        <v>31</v>
      </c>
      <c r="E24" s="29">
        <f t="shared" si="12"/>
        <v>3899999.9833333339</v>
      </c>
      <c r="F24" s="29">
        <f>IF(AND(A23="",A25=""),"",IF(A24="",ROUND(SUM($F$19:F23),2),IF(A24=$D$8,$E$18-ROUND(SUM($F$19:F23),2),ROUND($E$18/$D$8,2))))</f>
        <v>16666.669999999998</v>
      </c>
      <c r="G24" s="29">
        <f ca="1">IF(A23=$D$8,ROUND(SUM($G$19:G23),2),IF(A24&gt;$F$8,"",IF(N24&lt;&gt;N23,ROUND(SUM(P24*$F$9*E23/N24,Q24*$F$9*E23/N23),2),ROUND(E23*$F$9*D24/N23,2))))</f>
        <v>83128.84</v>
      </c>
      <c r="H24" s="29">
        <f t="shared" ref="H24:H30" ca="1" si="13">IF(A23=$D$8,SUM(H12:H23),IF(A23&gt;$D$8,"",F24+G24))</f>
        <v>99795.51</v>
      </c>
      <c r="I24" s="29" t="str">
        <f>IF(A23=$D$8,$I$18,"")</f>
        <v/>
      </c>
      <c r="J24" s="29"/>
      <c r="K24" s="72" t="str">
        <f>IF(A23=$D$8,XIRR(H$18:H23,C$18:C23),"")</f>
        <v/>
      </c>
      <c r="L24" s="29" t="str">
        <f t="shared" si="4"/>
        <v/>
      </c>
      <c r="M24" s="22">
        <f t="shared" ca="1" si="6"/>
        <v>2022</v>
      </c>
      <c r="N24" s="22">
        <f t="shared" ca="1" si="7"/>
        <v>365</v>
      </c>
      <c r="O24" s="22">
        <f t="shared" ca="1" si="8"/>
        <v>12</v>
      </c>
      <c r="P24" s="23">
        <f t="shared" ca="1" si="9"/>
        <v>11</v>
      </c>
      <c r="Q24" s="24">
        <f t="shared" ca="1" si="10"/>
        <v>20</v>
      </c>
      <c r="R24" s="22"/>
    </row>
    <row r="25" spans="1:18" x14ac:dyDescent="0.35">
      <c r="A25" s="32">
        <f t="shared" si="11"/>
        <v>7</v>
      </c>
      <c r="B25" s="28">
        <f ca="1">EDATE($B$18,7)</f>
        <v>44604</v>
      </c>
      <c r="C25" s="28">
        <f t="shared" ca="1" si="5"/>
        <v>44604</v>
      </c>
      <c r="D25" s="32">
        <f t="shared" ca="1" si="2"/>
        <v>31</v>
      </c>
      <c r="E25" s="29">
        <f t="shared" si="12"/>
        <v>3883333.3133333339</v>
      </c>
      <c r="F25" s="29">
        <f>IF(AND(A24="",A26=""),"",IF(A25="",ROUND(SUM($F$19:F24),2),IF(A25=$D$8,$E$18-ROUND(SUM($F$19:F24),2),ROUND($E$18/$D$8,2))))</f>
        <v>16666.669999999998</v>
      </c>
      <c r="G25" s="29">
        <f ca="1">IF(A24=$D$8,ROUND(SUM($G$19:G24),2),IF(A25&gt;$F$8,"",IF(N25&lt;&gt;N24,ROUND(SUM(P25*$F$9*E24/N25,Q25*$F$9*E24/N24),2),ROUND(E24*$F$9*D25/N24,2))))</f>
        <v>82775.100000000006</v>
      </c>
      <c r="H25" s="29">
        <f t="shared" ca="1" si="13"/>
        <v>99441.77</v>
      </c>
      <c r="I25" s="29"/>
      <c r="J25" s="29"/>
      <c r="K25" s="72" t="str">
        <f>IF(A24=$D$8,XIRR(H$18:H24,C$18:C24),"")</f>
        <v/>
      </c>
      <c r="L25" s="29" t="str">
        <f t="shared" si="4"/>
        <v/>
      </c>
      <c r="M25" s="22">
        <f t="shared" ca="1" si="6"/>
        <v>2022</v>
      </c>
      <c r="N25" s="22">
        <f t="shared" ca="1" si="7"/>
        <v>365</v>
      </c>
      <c r="O25" s="22">
        <f t="shared" ca="1" si="8"/>
        <v>12</v>
      </c>
      <c r="P25" s="23">
        <f t="shared" ca="1" si="9"/>
        <v>11</v>
      </c>
      <c r="Q25" s="24">
        <f t="shared" ca="1" si="10"/>
        <v>20</v>
      </c>
      <c r="R25" s="22"/>
    </row>
    <row r="26" spans="1:18" x14ac:dyDescent="0.35">
      <c r="A26" s="32">
        <f t="shared" si="11"/>
        <v>8</v>
      </c>
      <c r="B26" s="28">
        <f ca="1">EDATE($B$18,8)</f>
        <v>44632</v>
      </c>
      <c r="C26" s="28">
        <f t="shared" ca="1" si="5"/>
        <v>44632</v>
      </c>
      <c r="D26" s="32">
        <f t="shared" ca="1" si="2"/>
        <v>28</v>
      </c>
      <c r="E26" s="29">
        <f t="shared" si="12"/>
        <v>3866666.643333334</v>
      </c>
      <c r="F26" s="29">
        <f>IF(AND(A25="",A27=""),"",IF(A26="",ROUND(SUM($F$19:F25),2),IF(A26=$D$8,$E$18-ROUND(SUM($F$19:F25),2),ROUND($E$18/$D$8,2))))</f>
        <v>16666.669999999998</v>
      </c>
      <c r="G26" s="29">
        <f ca="1">IF(A25=$D$8,ROUND(SUM($G$19:G25),2),IF(A26&gt;$F$8,"",IF(N26&lt;&gt;N25,ROUND(SUM(P26*$F$9*E25/N26,Q26*$F$9*E25/N25),2),ROUND(E25*$F$9*D26/N25,2))))</f>
        <v>74445.100000000006</v>
      </c>
      <c r="H26" s="29">
        <f t="shared" ca="1" si="13"/>
        <v>91111.77</v>
      </c>
      <c r="I26" s="29" t="str">
        <f t="shared" ref="I26:I89" si="14">IF(A25=$D$8,$I$18,"")</f>
        <v/>
      </c>
      <c r="J26" s="29"/>
      <c r="K26" s="72" t="str">
        <f>IF(A25=$D$8,XIRR(H$18:H25,C$18:C25),"")</f>
        <v/>
      </c>
      <c r="L26" s="29" t="str">
        <f t="shared" si="4"/>
        <v/>
      </c>
      <c r="M26" s="22">
        <f t="shared" ca="1" si="6"/>
        <v>2022</v>
      </c>
      <c r="N26" s="22">
        <f t="shared" ca="1" si="7"/>
        <v>365</v>
      </c>
      <c r="O26" s="22">
        <f t="shared" ca="1" si="8"/>
        <v>12</v>
      </c>
      <c r="P26" s="23">
        <f t="shared" ca="1" si="9"/>
        <v>11</v>
      </c>
      <c r="Q26" s="24">
        <f t="shared" ca="1" si="10"/>
        <v>17</v>
      </c>
      <c r="R26" s="22"/>
    </row>
    <row r="27" spans="1:18" x14ac:dyDescent="0.35">
      <c r="A27" s="32">
        <f t="shared" si="11"/>
        <v>9</v>
      </c>
      <c r="B27" s="28">
        <f ca="1">EDATE($B$18,9)</f>
        <v>44663</v>
      </c>
      <c r="C27" s="28">
        <f t="shared" ca="1" si="5"/>
        <v>44663</v>
      </c>
      <c r="D27" s="32">
        <f t="shared" ca="1" si="2"/>
        <v>31</v>
      </c>
      <c r="E27" s="29">
        <f t="shared" si="12"/>
        <v>3849999.9733333341</v>
      </c>
      <c r="F27" s="29">
        <f>IF(AND(A26="",A28=""),"",IF(A27="",ROUND(SUM($F$19:F26),2),IF(A27=$D$8,$E$18-ROUND(SUM($F$19:F26),2),ROUND($E$18/$D$8,2))))</f>
        <v>16666.669999999998</v>
      </c>
      <c r="G27" s="29">
        <f ca="1">IF(A26=$D$8,ROUND(SUM($G$19:G26),2),IF(A27&gt;$F$8,"",IF(N27&lt;&gt;N26,ROUND(SUM(P27*$F$9*E26/N27,Q27*$F$9*E26/N26),2),ROUND(E26*$F$9*D27/N26,2))))</f>
        <v>82067.62</v>
      </c>
      <c r="H27" s="29">
        <f t="shared" ca="1" si="13"/>
        <v>98734.29</v>
      </c>
      <c r="I27" s="29" t="str">
        <f t="shared" si="14"/>
        <v/>
      </c>
      <c r="J27" s="29"/>
      <c r="K27" s="72" t="str">
        <f>IF(A26=$D$8,XIRR(H$18:H26,C$18:C26),"")</f>
        <v/>
      </c>
      <c r="L27" s="29" t="str">
        <f t="shared" si="4"/>
        <v/>
      </c>
      <c r="M27" s="22">
        <f t="shared" ca="1" si="6"/>
        <v>2022</v>
      </c>
      <c r="N27" s="22">
        <f t="shared" ca="1" si="7"/>
        <v>365</v>
      </c>
      <c r="O27" s="22">
        <f t="shared" ca="1" si="8"/>
        <v>12</v>
      </c>
      <c r="P27" s="23">
        <f t="shared" ca="1" si="9"/>
        <v>11</v>
      </c>
      <c r="Q27" s="24">
        <f t="shared" ca="1" si="10"/>
        <v>20</v>
      </c>
      <c r="R27" s="22"/>
    </row>
    <row r="28" spans="1:18" x14ac:dyDescent="0.35">
      <c r="A28" s="32">
        <f t="shared" si="11"/>
        <v>10</v>
      </c>
      <c r="B28" s="28">
        <f ca="1">EDATE($B$18,10)</f>
        <v>44693</v>
      </c>
      <c r="C28" s="28">
        <f t="shared" ca="1" si="5"/>
        <v>44693</v>
      </c>
      <c r="D28" s="32">
        <f t="shared" ca="1" si="2"/>
        <v>30</v>
      </c>
      <c r="E28" s="29">
        <f t="shared" si="12"/>
        <v>3833333.3033333342</v>
      </c>
      <c r="F28" s="29">
        <f>IF(AND(A27="",A29=""),"",IF(A28="",ROUND(SUM($F$19:F27),2),IF(A28=$D$8,$E$18-ROUND(SUM($F$19:F27),2),ROUND($E$18/$D$8,2))))</f>
        <v>16666.669999999998</v>
      </c>
      <c r="G28" s="29">
        <f ca="1">IF(A27=$D$8,ROUND(SUM($G$19:G27),2),IF(A28&gt;$F$8,"",IF(N28&lt;&gt;N27,ROUND(SUM(P28*$F$9*E27/N28,Q28*$F$9*E27/N27),2),ROUND(E27*$F$9*D28/N27,2))))</f>
        <v>79077.94</v>
      </c>
      <c r="H28" s="29">
        <f t="shared" ca="1" si="13"/>
        <v>95744.61</v>
      </c>
      <c r="I28" s="29" t="str">
        <f t="shared" si="14"/>
        <v/>
      </c>
      <c r="J28" s="29"/>
      <c r="K28" s="72" t="str">
        <f>IF(A27=$D$8,XIRR(H$18:H27,C$18:C27),"")</f>
        <v/>
      </c>
      <c r="L28" s="29" t="str">
        <f t="shared" si="4"/>
        <v/>
      </c>
      <c r="M28" s="22">
        <f t="shared" ca="1" si="6"/>
        <v>2022</v>
      </c>
      <c r="N28" s="22">
        <f t="shared" ca="1" si="7"/>
        <v>365</v>
      </c>
      <c r="O28" s="22">
        <f t="shared" ca="1" si="8"/>
        <v>12</v>
      </c>
      <c r="P28" s="23">
        <f t="shared" ca="1" si="9"/>
        <v>11</v>
      </c>
      <c r="Q28" s="24">
        <f t="shared" ca="1" si="10"/>
        <v>19</v>
      </c>
      <c r="R28" s="22"/>
    </row>
    <row r="29" spans="1:18" x14ac:dyDescent="0.35">
      <c r="A29" s="32">
        <f t="shared" si="11"/>
        <v>11</v>
      </c>
      <c r="B29" s="28">
        <f ca="1">EDATE($B$18,11)</f>
        <v>44724</v>
      </c>
      <c r="C29" s="28">
        <f t="shared" ca="1" si="5"/>
        <v>44724</v>
      </c>
      <c r="D29" s="32">
        <f t="shared" ca="1" si="2"/>
        <v>31</v>
      </c>
      <c r="E29" s="29">
        <f t="shared" si="12"/>
        <v>3816666.6333333342</v>
      </c>
      <c r="F29" s="29">
        <f>IF(AND(A28="",A30=""),"",IF(A29="",ROUND(SUM($F$19:F28),2),IF(A29=$D$8,$E$18-ROUND(SUM($F$19:F28),2),ROUND($E$18/$D$8,2))))</f>
        <v>16666.669999999998</v>
      </c>
      <c r="G29" s="29">
        <f ca="1">IF(A28=$D$8,ROUND(SUM($G$19:G28),2),IF(A29&gt;$F$8,"",IF(N29&lt;&gt;N28,ROUND(SUM(P29*$F$9*E28/N29,Q29*$F$9*E28/N28),2),ROUND(E28*$F$9*D29/N28,2))))</f>
        <v>81360.14</v>
      </c>
      <c r="H29" s="29">
        <f t="shared" ca="1" si="13"/>
        <v>98026.81</v>
      </c>
      <c r="I29" s="29" t="str">
        <f t="shared" si="14"/>
        <v/>
      </c>
      <c r="J29" s="29"/>
      <c r="K29" s="72" t="str">
        <f>IF(A28=$D$8,XIRR(H$18:H28,C$18:C28),"")</f>
        <v/>
      </c>
      <c r="L29" s="29" t="str">
        <f t="shared" si="4"/>
        <v/>
      </c>
      <c r="M29" s="22">
        <f t="shared" ca="1" si="6"/>
        <v>2022</v>
      </c>
      <c r="N29" s="22">
        <f t="shared" ca="1" si="7"/>
        <v>365</v>
      </c>
      <c r="O29" s="22">
        <f t="shared" ca="1" si="8"/>
        <v>12</v>
      </c>
      <c r="P29" s="23">
        <f t="shared" ca="1" si="9"/>
        <v>11</v>
      </c>
      <c r="Q29" s="24">
        <f t="shared" ca="1" si="10"/>
        <v>20</v>
      </c>
      <c r="R29" s="22"/>
    </row>
    <row r="30" spans="1:18" x14ac:dyDescent="0.35">
      <c r="A30" s="32">
        <f t="shared" si="11"/>
        <v>12</v>
      </c>
      <c r="B30" s="28">
        <f ca="1">EDATE($B$18,12)</f>
        <v>44754</v>
      </c>
      <c r="C30" s="28">
        <f t="shared" ca="1" si="5"/>
        <v>44754</v>
      </c>
      <c r="D30" s="32">
        <f t="shared" ca="1" si="2"/>
        <v>30</v>
      </c>
      <c r="E30" s="29">
        <f t="shared" si="12"/>
        <v>3799999.9633333343</v>
      </c>
      <c r="F30" s="29">
        <f>IF(AND(A29="",A31=""),"",IF(A30="",ROUND(SUM($F$19:F29),2),IF(A30=$D$8,$E$18-ROUND(SUM($F$19:F29),2),ROUND($E$18/$D$8,2))))</f>
        <v>16666.669999999998</v>
      </c>
      <c r="G30" s="29">
        <f ca="1">IF(A29=$D$8,ROUND(SUM($G$19:G29),2),IF(A30&gt;$F$8,"",IF(N30&lt;&gt;N29,ROUND(SUM(P30*$F$9*E29/N30,Q30*$F$9*E29/N29),2),ROUND(E29*$F$9*D30/N29,2))))</f>
        <v>78393.289999999994</v>
      </c>
      <c r="H30" s="29">
        <f t="shared" ca="1" si="13"/>
        <v>95059.959999999992</v>
      </c>
      <c r="I30" s="29" t="str">
        <f t="shared" si="14"/>
        <v/>
      </c>
      <c r="J30" s="29"/>
      <c r="K30" s="72" t="str">
        <f>IF(A29=$D$8,XIRR(H$18:H29,C$18:C29),"")</f>
        <v/>
      </c>
      <c r="L30" s="29" t="str">
        <f t="shared" si="4"/>
        <v/>
      </c>
      <c r="M30" s="22">
        <f t="shared" ca="1" si="6"/>
        <v>2022</v>
      </c>
      <c r="N30" s="22">
        <f t="shared" ca="1" si="7"/>
        <v>365</v>
      </c>
      <c r="O30" s="22">
        <f t="shared" ca="1" si="8"/>
        <v>12</v>
      </c>
      <c r="P30" s="23">
        <f t="shared" ca="1" si="9"/>
        <v>11</v>
      </c>
      <c r="Q30" s="24">
        <f t="shared" ca="1" si="10"/>
        <v>19</v>
      </c>
      <c r="R30" s="22"/>
    </row>
    <row r="31" spans="1:18" x14ac:dyDescent="0.35">
      <c r="A31" s="32">
        <f t="shared" si="11"/>
        <v>13</v>
      </c>
      <c r="B31" s="28">
        <f ca="1">EDATE($B$18,13)</f>
        <v>44785</v>
      </c>
      <c r="C31" s="28">
        <f t="shared" ca="1" si="5"/>
        <v>44785</v>
      </c>
      <c r="D31" s="32">
        <f ca="1">IF(A31&gt;$D$8,"",C31-C30)</f>
        <v>31</v>
      </c>
      <c r="E31" s="29">
        <f>IF(A31&gt;$D$8,"",E30-F31)</f>
        <v>3783333.2933333344</v>
      </c>
      <c r="F31" s="29">
        <f>IF(AND(A30="",A32=""),"",IF(A31="",ROUND(SUM($F$19:F30),2),IF(A31=$D$8,$E$18-ROUND(SUM($F$19:F30),2),ROUND($E$18/$D$8,2))))</f>
        <v>16666.669999999998</v>
      </c>
      <c r="G31" s="29">
        <f ca="1">IF(A30=$D$8,ROUND(SUM($G$19:G30),2),IF(A31&gt;$F$8,"",IF(N31&lt;&gt;N30,ROUND(SUM(P31*$F$9*E30/N31,Q31*$F$9*E30/N30),2),ROUND(E30*$F$9*D31/N30,2))))</f>
        <v>80652.66</v>
      </c>
      <c r="H31" s="29">
        <f ca="1">IF(A30=$D$8,SUM(H19:H30),IF(A30&gt;$D$8,"",F31+G31))</f>
        <v>97319.33</v>
      </c>
      <c r="I31" s="29" t="str">
        <f t="shared" si="14"/>
        <v/>
      </c>
      <c r="J31" s="29"/>
      <c r="K31" s="72" t="str">
        <f>IF(A30=$D$8,XIRR(H$18:H30,C$18:C30),"")</f>
        <v/>
      </c>
      <c r="L31" s="29" t="str">
        <f t="shared" si="4"/>
        <v/>
      </c>
      <c r="M31" s="22">
        <f t="shared" ca="1" si="6"/>
        <v>2022</v>
      </c>
      <c r="N31" s="22">
        <f t="shared" ca="1" si="7"/>
        <v>365</v>
      </c>
      <c r="O31" s="22">
        <f t="shared" ca="1" si="8"/>
        <v>12</v>
      </c>
      <c r="P31" s="23">
        <f t="shared" ca="1" si="9"/>
        <v>11</v>
      </c>
      <c r="Q31" s="24">
        <f t="shared" ca="1" si="10"/>
        <v>20</v>
      </c>
      <c r="R31" s="22"/>
    </row>
    <row r="32" spans="1:18" x14ac:dyDescent="0.35">
      <c r="A32" s="32">
        <f t="shared" si="11"/>
        <v>14</v>
      </c>
      <c r="B32" s="28">
        <f ca="1">EDATE($B$18,14)</f>
        <v>44816</v>
      </c>
      <c r="C32" s="28">
        <f t="shared" ca="1" si="5"/>
        <v>44816</v>
      </c>
      <c r="D32" s="32">
        <f t="shared" ref="D32:D95" ca="1" si="15">IF(A32&gt;$D$8,"",C32-C31)</f>
        <v>31</v>
      </c>
      <c r="E32" s="29">
        <f t="shared" ref="E32:E95" si="16">IF(A32&gt;$D$8,"",E31-F32)</f>
        <v>3766666.6233333345</v>
      </c>
      <c r="F32" s="29">
        <f>IF(AND(A31="",A33=""),"",IF(A32="",ROUND(SUM($F$19:F31),2),IF(A32=$D$8,$E$18-ROUND(SUM($F$19:F31),2),ROUND($E$18/$D$8,2))))</f>
        <v>16666.669999999998</v>
      </c>
      <c r="G32" s="29">
        <f ca="1">IF(A31=$D$8,ROUND(SUM($G$19:G31),2),IF(A32&gt;$F$8,"",IF(N32&lt;&gt;N31,ROUND(SUM(P32*$F$9*E31/N32,Q32*$F$9*E31/N31),2),ROUND(E31*$F$9*D32/N31,2))))</f>
        <v>80298.92</v>
      </c>
      <c r="H32" s="29">
        <f ca="1">IF(A31=$D$8,SUM($H$19:H31),IF(A31&gt;$D$8,"",F32+G32))</f>
        <v>96965.59</v>
      </c>
      <c r="I32" s="29" t="str">
        <f t="shared" si="14"/>
        <v/>
      </c>
      <c r="J32" s="29"/>
      <c r="K32" s="72" t="str">
        <f>IF(A31=$D$8,XIRR(H$18:H31,C$18:C31),"")</f>
        <v/>
      </c>
      <c r="L32" s="29" t="str">
        <f t="shared" si="4"/>
        <v/>
      </c>
      <c r="M32" s="22">
        <f t="shared" ca="1" si="6"/>
        <v>2022</v>
      </c>
      <c r="N32" s="22">
        <f t="shared" ca="1" si="7"/>
        <v>365</v>
      </c>
      <c r="O32" s="22">
        <f t="shared" ca="1" si="8"/>
        <v>12</v>
      </c>
      <c r="P32" s="23">
        <f t="shared" ca="1" si="9"/>
        <v>11</v>
      </c>
      <c r="Q32" s="24">
        <f t="shared" ca="1" si="10"/>
        <v>20</v>
      </c>
      <c r="R32" s="22"/>
    </row>
    <row r="33" spans="1:18" x14ac:dyDescent="0.35">
      <c r="A33" s="32">
        <f t="shared" si="11"/>
        <v>15</v>
      </c>
      <c r="B33" s="28">
        <f ca="1">EDATE($B$18,15)</f>
        <v>44846</v>
      </c>
      <c r="C33" s="28">
        <f t="shared" ca="1" si="5"/>
        <v>44846</v>
      </c>
      <c r="D33" s="32">
        <f t="shared" ca="1" si="15"/>
        <v>30</v>
      </c>
      <c r="E33" s="29">
        <f t="shared" si="16"/>
        <v>3749999.9533333345</v>
      </c>
      <c r="F33" s="29">
        <f>IF(AND(A32="",A34=""),"",IF(A33="",ROUND(SUM($F$19:F32),2),IF(A33=$D$8,$E$18-ROUND(SUM($F$19:F32),2),ROUND($E$18/$D$8,2))))</f>
        <v>16666.669999999998</v>
      </c>
      <c r="G33" s="29">
        <f ca="1">IF(A32=$D$8,ROUND(SUM($G$19:G32),2),IF(A33&gt;$F$8,"",IF(N33&lt;&gt;N32,ROUND(SUM(P33*$F$9*E32/N33,Q33*$F$9*E32/N32),2),ROUND(E32*$F$9*D33/N32,2))))</f>
        <v>77366.3</v>
      </c>
      <c r="H33" s="29">
        <f ca="1">IF(A32=$D$8,SUM($H$19:H32),IF(A32&gt;$D$8,"",F33+G33))</f>
        <v>94032.97</v>
      </c>
      <c r="I33" s="29" t="str">
        <f t="shared" si="14"/>
        <v/>
      </c>
      <c r="J33" s="29"/>
      <c r="K33" s="72" t="str">
        <f>IF(A32=$D$8,XIRR(H$18:H32,C$18:C32),"")</f>
        <v/>
      </c>
      <c r="L33" s="29" t="str">
        <f t="shared" si="4"/>
        <v/>
      </c>
      <c r="M33" s="22">
        <f t="shared" ca="1" si="6"/>
        <v>2022</v>
      </c>
      <c r="N33" s="22">
        <f t="shared" ca="1" si="7"/>
        <v>365</v>
      </c>
      <c r="O33" s="22">
        <f t="shared" ca="1" si="8"/>
        <v>12</v>
      </c>
      <c r="P33" s="23">
        <f t="shared" ca="1" si="9"/>
        <v>11</v>
      </c>
      <c r="Q33" s="24">
        <f t="shared" ca="1" si="10"/>
        <v>19</v>
      </c>
      <c r="R33" s="22"/>
    </row>
    <row r="34" spans="1:18" x14ac:dyDescent="0.35">
      <c r="A34" s="32">
        <f t="shared" si="11"/>
        <v>16</v>
      </c>
      <c r="B34" s="28">
        <f ca="1">EDATE($B$18,16)</f>
        <v>44877</v>
      </c>
      <c r="C34" s="28">
        <f t="shared" ca="1" si="5"/>
        <v>44877</v>
      </c>
      <c r="D34" s="32">
        <f t="shared" ca="1" si="15"/>
        <v>31</v>
      </c>
      <c r="E34" s="29">
        <f t="shared" si="16"/>
        <v>3733333.2833333346</v>
      </c>
      <c r="F34" s="29">
        <f>IF(AND(A33="",A35=""),"",IF(A34="",ROUND(SUM($F$19:F33),2),IF(A34=$D$8,$E$18-ROUND(SUM($F$19:F33),2),ROUND($E$18/$D$8,2))))</f>
        <v>16666.669999999998</v>
      </c>
      <c r="G34" s="29">
        <f ca="1">IF(A33=$D$8,ROUND(SUM($G$19:G33),2),IF(A34&gt;$F$8,"",IF(N34&lt;&gt;N33,ROUND(SUM(P34*$F$9*E33/N34,Q34*$F$9*E33/N33),2),ROUND(E33*$F$9*D34/N33,2))))</f>
        <v>79591.44</v>
      </c>
      <c r="H34" s="29">
        <f ca="1">IF(A33=$D$8,SUM($H$19:H33),IF(A33&gt;$D$8,"",F34+G34))</f>
        <v>96258.11</v>
      </c>
      <c r="I34" s="29" t="str">
        <f t="shared" si="14"/>
        <v/>
      </c>
      <c r="J34" s="29"/>
      <c r="K34" s="72" t="str">
        <f>IF(A33=$D$8,XIRR(H$18:H33,C$18:C33),"")</f>
        <v/>
      </c>
      <c r="L34" s="29" t="str">
        <f t="shared" si="4"/>
        <v/>
      </c>
      <c r="M34" s="22">
        <f t="shared" ca="1" si="6"/>
        <v>2022</v>
      </c>
      <c r="N34" s="22">
        <f t="shared" ca="1" si="7"/>
        <v>365</v>
      </c>
      <c r="O34" s="22">
        <f t="shared" ca="1" si="8"/>
        <v>12</v>
      </c>
      <c r="P34" s="23">
        <f t="shared" ca="1" si="9"/>
        <v>11</v>
      </c>
      <c r="Q34" s="24">
        <f t="shared" ca="1" si="10"/>
        <v>20</v>
      </c>
      <c r="R34" s="22"/>
    </row>
    <row r="35" spans="1:18" x14ac:dyDescent="0.35">
      <c r="A35" s="32">
        <f t="shared" si="11"/>
        <v>17</v>
      </c>
      <c r="B35" s="28">
        <f ca="1">EDATE($B$18,17)</f>
        <v>44907</v>
      </c>
      <c r="C35" s="28">
        <f t="shared" ca="1" si="5"/>
        <v>44907</v>
      </c>
      <c r="D35" s="32">
        <f t="shared" ca="1" si="15"/>
        <v>30</v>
      </c>
      <c r="E35" s="29">
        <f t="shared" si="16"/>
        <v>3716666.6133333347</v>
      </c>
      <c r="F35" s="29">
        <f>IF(AND(A34="",A36=""),"",IF(A35="",ROUND(SUM($F$19:F34),2),IF(A35=$D$8,$E$18-ROUND(SUM($F$19:F34),2),ROUND($E$18/$D$8,2))))</f>
        <v>16666.669999999998</v>
      </c>
      <c r="G35" s="29">
        <f ca="1">IF(A34=$D$8,ROUND(SUM($G$19:G34),2),IF(A35&gt;$F$8,"",IF(N35&lt;&gt;N34,ROUND(SUM(P35*$F$9*E34/N35,Q35*$F$9*E34/N34),2),ROUND(E34*$F$9*D35/N34,2))))</f>
        <v>76681.64</v>
      </c>
      <c r="H35" s="29">
        <f ca="1">IF(A34=$D$8,SUM($H$19:H34),IF(A34&gt;$D$8,"",F35+G35))</f>
        <v>93348.31</v>
      </c>
      <c r="I35" s="29" t="str">
        <f t="shared" si="14"/>
        <v/>
      </c>
      <c r="J35" s="29"/>
      <c r="K35" s="72" t="str">
        <f>IF(A34=$D$8,XIRR(H$18:H34,C$18:C34),"")</f>
        <v/>
      </c>
      <c r="L35" s="29" t="str">
        <f t="shared" si="4"/>
        <v/>
      </c>
      <c r="M35" s="22">
        <f t="shared" ca="1" si="6"/>
        <v>2022</v>
      </c>
      <c r="N35" s="22">
        <f t="shared" ca="1" si="7"/>
        <v>365</v>
      </c>
      <c r="O35" s="22">
        <f t="shared" ca="1" si="8"/>
        <v>12</v>
      </c>
      <c r="P35" s="23">
        <f t="shared" ca="1" si="9"/>
        <v>11</v>
      </c>
      <c r="Q35" s="24">
        <f t="shared" ca="1" si="10"/>
        <v>19</v>
      </c>
      <c r="R35" s="22"/>
    </row>
    <row r="36" spans="1:18" x14ac:dyDescent="0.35">
      <c r="A36" s="32">
        <f t="shared" si="11"/>
        <v>18</v>
      </c>
      <c r="B36" s="28">
        <f ca="1">EDATE($B$18,18)</f>
        <v>44938</v>
      </c>
      <c r="C36" s="28">
        <f t="shared" ca="1" si="5"/>
        <v>44938</v>
      </c>
      <c r="D36" s="32">
        <f t="shared" ca="1" si="15"/>
        <v>31</v>
      </c>
      <c r="E36" s="29">
        <f t="shared" si="16"/>
        <v>3699999.9433333348</v>
      </c>
      <c r="F36" s="29">
        <f>IF(AND(A35="",A37=""),"",IF(A36="",ROUND(SUM($F$19:F35),2),IF(A36=$D$8,$E$18-ROUND(SUM($F$19:F35),2),ROUND($E$18/$D$8,2))))</f>
        <v>16666.669999999998</v>
      </c>
      <c r="G36" s="29">
        <f ca="1">IF(A35=$D$8,ROUND(SUM($G$19:G35),2),IF(A36&gt;$F$8,"",IF(N36&lt;&gt;N35,ROUND(SUM(P36*$F$9*E35/N36,Q36*$F$9*E35/N35),2),ROUND(E35*$F$9*D36/N35,2))))</f>
        <v>78883.960000000006</v>
      </c>
      <c r="H36" s="29">
        <f ca="1">IF(A35=$D$8,SUM($H$19:H35),IF(A35&gt;$D$8,"",F36+G36))</f>
        <v>95550.63</v>
      </c>
      <c r="I36" s="29" t="str">
        <f t="shared" si="14"/>
        <v/>
      </c>
      <c r="J36" s="29"/>
      <c r="K36" s="72" t="str">
        <f>IF(A35=$D$8,XIRR(H$18:H35,C$18:C35),"")</f>
        <v/>
      </c>
      <c r="L36" s="29" t="str">
        <f t="shared" si="4"/>
        <v/>
      </c>
      <c r="M36" s="22">
        <f t="shared" ca="1" si="6"/>
        <v>2023</v>
      </c>
      <c r="N36" s="22">
        <f t="shared" ca="1" si="7"/>
        <v>365</v>
      </c>
      <c r="O36" s="22">
        <f t="shared" ca="1" si="8"/>
        <v>12</v>
      </c>
      <c r="P36" s="23">
        <f t="shared" ca="1" si="9"/>
        <v>11</v>
      </c>
      <c r="Q36" s="24">
        <f t="shared" ca="1" si="10"/>
        <v>20</v>
      </c>
      <c r="R36" s="22"/>
    </row>
    <row r="37" spans="1:18" x14ac:dyDescent="0.35">
      <c r="A37" s="32">
        <f t="shared" si="11"/>
        <v>19</v>
      </c>
      <c r="B37" s="28">
        <f ca="1">EDATE($B$18,19)</f>
        <v>44969</v>
      </c>
      <c r="C37" s="28">
        <f t="shared" ca="1" si="5"/>
        <v>44969</v>
      </c>
      <c r="D37" s="32">
        <f t="shared" ca="1" si="15"/>
        <v>31</v>
      </c>
      <c r="E37" s="29">
        <f t="shared" si="16"/>
        <v>3683333.2733333348</v>
      </c>
      <c r="F37" s="29">
        <f>IF(AND(A36="",A38=""),"",IF(A37="",ROUND(SUM($F$19:F36),2),IF(A37=$D$8,$E$18-ROUND(SUM($F$19:F36),2),ROUND($E$18/$D$8,2))))</f>
        <v>16666.669999999998</v>
      </c>
      <c r="G37" s="29">
        <f ca="1">IF(A36=$D$8,ROUND(SUM($G$19:G36),2),IF(A37&gt;$F$8,"",IF(N37&lt;&gt;N36,ROUND(SUM(P37*$F$9*E36/N37,Q37*$F$9*E36/N36),2),ROUND(E36*$F$9*D37/N36,2))))</f>
        <v>78530.22</v>
      </c>
      <c r="H37" s="29">
        <f ca="1">IF(A36=$D$8,SUM($H$19:H36),IF(A36&gt;$D$8,"",F37+G37))</f>
        <v>95196.89</v>
      </c>
      <c r="I37" s="29" t="str">
        <f t="shared" si="14"/>
        <v/>
      </c>
      <c r="J37" s="29"/>
      <c r="K37" s="72" t="str">
        <f>IF(A36=$D$8,XIRR(H$18:H36,C$18:C36),"")</f>
        <v/>
      </c>
      <c r="L37" s="29" t="str">
        <f t="shared" si="4"/>
        <v/>
      </c>
      <c r="M37" s="22">
        <f t="shared" ca="1" si="6"/>
        <v>2023</v>
      </c>
      <c r="N37" s="22">
        <f t="shared" ca="1" si="7"/>
        <v>365</v>
      </c>
      <c r="O37" s="22">
        <f t="shared" ca="1" si="8"/>
        <v>12</v>
      </c>
      <c r="P37" s="23">
        <f t="shared" ca="1" si="9"/>
        <v>11</v>
      </c>
      <c r="Q37" s="24">
        <f t="shared" ca="1" si="10"/>
        <v>20</v>
      </c>
      <c r="R37" s="22"/>
    </row>
    <row r="38" spans="1:18" x14ac:dyDescent="0.35">
      <c r="A38" s="32">
        <f t="shared" si="11"/>
        <v>20</v>
      </c>
      <c r="B38" s="28">
        <f ca="1">EDATE($B$18,20)</f>
        <v>44997</v>
      </c>
      <c r="C38" s="28">
        <f t="shared" ca="1" si="5"/>
        <v>44997</v>
      </c>
      <c r="D38" s="32">
        <f t="shared" ca="1" si="15"/>
        <v>28</v>
      </c>
      <c r="E38" s="29">
        <f t="shared" si="16"/>
        <v>3666666.6033333349</v>
      </c>
      <c r="F38" s="29">
        <f>IF(AND(A37="",A39=""),"",IF(A38="",ROUND(SUM($F$19:F37),2),IF(A38=$D$8,$E$18-ROUND(SUM($F$19:F37),2),ROUND($E$18/$D$8,2))))</f>
        <v>16666.669999999998</v>
      </c>
      <c r="G38" s="29">
        <f ca="1">IF(A37=$D$8,ROUND(SUM($G$19:G37),2),IF(A38&gt;$F$8,"",IF(N38&lt;&gt;N37,ROUND(SUM(P38*$F$9*E37/N38,Q38*$F$9*E37/N37),2),ROUND(E37*$F$9*D38/N37,2))))</f>
        <v>70611.009999999995</v>
      </c>
      <c r="H38" s="29">
        <f ca="1">IF(A37=$D$8,SUM($H$19:H37),IF(A37&gt;$D$8,"",F38+G38))</f>
        <v>87277.68</v>
      </c>
      <c r="I38" s="29" t="str">
        <f t="shared" si="14"/>
        <v/>
      </c>
      <c r="J38" s="29"/>
      <c r="K38" s="72" t="str">
        <f>IF(A37=$D$8,XIRR(H$18:H37,C$18:C37),"")</f>
        <v/>
      </c>
      <c r="L38" s="29" t="str">
        <f t="shared" si="4"/>
        <v/>
      </c>
      <c r="M38" s="22">
        <f t="shared" ca="1" si="6"/>
        <v>2023</v>
      </c>
      <c r="N38" s="22">
        <f t="shared" ca="1" si="7"/>
        <v>365</v>
      </c>
      <c r="O38" s="22">
        <f t="shared" ca="1" si="8"/>
        <v>12</v>
      </c>
      <c r="P38" s="23">
        <f t="shared" ca="1" si="9"/>
        <v>11</v>
      </c>
      <c r="Q38" s="24">
        <f t="shared" ca="1" si="10"/>
        <v>17</v>
      </c>
      <c r="R38" s="22"/>
    </row>
    <row r="39" spans="1:18" x14ac:dyDescent="0.35">
      <c r="A39" s="32">
        <f t="shared" si="11"/>
        <v>21</v>
      </c>
      <c r="B39" s="28">
        <f ca="1">EDATE($B$18,21)</f>
        <v>45028</v>
      </c>
      <c r="C39" s="28">
        <f t="shared" ca="1" si="5"/>
        <v>45028</v>
      </c>
      <c r="D39" s="32">
        <f t="shared" ca="1" si="15"/>
        <v>31</v>
      </c>
      <c r="E39" s="29">
        <f t="shared" si="16"/>
        <v>3649999.933333335</v>
      </c>
      <c r="F39" s="29">
        <f>IF(AND(A38="",A40=""),"",IF(A39="",ROUND(SUM($F$19:F38),2),IF(A39=$D$8,$E$18-ROUND(SUM($F$19:F38),2),ROUND($E$18/$D$8,2))))</f>
        <v>16666.669999999998</v>
      </c>
      <c r="G39" s="29">
        <f ca="1">IF(A38=$D$8,ROUND(SUM($G$19:G38),2),IF(A39&gt;$F$8,"",IF(N39&lt;&gt;N38,ROUND(SUM(P39*$F$9*E38/N39,Q39*$F$9*E38/N38),2),ROUND(E38*$F$9*D39/N38,2))))</f>
        <v>77822.740000000005</v>
      </c>
      <c r="H39" s="29">
        <f ca="1">IF(A38=$D$8,SUM($H$19:H38),IF(A38&gt;$D$8,"",F39+G39))</f>
        <v>94489.41</v>
      </c>
      <c r="I39" s="29" t="str">
        <f t="shared" si="14"/>
        <v/>
      </c>
      <c r="J39" s="29"/>
      <c r="K39" s="72" t="str">
        <f>IF(A38=$D$8,XIRR(H$18:H38,C$18:C38),"")</f>
        <v/>
      </c>
      <c r="L39" s="29" t="str">
        <f t="shared" si="4"/>
        <v/>
      </c>
      <c r="M39" s="22">
        <f t="shared" ca="1" si="6"/>
        <v>2023</v>
      </c>
      <c r="N39" s="22">
        <f t="shared" ca="1" si="7"/>
        <v>365</v>
      </c>
      <c r="O39" s="22">
        <f t="shared" ca="1" si="8"/>
        <v>12</v>
      </c>
      <c r="P39" s="23">
        <f t="shared" ca="1" si="9"/>
        <v>11</v>
      </c>
      <c r="Q39" s="24">
        <f t="shared" ca="1" si="10"/>
        <v>20</v>
      </c>
      <c r="R39" s="22"/>
    </row>
    <row r="40" spans="1:18" x14ac:dyDescent="0.35">
      <c r="A40" s="32">
        <f t="shared" si="11"/>
        <v>22</v>
      </c>
      <c r="B40" s="28">
        <f ca="1">EDATE($B$18,22)</f>
        <v>45058</v>
      </c>
      <c r="C40" s="28">
        <f t="shared" ca="1" si="5"/>
        <v>45058</v>
      </c>
      <c r="D40" s="32">
        <f t="shared" ca="1" si="15"/>
        <v>30</v>
      </c>
      <c r="E40" s="29">
        <f t="shared" si="16"/>
        <v>3633333.2633333351</v>
      </c>
      <c r="F40" s="29">
        <f>IF(AND(A39="",A41=""),"",IF(A40="",ROUND(SUM($F$19:F39),2),IF(A40=$D$8,$E$18-ROUND(SUM($F$19:F39),2),ROUND($E$18/$D$8,2))))</f>
        <v>16666.669999999998</v>
      </c>
      <c r="G40" s="29">
        <f ca="1">IF(A39=$D$8,ROUND(SUM($G$19:G39),2),IF(A40&gt;$F$8,"",IF(N40&lt;&gt;N39,ROUND(SUM(P40*$F$9*E39/N40,Q40*$F$9*E39/N39),2),ROUND(E39*$F$9*D40/N39,2))))</f>
        <v>74970</v>
      </c>
      <c r="H40" s="29">
        <f ca="1">IF(A39=$D$8,SUM($H$19:H39),IF(A39&gt;$D$8,"",F40+G40))</f>
        <v>91636.67</v>
      </c>
      <c r="I40" s="29" t="str">
        <f t="shared" si="14"/>
        <v/>
      </c>
      <c r="J40" s="29"/>
      <c r="K40" s="72" t="str">
        <f>IF(A39=$D$8,XIRR(H$18:H39,C$18:C39),"")</f>
        <v/>
      </c>
      <c r="L40" s="29" t="str">
        <f t="shared" si="4"/>
        <v/>
      </c>
      <c r="M40" s="22">
        <f t="shared" ca="1" si="6"/>
        <v>2023</v>
      </c>
      <c r="N40" s="22">
        <f t="shared" ca="1" si="7"/>
        <v>365</v>
      </c>
      <c r="O40" s="22">
        <f t="shared" ca="1" si="8"/>
        <v>12</v>
      </c>
      <c r="P40" s="23">
        <f t="shared" ca="1" si="9"/>
        <v>11</v>
      </c>
      <c r="Q40" s="24">
        <f t="shared" ca="1" si="10"/>
        <v>19</v>
      </c>
      <c r="R40" s="22"/>
    </row>
    <row r="41" spans="1:18" x14ac:dyDescent="0.35">
      <c r="A41" s="32">
        <f t="shared" si="11"/>
        <v>23</v>
      </c>
      <c r="B41" s="28">
        <f ca="1">EDATE($B$18,23)</f>
        <v>45089</v>
      </c>
      <c r="C41" s="28">
        <f t="shared" ca="1" si="5"/>
        <v>45089</v>
      </c>
      <c r="D41" s="32">
        <f t="shared" ca="1" si="15"/>
        <v>31</v>
      </c>
      <c r="E41" s="29">
        <f t="shared" si="16"/>
        <v>3616666.5933333351</v>
      </c>
      <c r="F41" s="29">
        <f>IF(AND(A40="",A42=""),"",IF(A41="",ROUND(SUM($F$19:F40),2),IF(A41=$D$8,$E$18-ROUND(SUM($F$19:F40),2),ROUND($E$18/$D$8,2))))</f>
        <v>16666.669999999998</v>
      </c>
      <c r="G41" s="29">
        <f ca="1">IF(A40=$D$8,ROUND(SUM($G$19:G40),2),IF(A41&gt;$F$8,"",IF(N41&lt;&gt;N40,ROUND(SUM(P41*$F$9*E40/N41,Q41*$F$9*E40/N40),2),ROUND(E40*$F$9*D41/N40,2))))</f>
        <v>77115.259999999995</v>
      </c>
      <c r="H41" s="29">
        <f ca="1">IF(A40=$D$8,SUM($H$19:H40),IF(A40&gt;$D$8,"",F41+G41))</f>
        <v>93781.93</v>
      </c>
      <c r="I41" s="29" t="str">
        <f t="shared" si="14"/>
        <v/>
      </c>
      <c r="J41" s="29"/>
      <c r="K41" s="72" t="str">
        <f>IF(A40=$D$8,XIRR(H$18:H40,C$18:C40),"")</f>
        <v/>
      </c>
      <c r="L41" s="29" t="str">
        <f t="shared" si="4"/>
        <v/>
      </c>
      <c r="M41" s="22">
        <f t="shared" ca="1" si="6"/>
        <v>2023</v>
      </c>
      <c r="N41" s="22">
        <f t="shared" ca="1" si="7"/>
        <v>365</v>
      </c>
      <c r="O41" s="22">
        <f t="shared" ca="1" si="8"/>
        <v>12</v>
      </c>
      <c r="P41" s="23">
        <f t="shared" ca="1" si="9"/>
        <v>11</v>
      </c>
      <c r="Q41" s="24">
        <f t="shared" ca="1" si="10"/>
        <v>20</v>
      </c>
      <c r="R41" s="22"/>
    </row>
    <row r="42" spans="1:18" x14ac:dyDescent="0.35">
      <c r="A42" s="32">
        <f t="shared" si="11"/>
        <v>24</v>
      </c>
      <c r="B42" s="28">
        <f ca="1">EDATE($B$18,24)</f>
        <v>45119</v>
      </c>
      <c r="C42" s="28">
        <f t="shared" ca="1" si="5"/>
        <v>45119</v>
      </c>
      <c r="D42" s="32">
        <f t="shared" ca="1" si="15"/>
        <v>30</v>
      </c>
      <c r="E42" s="29">
        <f t="shared" si="16"/>
        <v>3599999.9233333352</v>
      </c>
      <c r="F42" s="29">
        <f>IF(AND(A41="",A43=""),"",IF(A42="",ROUND(SUM($F$19:F41),2),IF(A42=$D$8,$E$18-ROUND(SUM($F$19:F41),2),ROUND($E$18/$D$8,2))))</f>
        <v>16666.669999999998</v>
      </c>
      <c r="G42" s="29">
        <f ca="1">IF(A41=$D$8,ROUND(SUM($G$19:G41),2),IF(A42&gt;$F$8,"",IF(N42&lt;&gt;N41,ROUND(SUM(P42*$F$9*E41/N42,Q42*$F$9*E41/N41),2),ROUND(E41*$F$9*D42/N41,2))))</f>
        <v>74285.34</v>
      </c>
      <c r="H42" s="29">
        <f ca="1">IF(A41=$D$8,SUM($H$19:H41),IF(A41&gt;$D$8,"",F42+G42))</f>
        <v>90952.01</v>
      </c>
      <c r="I42" s="29" t="str">
        <f t="shared" si="14"/>
        <v/>
      </c>
      <c r="J42" s="29"/>
      <c r="K42" s="72" t="str">
        <f>IF(A41=$D$8,XIRR(H$18:H41,C$18:C41),"")</f>
        <v/>
      </c>
      <c r="L42" s="29" t="str">
        <f t="shared" si="4"/>
        <v/>
      </c>
      <c r="M42" s="22">
        <f t="shared" ca="1" si="6"/>
        <v>2023</v>
      </c>
      <c r="N42" s="22">
        <f t="shared" ca="1" si="7"/>
        <v>365</v>
      </c>
      <c r="O42" s="22">
        <f t="shared" ca="1" si="8"/>
        <v>12</v>
      </c>
      <c r="P42" s="23">
        <f t="shared" ca="1" si="9"/>
        <v>11</v>
      </c>
      <c r="Q42" s="24">
        <f t="shared" ca="1" si="10"/>
        <v>19</v>
      </c>
      <c r="R42" s="22"/>
    </row>
    <row r="43" spans="1:18" x14ac:dyDescent="0.35">
      <c r="A43" s="32">
        <f t="shared" si="11"/>
        <v>25</v>
      </c>
      <c r="B43" s="28">
        <f ca="1">EDATE($B$18,25)</f>
        <v>45150</v>
      </c>
      <c r="C43" s="28">
        <f t="shared" ca="1" si="5"/>
        <v>45150</v>
      </c>
      <c r="D43" s="32">
        <f t="shared" ca="1" si="15"/>
        <v>31</v>
      </c>
      <c r="E43" s="29">
        <f t="shared" si="16"/>
        <v>3583333.2533333353</v>
      </c>
      <c r="F43" s="29">
        <f>IF(AND(A42="",A44=""),"",IF(A43="",ROUND(SUM($F$19:F42),2),IF(A43=$D$8,$E$18-ROUND(SUM($F$19:F42),2),ROUND($E$18/$D$8,2))))</f>
        <v>16666.669999999998</v>
      </c>
      <c r="G43" s="29">
        <f ca="1">IF(A42=$D$8,ROUND(SUM($G$19:G42),2),IF(A43&gt;$F$8,"",IF(N43&lt;&gt;N42,ROUND(SUM(P43*$F$9*E42/N43,Q43*$F$9*E42/N42),2),ROUND(E42*$F$9*D43/N42,2))))</f>
        <v>76407.78</v>
      </c>
      <c r="H43" s="29">
        <f ca="1">IF(A42=$D$8,SUM($H$19:H42),IF(A42&gt;$D$8,"",F43+G43))</f>
        <v>93074.45</v>
      </c>
      <c r="I43" s="29" t="str">
        <f t="shared" si="14"/>
        <v/>
      </c>
      <c r="J43" s="29"/>
      <c r="K43" s="72" t="str">
        <f>IF(A42=$D$8,XIRR(H$18:H42,C$18:C42),"")</f>
        <v/>
      </c>
      <c r="L43" s="29" t="str">
        <f t="shared" si="4"/>
        <v/>
      </c>
      <c r="M43" s="22">
        <f t="shared" ca="1" si="6"/>
        <v>2023</v>
      </c>
      <c r="N43" s="22">
        <f t="shared" ca="1" si="7"/>
        <v>365</v>
      </c>
      <c r="O43" s="22">
        <f t="shared" ca="1" si="8"/>
        <v>12</v>
      </c>
      <c r="P43" s="23">
        <f t="shared" ca="1" si="9"/>
        <v>11</v>
      </c>
      <c r="Q43" s="24">
        <f t="shared" ca="1" si="10"/>
        <v>20</v>
      </c>
      <c r="R43" s="22"/>
    </row>
    <row r="44" spans="1:18" x14ac:dyDescent="0.35">
      <c r="A44" s="32">
        <f t="shared" si="11"/>
        <v>26</v>
      </c>
      <c r="B44" s="28">
        <f ca="1">EDATE($B$18,26)</f>
        <v>45181</v>
      </c>
      <c r="C44" s="28">
        <f t="shared" ca="1" si="5"/>
        <v>45181</v>
      </c>
      <c r="D44" s="32">
        <f t="shared" ca="1" si="15"/>
        <v>31</v>
      </c>
      <c r="E44" s="29">
        <f t="shared" si="16"/>
        <v>3566666.5833333354</v>
      </c>
      <c r="F44" s="29">
        <f>IF(AND(A43="",A45=""),"",IF(A44="",ROUND(SUM($F$19:F43),2),IF(A44=$D$8,$E$18-ROUND(SUM($F$19:F43),2),ROUND($E$18/$D$8,2))))</f>
        <v>16666.669999999998</v>
      </c>
      <c r="G44" s="29">
        <f ca="1">IF(A43=$D$8,ROUND(SUM($G$19:G43),2),IF(A44&gt;$F$8,"",IF(N44&lt;&gt;N43,ROUND(SUM(P44*$F$9*E43/N44,Q44*$F$9*E43/N43),2),ROUND(E43*$F$9*D44/N43,2))))</f>
        <v>76054.039999999994</v>
      </c>
      <c r="H44" s="29">
        <f ca="1">IF(A43=$D$8,SUM($H$19:H43),IF(A43&gt;$D$8,"",F44+G44))</f>
        <v>92720.709999999992</v>
      </c>
      <c r="I44" s="29" t="str">
        <f t="shared" si="14"/>
        <v/>
      </c>
      <c r="J44" s="29"/>
      <c r="K44" s="72" t="str">
        <f>IF(A43=$D$8,XIRR(H$18:H43,C$18:C43),"")</f>
        <v/>
      </c>
      <c r="L44" s="29" t="str">
        <f t="shared" si="4"/>
        <v/>
      </c>
      <c r="M44" s="22">
        <f t="shared" ca="1" si="6"/>
        <v>2023</v>
      </c>
      <c r="N44" s="22">
        <f t="shared" ca="1" si="7"/>
        <v>365</v>
      </c>
      <c r="O44" s="22">
        <f t="shared" ca="1" si="8"/>
        <v>12</v>
      </c>
      <c r="P44" s="23">
        <f t="shared" ca="1" si="9"/>
        <v>11</v>
      </c>
      <c r="Q44" s="24">
        <f t="shared" ca="1" si="10"/>
        <v>20</v>
      </c>
      <c r="R44" s="22"/>
    </row>
    <row r="45" spans="1:18" x14ac:dyDescent="0.35">
      <c r="A45" s="32">
        <f t="shared" si="11"/>
        <v>27</v>
      </c>
      <c r="B45" s="28">
        <f ca="1">EDATE($B$18,27)</f>
        <v>45211</v>
      </c>
      <c r="C45" s="28">
        <f t="shared" ca="1" si="5"/>
        <v>45211</v>
      </c>
      <c r="D45" s="32">
        <f t="shared" ca="1" si="15"/>
        <v>30</v>
      </c>
      <c r="E45" s="29">
        <f t="shared" si="16"/>
        <v>3549999.9133333354</v>
      </c>
      <c r="F45" s="29">
        <f>IF(AND(A44="",A46=""),"",IF(A45="",ROUND(SUM($F$19:F44),2),IF(A45=$D$8,$E$18-ROUND(SUM($F$19:F44),2),ROUND($E$18/$D$8,2))))</f>
        <v>16666.669999999998</v>
      </c>
      <c r="G45" s="29">
        <f ca="1">IF(A44=$D$8,ROUND(SUM($G$19:G44),2),IF(A45&gt;$F$8,"",IF(N45&lt;&gt;N44,ROUND(SUM(P45*$F$9*E44/N45,Q45*$F$9*E44/N44),2),ROUND(E44*$F$9*D45/N44,2))))</f>
        <v>73258.350000000006</v>
      </c>
      <c r="H45" s="29">
        <f ca="1">IF(A44=$D$8,SUM($H$19:H44),IF(A44&gt;$D$8,"",F45+G45))</f>
        <v>89925.02</v>
      </c>
      <c r="I45" s="29" t="str">
        <f t="shared" si="14"/>
        <v/>
      </c>
      <c r="J45" s="29"/>
      <c r="K45" s="72" t="str">
        <f>IF(A44=$D$8,XIRR(H$18:H44,C$18:C44),"")</f>
        <v/>
      </c>
      <c r="L45" s="29" t="str">
        <f t="shared" si="4"/>
        <v/>
      </c>
      <c r="M45" s="22">
        <f t="shared" ca="1" si="6"/>
        <v>2023</v>
      </c>
      <c r="N45" s="22">
        <f t="shared" ca="1" si="7"/>
        <v>365</v>
      </c>
      <c r="O45" s="22">
        <f t="shared" ca="1" si="8"/>
        <v>12</v>
      </c>
      <c r="P45" s="23">
        <f t="shared" ca="1" si="9"/>
        <v>11</v>
      </c>
      <c r="Q45" s="24">
        <f t="shared" ca="1" si="10"/>
        <v>19</v>
      </c>
      <c r="R45" s="22"/>
    </row>
    <row r="46" spans="1:18" x14ac:dyDescent="0.35">
      <c r="A46" s="32">
        <f t="shared" si="11"/>
        <v>28</v>
      </c>
      <c r="B46" s="28">
        <f ca="1">EDATE($B$18,28)</f>
        <v>45242</v>
      </c>
      <c r="C46" s="28">
        <f t="shared" ca="1" si="5"/>
        <v>45242</v>
      </c>
      <c r="D46" s="32">
        <f t="shared" ca="1" si="15"/>
        <v>31</v>
      </c>
      <c r="E46" s="29">
        <f t="shared" si="16"/>
        <v>3533333.2433333355</v>
      </c>
      <c r="F46" s="29">
        <f>IF(AND(A45="",A47=""),"",IF(A46="",ROUND(SUM($F$19:F45),2),IF(A46=$D$8,$E$18-ROUND(SUM($F$19:F45),2),ROUND($E$18/$D$8,2))))</f>
        <v>16666.669999999998</v>
      </c>
      <c r="G46" s="29">
        <f ca="1">IF(A45=$D$8,ROUND(SUM($G$19:G45),2),IF(A46&gt;$F$8,"",IF(N46&lt;&gt;N45,ROUND(SUM(P46*$F$9*E45/N46,Q46*$F$9*E45/N45),2),ROUND(E45*$F$9*D46/N45,2))))</f>
        <v>75346.559999999998</v>
      </c>
      <c r="H46" s="29">
        <f ca="1">IF(A45=$D$8,SUM($H$19:H45),IF(A45&gt;$D$8,"",F46+G46))</f>
        <v>92013.23</v>
      </c>
      <c r="I46" s="29" t="str">
        <f t="shared" si="14"/>
        <v/>
      </c>
      <c r="J46" s="29"/>
      <c r="K46" s="72" t="str">
        <f>IF(A45=$D$8,XIRR(H$18:H45,C$18:C45),"")</f>
        <v/>
      </c>
      <c r="L46" s="29" t="str">
        <f t="shared" si="4"/>
        <v/>
      </c>
      <c r="M46" s="22">
        <f t="shared" ca="1" si="6"/>
        <v>2023</v>
      </c>
      <c r="N46" s="22">
        <f t="shared" ca="1" si="7"/>
        <v>365</v>
      </c>
      <c r="O46" s="22">
        <f t="shared" ca="1" si="8"/>
        <v>12</v>
      </c>
      <c r="P46" s="23">
        <f t="shared" ca="1" si="9"/>
        <v>11</v>
      </c>
      <c r="Q46" s="24">
        <f t="shared" ca="1" si="10"/>
        <v>20</v>
      </c>
      <c r="R46" s="22"/>
    </row>
    <row r="47" spans="1:18" x14ac:dyDescent="0.35">
      <c r="A47" s="32">
        <f t="shared" si="11"/>
        <v>29</v>
      </c>
      <c r="B47" s="28">
        <f ca="1">EDATE($B$18,29)</f>
        <v>45272</v>
      </c>
      <c r="C47" s="28">
        <f t="shared" ca="1" si="5"/>
        <v>45272</v>
      </c>
      <c r="D47" s="32">
        <f t="shared" ca="1" si="15"/>
        <v>30</v>
      </c>
      <c r="E47" s="29">
        <f t="shared" si="16"/>
        <v>3516666.5733333356</v>
      </c>
      <c r="F47" s="29">
        <f>IF(AND(A46="",A48=""),"",IF(A47="",ROUND(SUM($F$19:F46),2),IF(A47=$D$8,$E$18-ROUND(SUM($F$19:F46),2),ROUND($E$18/$D$8,2))))</f>
        <v>16666.669999999998</v>
      </c>
      <c r="G47" s="29">
        <f ca="1">IF(A46=$D$8,ROUND(SUM($G$19:G46),2),IF(A47&gt;$F$8,"",IF(N47&lt;&gt;N46,ROUND(SUM(P47*$F$9*E46/N47,Q47*$F$9*E46/N46),2),ROUND(E46*$F$9*D47/N46,2))))</f>
        <v>72573.7</v>
      </c>
      <c r="H47" s="29">
        <f ca="1">IF(A46=$D$8,SUM($H$19:H46),IF(A46&gt;$D$8,"",F47+G47))</f>
        <v>89240.37</v>
      </c>
      <c r="I47" s="29" t="str">
        <f t="shared" si="14"/>
        <v/>
      </c>
      <c r="J47" s="29"/>
      <c r="K47" s="72" t="str">
        <f>IF(A46=$D$8,XIRR(H$18:H46,C$18:C46),"")</f>
        <v/>
      </c>
      <c r="L47" s="29" t="str">
        <f t="shared" si="4"/>
        <v/>
      </c>
      <c r="M47" s="22">
        <f t="shared" ca="1" si="6"/>
        <v>2023</v>
      </c>
      <c r="N47" s="22">
        <f t="shared" ca="1" si="7"/>
        <v>365</v>
      </c>
      <c r="O47" s="22">
        <f t="shared" ca="1" si="8"/>
        <v>12</v>
      </c>
      <c r="P47" s="23">
        <f t="shared" ca="1" si="9"/>
        <v>11</v>
      </c>
      <c r="Q47" s="24">
        <f t="shared" ca="1" si="10"/>
        <v>19</v>
      </c>
      <c r="R47" s="22"/>
    </row>
    <row r="48" spans="1:18" x14ac:dyDescent="0.35">
      <c r="A48" s="32">
        <f t="shared" si="11"/>
        <v>30</v>
      </c>
      <c r="B48" s="28">
        <f ca="1">EDATE($B$18,30)</f>
        <v>45303</v>
      </c>
      <c r="C48" s="28">
        <f t="shared" ca="1" si="5"/>
        <v>45303</v>
      </c>
      <c r="D48" s="32">
        <f t="shared" ca="1" si="15"/>
        <v>31</v>
      </c>
      <c r="E48" s="29">
        <f t="shared" si="16"/>
        <v>3499999.9033333356</v>
      </c>
      <c r="F48" s="29">
        <f>IF(AND(A47="",A49=""),"",IF(A48="",ROUND(SUM($F$19:F47),2),IF(A48=$D$8,$E$18-ROUND(SUM($F$19:F47),2),ROUND($E$18/$D$8,2))))</f>
        <v>16666.669999999998</v>
      </c>
      <c r="G48" s="29">
        <f ca="1">IF(A47=$D$8,ROUND(SUM($G$19:G47),2),IF(A48&gt;$F$8,"",IF(N48&lt;&gt;N47,ROUND(SUM(P48*$F$9*E47/N48,Q48*$F$9*E47/N47),2),ROUND(E47*$F$9*D48/N47,2))))</f>
        <v>74566.720000000001</v>
      </c>
      <c r="H48" s="29">
        <f ca="1">IF(A47=$D$8,SUM($H$19:H47),IF(A47&gt;$D$8,"",F48+G48))</f>
        <v>91233.39</v>
      </c>
      <c r="I48" s="29" t="str">
        <f t="shared" si="14"/>
        <v/>
      </c>
      <c r="J48" s="29"/>
      <c r="K48" s="72" t="str">
        <f>IF(A47=$D$8,XIRR(H$18:H47,C$18:C47),"")</f>
        <v/>
      </c>
      <c r="L48" s="29" t="str">
        <f t="shared" si="4"/>
        <v/>
      </c>
      <c r="M48" s="22">
        <f t="shared" ca="1" si="6"/>
        <v>2024</v>
      </c>
      <c r="N48" s="22">
        <f t="shared" ca="1" si="7"/>
        <v>366</v>
      </c>
      <c r="O48" s="22">
        <f t="shared" ca="1" si="8"/>
        <v>12</v>
      </c>
      <c r="P48" s="23">
        <f t="shared" ca="1" si="9"/>
        <v>11</v>
      </c>
      <c r="Q48" s="24">
        <f t="shared" ca="1" si="10"/>
        <v>20</v>
      </c>
      <c r="R48" s="22"/>
    </row>
    <row r="49" spans="1:18" x14ac:dyDescent="0.35">
      <c r="A49" s="32">
        <f t="shared" si="11"/>
        <v>31</v>
      </c>
      <c r="B49" s="28">
        <f ca="1">EDATE($B$18,31)</f>
        <v>45334</v>
      </c>
      <c r="C49" s="28">
        <f t="shared" ca="1" si="5"/>
        <v>45334</v>
      </c>
      <c r="D49" s="32">
        <f t="shared" ca="1" si="15"/>
        <v>31</v>
      </c>
      <c r="E49" s="29">
        <f t="shared" si="16"/>
        <v>3483333.2333333357</v>
      </c>
      <c r="F49" s="29">
        <f>IF(AND(A48="",A50=""),"",IF(A49="",ROUND(SUM($F$19:F48),2),IF(A49=$D$8,$E$18-ROUND(SUM($F$19:F48),2),ROUND($E$18/$D$8,2))))</f>
        <v>16666.669999999998</v>
      </c>
      <c r="G49" s="29">
        <f ca="1">IF(A48=$D$8,ROUND(SUM($G$19:G48),2),IF(A49&gt;$F$8,"",IF(N49&lt;&gt;N48,ROUND(SUM(P49*$F$9*E48/N49,Q49*$F$9*E48/N48),2),ROUND(E48*$F$9*D49/N48,2))))</f>
        <v>74082.38</v>
      </c>
      <c r="H49" s="29">
        <f ca="1">IF(A48=$D$8,SUM($H$19:H48),IF(A48&gt;$D$8,"",F49+G49))</f>
        <v>90749.05</v>
      </c>
      <c r="I49" s="29" t="str">
        <f t="shared" si="14"/>
        <v/>
      </c>
      <c r="J49" s="29"/>
      <c r="K49" s="72" t="str">
        <f>IF(A48=$D$8,XIRR(H$18:H48,C$18:C48),"")</f>
        <v/>
      </c>
      <c r="L49" s="29" t="str">
        <f t="shared" si="4"/>
        <v/>
      </c>
      <c r="M49" s="22">
        <f t="shared" ca="1" si="6"/>
        <v>2024</v>
      </c>
      <c r="N49" s="22">
        <f t="shared" ca="1" si="7"/>
        <v>366</v>
      </c>
      <c r="O49" s="22">
        <f t="shared" ca="1" si="8"/>
        <v>12</v>
      </c>
      <c r="P49" s="23">
        <f t="shared" ca="1" si="9"/>
        <v>11</v>
      </c>
      <c r="Q49" s="24">
        <f t="shared" ca="1" si="10"/>
        <v>20</v>
      </c>
      <c r="R49" s="22"/>
    </row>
    <row r="50" spans="1:18" x14ac:dyDescent="0.35">
      <c r="A50" s="32">
        <f t="shared" si="11"/>
        <v>32</v>
      </c>
      <c r="B50" s="28">
        <f ca="1">EDATE($B$18,32)</f>
        <v>45363</v>
      </c>
      <c r="C50" s="28">
        <f t="shared" ca="1" si="5"/>
        <v>45363</v>
      </c>
      <c r="D50" s="32">
        <f t="shared" ca="1" si="15"/>
        <v>29</v>
      </c>
      <c r="E50" s="29">
        <f t="shared" si="16"/>
        <v>3466666.5633333358</v>
      </c>
      <c r="F50" s="29">
        <f>IF(AND(A49="",A51=""),"",IF(A50="",ROUND(SUM($F$19:F49),2),IF(A50=$D$8,$E$18-ROUND(SUM($F$19:F49),2),ROUND($E$18/$D$8,2))))</f>
        <v>16666.669999999998</v>
      </c>
      <c r="G50" s="29">
        <f ca="1">IF(A49=$D$8,ROUND(SUM($G$19:G49),2),IF(A50&gt;$F$8,"",IF(N50&lt;&gt;N49,ROUND(SUM(P50*$F$9*E49/N50,Q50*$F$9*E49/N49),2),ROUND(E49*$F$9*D50/N49,2))))</f>
        <v>68972.850000000006</v>
      </c>
      <c r="H50" s="29">
        <f ca="1">IF(A49=$D$8,SUM($H$19:H49),IF(A49&gt;$D$8,"",F50+G50))</f>
        <v>85639.52</v>
      </c>
      <c r="I50" s="29" t="str">
        <f t="shared" si="14"/>
        <v/>
      </c>
      <c r="J50" s="29"/>
      <c r="K50" s="72" t="str">
        <f>IF(A49=$D$8,XIRR(H$18:H49,C$18:C49),"")</f>
        <v/>
      </c>
      <c r="L50" s="29" t="str">
        <f t="shared" si="4"/>
        <v/>
      </c>
      <c r="M50" s="22">
        <f t="shared" ca="1" si="6"/>
        <v>2024</v>
      </c>
      <c r="N50" s="22">
        <f t="shared" ca="1" si="7"/>
        <v>366</v>
      </c>
      <c r="O50" s="22">
        <f t="shared" ca="1" si="8"/>
        <v>12</v>
      </c>
      <c r="P50" s="23">
        <f t="shared" ca="1" si="9"/>
        <v>11</v>
      </c>
      <c r="Q50" s="24">
        <f t="shared" ca="1" si="10"/>
        <v>18</v>
      </c>
      <c r="R50" s="22"/>
    </row>
    <row r="51" spans="1:18" x14ac:dyDescent="0.35">
      <c r="A51" s="32">
        <f t="shared" si="11"/>
        <v>33</v>
      </c>
      <c r="B51" s="28">
        <f ca="1">EDATE($B$18,33)</f>
        <v>45394</v>
      </c>
      <c r="C51" s="28">
        <f t="shared" ca="1" si="5"/>
        <v>45394</v>
      </c>
      <c r="D51" s="32">
        <f t="shared" ca="1" si="15"/>
        <v>31</v>
      </c>
      <c r="E51" s="29">
        <f t="shared" si="16"/>
        <v>3449999.8933333359</v>
      </c>
      <c r="F51" s="29">
        <f>IF(AND(A50="",A52=""),"",IF(A51="",ROUND(SUM($F$19:F50),2),IF(A51=$D$8,$E$18-ROUND(SUM($F$19:F50),2),ROUND($E$18/$D$8,2))))</f>
        <v>16666.669999999998</v>
      </c>
      <c r="G51" s="29">
        <f ca="1">IF(A50=$D$8,ROUND(SUM($G$19:G50),2),IF(A51&gt;$F$8,"",IF(N51&lt;&gt;N50,ROUND(SUM(P51*$F$9*E50/N51,Q51*$F$9*E50/N50),2),ROUND(E50*$F$9*D51/N50,2))))</f>
        <v>73376.83</v>
      </c>
      <c r="H51" s="29">
        <f ca="1">IF(A50=$D$8,SUM($H$19:H50),IF(A50&gt;$D$8,"",F51+G51))</f>
        <v>90043.5</v>
      </c>
      <c r="I51" s="29" t="str">
        <f t="shared" si="14"/>
        <v/>
      </c>
      <c r="J51" s="29"/>
      <c r="K51" s="72" t="str">
        <f>IF(A50=$D$8,XIRR(H$18:H50,C$18:C50),"")</f>
        <v/>
      </c>
      <c r="L51" s="29" t="str">
        <f t="shared" si="4"/>
        <v/>
      </c>
      <c r="M51" s="22">
        <f t="shared" ca="1" si="6"/>
        <v>2024</v>
      </c>
      <c r="N51" s="22">
        <f t="shared" ca="1" si="7"/>
        <v>366</v>
      </c>
      <c r="O51" s="22">
        <f t="shared" ca="1" si="8"/>
        <v>12</v>
      </c>
      <c r="P51" s="23">
        <f t="shared" ca="1" si="9"/>
        <v>11</v>
      </c>
      <c r="Q51" s="24">
        <f t="shared" ca="1" si="10"/>
        <v>20</v>
      </c>
      <c r="R51" s="22"/>
    </row>
    <row r="52" spans="1:18" x14ac:dyDescent="0.35">
      <c r="A52" s="32">
        <f t="shared" si="11"/>
        <v>34</v>
      </c>
      <c r="B52" s="28">
        <f ca="1">EDATE($B$18,34)</f>
        <v>45424</v>
      </c>
      <c r="C52" s="28">
        <f t="shared" ca="1" si="5"/>
        <v>45424</v>
      </c>
      <c r="D52" s="32">
        <f t="shared" ca="1" si="15"/>
        <v>30</v>
      </c>
      <c r="E52" s="29">
        <f t="shared" si="16"/>
        <v>3433333.2233333359</v>
      </c>
      <c r="F52" s="29">
        <f>IF(AND(A51="",A53=""),"",IF(A52="",ROUND(SUM($F$19:F51),2),IF(A52=$D$8,$E$18-ROUND(SUM($F$19:F51),2),ROUND($E$18/$D$8,2))))</f>
        <v>16666.669999999998</v>
      </c>
      <c r="G52" s="29">
        <f ca="1">IF(A51=$D$8,ROUND(SUM($G$19:G51),2),IF(A52&gt;$F$8,"",IF(N52&lt;&gt;N51,ROUND(SUM(P52*$F$9*E51/N52,Q52*$F$9*E51/N51),2),ROUND(E51*$F$9*D52/N51,2))))</f>
        <v>70668.44</v>
      </c>
      <c r="H52" s="29">
        <f ca="1">IF(A51=$D$8,SUM($H$19:H51),IF(A51&gt;$D$8,"",F52+G52))</f>
        <v>87335.11</v>
      </c>
      <c r="I52" s="29" t="str">
        <f t="shared" si="14"/>
        <v/>
      </c>
      <c r="J52" s="29"/>
      <c r="K52" s="72" t="str">
        <f>IF(A51=$D$8,XIRR(H$18:H51,C$18:C51),"")</f>
        <v/>
      </c>
      <c r="L52" s="29" t="str">
        <f t="shared" si="4"/>
        <v/>
      </c>
      <c r="M52" s="22">
        <f t="shared" ca="1" si="6"/>
        <v>2024</v>
      </c>
      <c r="N52" s="22">
        <f t="shared" ca="1" si="7"/>
        <v>366</v>
      </c>
      <c r="O52" s="22">
        <f t="shared" ca="1" si="8"/>
        <v>12</v>
      </c>
      <c r="P52" s="23">
        <f t="shared" ca="1" si="9"/>
        <v>11</v>
      </c>
      <c r="Q52" s="24">
        <f t="shared" ca="1" si="10"/>
        <v>19</v>
      </c>
      <c r="R52" s="22"/>
    </row>
    <row r="53" spans="1:18" x14ac:dyDescent="0.35">
      <c r="A53" s="32">
        <f t="shared" si="11"/>
        <v>35</v>
      </c>
      <c r="B53" s="28">
        <f ca="1">EDATE($B$18,35)</f>
        <v>45455</v>
      </c>
      <c r="C53" s="28">
        <f t="shared" ca="1" si="5"/>
        <v>45455</v>
      </c>
      <c r="D53" s="32">
        <f t="shared" ca="1" si="15"/>
        <v>31</v>
      </c>
      <c r="E53" s="29">
        <f t="shared" si="16"/>
        <v>3416666.553333336</v>
      </c>
      <c r="F53" s="29">
        <f>IF(AND(A52="",A54=""),"",IF(A53="",ROUND(SUM($F$19:F52),2),IF(A53=$D$8,$E$18-ROUND(SUM($F$19:F52),2),ROUND($E$18/$D$8,2))))</f>
        <v>16666.669999999998</v>
      </c>
      <c r="G53" s="29">
        <f ca="1">IF(A52=$D$8,ROUND(SUM($G$19:G52),2),IF(A53&gt;$F$8,"",IF(N53&lt;&gt;N52,ROUND(SUM(P53*$F$9*E52/N53,Q53*$F$9*E52/N52),2),ROUND(E52*$F$9*D53/N52,2))))</f>
        <v>72671.28</v>
      </c>
      <c r="H53" s="29">
        <f ca="1">IF(A52=$D$8,SUM($H$19:H52),IF(A52&gt;$D$8,"",F53+G53))</f>
        <v>89337.95</v>
      </c>
      <c r="I53" s="29" t="str">
        <f t="shared" si="14"/>
        <v/>
      </c>
      <c r="J53" s="29"/>
      <c r="K53" s="72" t="str">
        <f>IF(A52=$D$8,XIRR(H$18:H52,C$18:C52),"")</f>
        <v/>
      </c>
      <c r="L53" s="29" t="str">
        <f t="shared" si="4"/>
        <v/>
      </c>
      <c r="M53" s="22">
        <f t="shared" ca="1" si="6"/>
        <v>2024</v>
      </c>
      <c r="N53" s="22">
        <f t="shared" ca="1" si="7"/>
        <v>366</v>
      </c>
      <c r="O53" s="22">
        <f t="shared" ca="1" si="8"/>
        <v>12</v>
      </c>
      <c r="P53" s="23">
        <f t="shared" ca="1" si="9"/>
        <v>11</v>
      </c>
      <c r="Q53" s="24">
        <f t="shared" ca="1" si="10"/>
        <v>20</v>
      </c>
      <c r="R53" s="22"/>
    </row>
    <row r="54" spans="1:18" x14ac:dyDescent="0.35">
      <c r="A54" s="32">
        <f t="shared" si="11"/>
        <v>36</v>
      </c>
      <c r="B54" s="28">
        <f ca="1">EDATE($B$18,36)</f>
        <v>45485</v>
      </c>
      <c r="C54" s="28">
        <f t="shared" ca="1" si="5"/>
        <v>45485</v>
      </c>
      <c r="D54" s="32">
        <f t="shared" ca="1" si="15"/>
        <v>30</v>
      </c>
      <c r="E54" s="29">
        <f t="shared" si="16"/>
        <v>3399999.8833333361</v>
      </c>
      <c r="F54" s="29">
        <f>IF(AND(A53="",A55=""),"",IF(A54="",ROUND(SUM($F$19:F53),2),IF(A54=$D$8,$E$18-ROUND(SUM($F$19:F53),2),ROUND($E$18/$D$8,2))))</f>
        <v>16666.669999999998</v>
      </c>
      <c r="G54" s="29">
        <f ca="1">IF(A53=$D$8,ROUND(SUM($G$19:G53),2),IF(A54&gt;$F$8,"",IF(N54&lt;&gt;N53,ROUND(SUM(P54*$F$9*E53/N54,Q54*$F$9*E53/N53),2),ROUND(E53*$F$9*D54/N53,2))))</f>
        <v>69985.649999999994</v>
      </c>
      <c r="H54" s="29">
        <f ca="1">IF(A53=$D$8,SUM($H$19:H53),IF(A53&gt;$D$8,"",F54+G54))</f>
        <v>86652.319999999992</v>
      </c>
      <c r="I54" s="29" t="str">
        <f t="shared" si="14"/>
        <v/>
      </c>
      <c r="J54" s="29"/>
      <c r="K54" s="72" t="str">
        <f>IF(A53=$D$8,XIRR(H$18:H53,C$18:C53),"")</f>
        <v/>
      </c>
      <c r="L54" s="29" t="str">
        <f t="shared" si="4"/>
        <v/>
      </c>
      <c r="M54" s="22">
        <f t="shared" ca="1" si="6"/>
        <v>2024</v>
      </c>
      <c r="N54" s="22">
        <f t="shared" ca="1" si="7"/>
        <v>366</v>
      </c>
      <c r="O54" s="22">
        <f t="shared" ca="1" si="8"/>
        <v>12</v>
      </c>
      <c r="P54" s="23">
        <f t="shared" ca="1" si="9"/>
        <v>11</v>
      </c>
      <c r="Q54" s="24">
        <f t="shared" ca="1" si="10"/>
        <v>19</v>
      </c>
      <c r="R54" s="22"/>
    </row>
    <row r="55" spans="1:18" x14ac:dyDescent="0.35">
      <c r="A55" s="32">
        <f t="shared" si="11"/>
        <v>37</v>
      </c>
      <c r="B55" s="28">
        <f ca="1">EDATE($B$18,37)</f>
        <v>45516</v>
      </c>
      <c r="C55" s="28">
        <f t="shared" ca="1" si="5"/>
        <v>45516</v>
      </c>
      <c r="D55" s="32">
        <f t="shared" ca="1" si="15"/>
        <v>31</v>
      </c>
      <c r="E55" s="29">
        <f t="shared" si="16"/>
        <v>3383333.2133333362</v>
      </c>
      <c r="F55" s="29">
        <f>IF(AND(A54="",A56=""),"",IF(A55="",ROUND(SUM($F$19:F54),2),IF(A55=$D$8,$E$18-ROUND(SUM($F$19:F54),2),ROUND($E$18/$D$8,2))))</f>
        <v>16666.669999999998</v>
      </c>
      <c r="G55" s="29">
        <f ca="1">IF(A54=$D$8,ROUND(SUM($G$19:G54),2),IF(A55&gt;$F$8,"",IF(N55&lt;&gt;N54,ROUND(SUM(P55*$F$9*E54/N55,Q55*$F$9*E54/N54),2),ROUND(E54*$F$9*D55/N54,2))))</f>
        <v>71965.740000000005</v>
      </c>
      <c r="H55" s="29">
        <f ca="1">IF(A54=$D$8,SUM($H$19:H54),IF(A54&gt;$D$8,"",F55+G55))</f>
        <v>88632.41</v>
      </c>
      <c r="I55" s="29" t="str">
        <f t="shared" si="14"/>
        <v/>
      </c>
      <c r="J55" s="29"/>
      <c r="K55" s="72" t="str">
        <f>IF(A54=$D$8,XIRR(H$18:H54,C$18:C54),"")</f>
        <v/>
      </c>
      <c r="L55" s="29" t="str">
        <f t="shared" si="4"/>
        <v/>
      </c>
      <c r="M55" s="22">
        <f t="shared" ca="1" si="6"/>
        <v>2024</v>
      </c>
      <c r="N55" s="22">
        <f t="shared" ca="1" si="7"/>
        <v>366</v>
      </c>
      <c r="O55" s="22">
        <f t="shared" ca="1" si="8"/>
        <v>12</v>
      </c>
      <c r="P55" s="23">
        <f t="shared" ca="1" si="9"/>
        <v>11</v>
      </c>
      <c r="Q55" s="24">
        <f t="shared" ca="1" si="10"/>
        <v>20</v>
      </c>
      <c r="R55" s="22"/>
    </row>
    <row r="56" spans="1:18" x14ac:dyDescent="0.35">
      <c r="A56" s="32">
        <f t="shared" si="11"/>
        <v>38</v>
      </c>
      <c r="B56" s="28">
        <f ca="1">EDATE($B$18,38)</f>
        <v>45547</v>
      </c>
      <c r="C56" s="28">
        <f t="shared" ca="1" si="5"/>
        <v>45547</v>
      </c>
      <c r="D56" s="32">
        <f t="shared" ca="1" si="15"/>
        <v>31</v>
      </c>
      <c r="E56" s="29">
        <f t="shared" si="16"/>
        <v>3366666.5433333362</v>
      </c>
      <c r="F56" s="29">
        <f>IF(AND(A55="",A57=""),"",IF(A56="",ROUND(SUM($F$19:F55),2),IF(A56=$D$8,$E$18-ROUND(SUM($F$19:F55),2),ROUND($E$18/$D$8,2))))</f>
        <v>16666.669999999998</v>
      </c>
      <c r="G56" s="29">
        <f ca="1">IF(A55=$D$8,ROUND(SUM($G$19:G55),2),IF(A56&gt;$F$8,"",IF(N56&lt;&gt;N55,ROUND(SUM(P56*$F$9*E55/N56,Q56*$F$9*E55/N55),2),ROUND(E55*$F$9*D56/N55,2))))</f>
        <v>71612.960000000006</v>
      </c>
      <c r="H56" s="29">
        <f ca="1">IF(A55=$D$8,SUM($H$19:H55),IF(A55&gt;$D$8,"",F56+G56))</f>
        <v>88279.63</v>
      </c>
      <c r="I56" s="29" t="str">
        <f t="shared" si="14"/>
        <v/>
      </c>
      <c r="J56" s="29"/>
      <c r="K56" s="72" t="str">
        <f>IF(A55=$D$8,XIRR(H$18:H55,C$18:C55),"")</f>
        <v/>
      </c>
      <c r="L56" s="29" t="str">
        <f t="shared" si="4"/>
        <v/>
      </c>
      <c r="M56" s="22">
        <f t="shared" ca="1" si="6"/>
        <v>2024</v>
      </c>
      <c r="N56" s="22">
        <f t="shared" ca="1" si="7"/>
        <v>366</v>
      </c>
      <c r="O56" s="22">
        <f t="shared" ca="1" si="8"/>
        <v>12</v>
      </c>
      <c r="P56" s="23">
        <f t="shared" ca="1" si="9"/>
        <v>11</v>
      </c>
      <c r="Q56" s="24">
        <f t="shared" ca="1" si="10"/>
        <v>20</v>
      </c>
      <c r="R56" s="22"/>
    </row>
    <row r="57" spans="1:18" x14ac:dyDescent="0.35">
      <c r="A57" s="32">
        <f t="shared" si="11"/>
        <v>39</v>
      </c>
      <c r="B57" s="28">
        <f ca="1">EDATE($B$18,39)</f>
        <v>45577</v>
      </c>
      <c r="C57" s="28">
        <f t="shared" ca="1" si="5"/>
        <v>45577</v>
      </c>
      <c r="D57" s="32">
        <f t="shared" ca="1" si="15"/>
        <v>30</v>
      </c>
      <c r="E57" s="29">
        <f t="shared" si="16"/>
        <v>3349999.8733333363</v>
      </c>
      <c r="F57" s="29">
        <f>IF(AND(A56="",A58=""),"",IF(A57="",ROUND(SUM($F$19:F56),2),IF(A57=$D$8,$E$18-ROUND(SUM($F$19:F56),2),ROUND($E$18/$D$8,2))))</f>
        <v>16666.669999999998</v>
      </c>
      <c r="G57" s="29">
        <f ca="1">IF(A56=$D$8,ROUND(SUM($G$19:G56),2),IF(A57&gt;$F$8,"",IF(N57&lt;&gt;N56,ROUND(SUM(P57*$F$9*E56/N57,Q57*$F$9*E56/N56),2),ROUND(E56*$F$9*D57/N56,2))))</f>
        <v>68961.47</v>
      </c>
      <c r="H57" s="29">
        <f ca="1">IF(A56=$D$8,SUM($H$19:H56),IF(A56&gt;$D$8,"",F57+G57))</f>
        <v>85628.14</v>
      </c>
      <c r="I57" s="29" t="str">
        <f t="shared" si="14"/>
        <v/>
      </c>
      <c r="J57" s="29"/>
      <c r="K57" s="72" t="str">
        <f>IF(A56=$D$8,XIRR(H$18:H56,C$18:C56),"")</f>
        <v/>
      </c>
      <c r="L57" s="29" t="str">
        <f t="shared" si="4"/>
        <v/>
      </c>
      <c r="M57" s="22">
        <f t="shared" ca="1" si="6"/>
        <v>2024</v>
      </c>
      <c r="N57" s="22">
        <f t="shared" ca="1" si="7"/>
        <v>366</v>
      </c>
      <c r="O57" s="22">
        <f t="shared" ca="1" si="8"/>
        <v>12</v>
      </c>
      <c r="P57" s="23">
        <f t="shared" ca="1" si="9"/>
        <v>11</v>
      </c>
      <c r="Q57" s="24">
        <f t="shared" ca="1" si="10"/>
        <v>19</v>
      </c>
      <c r="R57" s="22"/>
    </row>
    <row r="58" spans="1:18" x14ac:dyDescent="0.35">
      <c r="A58" s="32">
        <f t="shared" si="11"/>
        <v>40</v>
      </c>
      <c r="B58" s="28">
        <f ca="1">EDATE($B$18,40)</f>
        <v>45608</v>
      </c>
      <c r="C58" s="28">
        <f t="shared" ca="1" si="5"/>
        <v>45608</v>
      </c>
      <c r="D58" s="32">
        <f t="shared" ca="1" si="15"/>
        <v>31</v>
      </c>
      <c r="E58" s="29">
        <f t="shared" si="16"/>
        <v>3333333.2033333364</v>
      </c>
      <c r="F58" s="29">
        <f>IF(AND(A57="",A59=""),"",IF(A58="",ROUND(SUM($F$19:F57),2),IF(A58=$D$8,$E$18-ROUND(SUM($F$19:F57),2),ROUND($E$18/$D$8,2))))</f>
        <v>16666.669999999998</v>
      </c>
      <c r="G58" s="29">
        <f ca="1">IF(A57=$D$8,ROUND(SUM($G$19:G57),2),IF(A58&gt;$F$8,"",IF(N58&lt;&gt;N57,ROUND(SUM(P58*$F$9*E57/N58,Q58*$F$9*E57/N57),2),ROUND(E57*$F$9*D58/N57,2))))</f>
        <v>70907.42</v>
      </c>
      <c r="H58" s="29">
        <f ca="1">IF(A57=$D$8,SUM($H$19:H57),IF(A57&gt;$D$8,"",F58+G58))</f>
        <v>87574.09</v>
      </c>
      <c r="I58" s="29" t="str">
        <f t="shared" si="14"/>
        <v/>
      </c>
      <c r="J58" s="29"/>
      <c r="K58" s="72" t="str">
        <f>IF(A57=$D$8,XIRR(H$18:H57,C$18:C57),"")</f>
        <v/>
      </c>
      <c r="L58" s="29" t="str">
        <f t="shared" si="4"/>
        <v/>
      </c>
      <c r="M58" s="22">
        <f t="shared" ca="1" si="6"/>
        <v>2024</v>
      </c>
      <c r="N58" s="22">
        <f t="shared" ca="1" si="7"/>
        <v>366</v>
      </c>
      <c r="O58" s="22">
        <f t="shared" ca="1" si="8"/>
        <v>12</v>
      </c>
      <c r="P58" s="23">
        <f t="shared" ca="1" si="9"/>
        <v>11</v>
      </c>
      <c r="Q58" s="24">
        <f t="shared" ca="1" si="10"/>
        <v>20</v>
      </c>
      <c r="R58" s="22"/>
    </row>
    <row r="59" spans="1:18" x14ac:dyDescent="0.35">
      <c r="A59" s="32">
        <f t="shared" si="11"/>
        <v>41</v>
      </c>
      <c r="B59" s="28">
        <f ca="1">EDATE($B$18,41)</f>
        <v>45638</v>
      </c>
      <c r="C59" s="28">
        <f t="shared" ca="1" si="5"/>
        <v>45638</v>
      </c>
      <c r="D59" s="32">
        <f t="shared" ca="1" si="15"/>
        <v>30</v>
      </c>
      <c r="E59" s="29">
        <f t="shared" si="16"/>
        <v>3316666.5333333365</v>
      </c>
      <c r="F59" s="29">
        <f>IF(AND(A58="",A60=""),"",IF(A59="",ROUND(SUM($F$19:F58),2),IF(A59=$D$8,$E$18-ROUND(SUM($F$19:F58),2),ROUND($E$18/$D$8,2))))</f>
        <v>16666.669999999998</v>
      </c>
      <c r="G59" s="29">
        <f ca="1">IF(A58=$D$8,ROUND(SUM($G$19:G58),2),IF(A59&gt;$F$8,"",IF(N59&lt;&gt;N58,ROUND(SUM(P59*$F$9*E58/N59,Q59*$F$9*E58/N58),2),ROUND(E58*$F$9*D59/N58,2))))</f>
        <v>68278.69</v>
      </c>
      <c r="H59" s="29">
        <f ca="1">IF(A58=$D$8,SUM($H$19:H58),IF(A58&gt;$D$8,"",F59+G59))</f>
        <v>84945.36</v>
      </c>
      <c r="I59" s="29" t="str">
        <f t="shared" si="14"/>
        <v/>
      </c>
      <c r="J59" s="29"/>
      <c r="K59" s="72" t="str">
        <f>IF(A58=$D$8,XIRR(H$18:H58,C$18:C58),"")</f>
        <v/>
      </c>
      <c r="L59" s="29" t="str">
        <f t="shared" si="4"/>
        <v/>
      </c>
      <c r="M59" s="22">
        <f t="shared" ca="1" si="6"/>
        <v>2024</v>
      </c>
      <c r="N59" s="22">
        <f t="shared" ca="1" si="7"/>
        <v>366</v>
      </c>
      <c r="O59" s="22">
        <f t="shared" ca="1" si="8"/>
        <v>12</v>
      </c>
      <c r="P59" s="23">
        <f t="shared" ca="1" si="9"/>
        <v>11</v>
      </c>
      <c r="Q59" s="24">
        <f t="shared" ca="1" si="10"/>
        <v>19</v>
      </c>
      <c r="R59" s="22"/>
    </row>
    <row r="60" spans="1:18" x14ac:dyDescent="0.35">
      <c r="A60" s="32">
        <f t="shared" si="11"/>
        <v>42</v>
      </c>
      <c r="B60" s="28">
        <f ca="1">EDATE($B$18,42)</f>
        <v>45669</v>
      </c>
      <c r="C60" s="28">
        <f t="shared" ca="1" si="5"/>
        <v>45669</v>
      </c>
      <c r="D60" s="32">
        <f t="shared" ca="1" si="15"/>
        <v>31</v>
      </c>
      <c r="E60" s="29">
        <f t="shared" si="16"/>
        <v>3299999.8633333365</v>
      </c>
      <c r="F60" s="29">
        <f>IF(AND(A59="",A61=""),"",IF(A60="",ROUND(SUM($F$19:F59),2),IF(A60=$D$8,$E$18-ROUND(SUM($F$19:F59),2),ROUND($E$18/$D$8,2))))</f>
        <v>16666.669999999998</v>
      </c>
      <c r="G60" s="29">
        <f ca="1">IF(A59=$D$8,ROUND(SUM($G$19:G59),2),IF(A60&gt;$F$8,"",IF(N60&lt;&gt;N59,ROUND(SUM(P60*$F$9*E59/N60,Q60*$F$9*E59/N59),2),ROUND(E59*$F$9*D60/N59,2))))</f>
        <v>70270.12</v>
      </c>
      <c r="H60" s="29">
        <f ca="1">IF(A59=$D$8,SUM($H$19:H59),IF(A59&gt;$D$8,"",F60+G60))</f>
        <v>86936.79</v>
      </c>
      <c r="I60" s="29" t="str">
        <f t="shared" si="14"/>
        <v/>
      </c>
      <c r="J60" s="29"/>
      <c r="K60" s="72" t="str">
        <f>IF(A59=$D$8,XIRR(H$18:H59,C$18:C59),"")</f>
        <v/>
      </c>
      <c r="L60" s="29" t="str">
        <f t="shared" si="4"/>
        <v/>
      </c>
      <c r="M60" s="22">
        <f t="shared" ca="1" si="6"/>
        <v>2025</v>
      </c>
      <c r="N60" s="22">
        <f t="shared" ca="1" si="7"/>
        <v>365</v>
      </c>
      <c r="O60" s="22">
        <f t="shared" ca="1" si="8"/>
        <v>12</v>
      </c>
      <c r="P60" s="23">
        <f t="shared" ca="1" si="9"/>
        <v>11</v>
      </c>
      <c r="Q60" s="24">
        <f t="shared" ca="1" si="10"/>
        <v>20</v>
      </c>
      <c r="R60" s="22"/>
    </row>
    <row r="61" spans="1:18" x14ac:dyDescent="0.35">
      <c r="A61" s="32">
        <f t="shared" si="11"/>
        <v>43</v>
      </c>
      <c r="B61" s="28">
        <f ca="1">EDATE($B$18,43)</f>
        <v>45700</v>
      </c>
      <c r="C61" s="28">
        <f t="shared" ca="1" si="5"/>
        <v>45700</v>
      </c>
      <c r="D61" s="32">
        <f t="shared" ca="1" si="15"/>
        <v>31</v>
      </c>
      <c r="E61" s="29">
        <f t="shared" si="16"/>
        <v>3283333.1933333366</v>
      </c>
      <c r="F61" s="29">
        <f>IF(AND(A60="",A62=""),"",IF(A61="",ROUND(SUM($F$19:F60),2),IF(A61=$D$8,$E$18-ROUND(SUM($F$19:F60),2),ROUND($E$18/$D$8,2))))</f>
        <v>16666.669999999998</v>
      </c>
      <c r="G61" s="29">
        <f ca="1">IF(A60=$D$8,ROUND(SUM($G$19:G60),2),IF(A61&gt;$F$8,"",IF(N61&lt;&gt;N60,ROUND(SUM(P61*$F$9*E60/N61,Q61*$F$9*E60/N60),2),ROUND(E60*$F$9*D61/N60,2))))</f>
        <v>70040.460000000006</v>
      </c>
      <c r="H61" s="29">
        <f ca="1">IF(A60=$D$8,SUM($H$19:H60),IF(A60&gt;$D$8,"",F61+G61))</f>
        <v>86707.13</v>
      </c>
      <c r="I61" s="29" t="str">
        <f t="shared" si="14"/>
        <v/>
      </c>
      <c r="J61" s="29"/>
      <c r="K61" s="72" t="str">
        <f>IF(A60=$D$8,XIRR(H$18:H60,C$18:C60),"")</f>
        <v/>
      </c>
      <c r="L61" s="29" t="str">
        <f t="shared" si="4"/>
        <v/>
      </c>
      <c r="M61" s="22">
        <f t="shared" ca="1" si="6"/>
        <v>2025</v>
      </c>
      <c r="N61" s="22">
        <f t="shared" ca="1" si="7"/>
        <v>365</v>
      </c>
      <c r="O61" s="22">
        <f t="shared" ca="1" si="8"/>
        <v>12</v>
      </c>
      <c r="P61" s="23">
        <f t="shared" ca="1" si="9"/>
        <v>11</v>
      </c>
      <c r="Q61" s="24">
        <f t="shared" ca="1" si="10"/>
        <v>20</v>
      </c>
      <c r="R61" s="22"/>
    </row>
    <row r="62" spans="1:18" x14ac:dyDescent="0.35">
      <c r="A62" s="32">
        <f t="shared" si="11"/>
        <v>44</v>
      </c>
      <c r="B62" s="28">
        <f ca="1">EDATE($B$18,44)</f>
        <v>45728</v>
      </c>
      <c r="C62" s="28">
        <f t="shared" ca="1" si="5"/>
        <v>45728</v>
      </c>
      <c r="D62" s="32">
        <f t="shared" ca="1" si="15"/>
        <v>28</v>
      </c>
      <c r="E62" s="29">
        <f t="shared" si="16"/>
        <v>3266666.5233333367</v>
      </c>
      <c r="F62" s="29">
        <f>IF(AND(A61="",A63=""),"",IF(A62="",ROUND(SUM($F$19:F61),2),IF(A62=$D$8,$E$18-ROUND(SUM($F$19:F61),2),ROUND($E$18/$D$8,2))))</f>
        <v>16666.669999999998</v>
      </c>
      <c r="G62" s="29">
        <f ca="1">IF(A61=$D$8,ROUND(SUM($G$19:G61),2),IF(A62&gt;$F$8,"",IF(N62&lt;&gt;N61,ROUND(SUM(P62*$F$9*E61/N62,Q62*$F$9*E61/N61),2),ROUND(E61*$F$9*D62/N61,2))))</f>
        <v>62942.85</v>
      </c>
      <c r="H62" s="29">
        <f ca="1">IF(A61=$D$8,SUM($H$19:H61),IF(A61&gt;$D$8,"",F62+G62))</f>
        <v>79609.51999999999</v>
      </c>
      <c r="I62" s="29" t="str">
        <f t="shared" si="14"/>
        <v/>
      </c>
      <c r="J62" s="29"/>
      <c r="K62" s="72" t="str">
        <f>IF(A61=$D$8,XIRR(H$18:H61,C$18:C61),"")</f>
        <v/>
      </c>
      <c r="L62" s="29" t="str">
        <f t="shared" si="4"/>
        <v/>
      </c>
      <c r="M62" s="22">
        <f t="shared" ca="1" si="6"/>
        <v>2025</v>
      </c>
      <c r="N62" s="22">
        <f t="shared" ca="1" si="7"/>
        <v>365</v>
      </c>
      <c r="O62" s="22">
        <f t="shared" ca="1" si="8"/>
        <v>12</v>
      </c>
      <c r="P62" s="23">
        <f t="shared" ca="1" si="9"/>
        <v>11</v>
      </c>
      <c r="Q62" s="24">
        <f t="shared" ca="1" si="10"/>
        <v>17</v>
      </c>
      <c r="R62" s="22"/>
    </row>
    <row r="63" spans="1:18" x14ac:dyDescent="0.35">
      <c r="A63" s="32">
        <f t="shared" si="11"/>
        <v>45</v>
      </c>
      <c r="B63" s="28">
        <f ca="1">EDATE($B$18,45)</f>
        <v>45759</v>
      </c>
      <c r="C63" s="28">
        <f t="shared" ca="1" si="5"/>
        <v>45759</v>
      </c>
      <c r="D63" s="32">
        <f t="shared" ca="1" si="15"/>
        <v>31</v>
      </c>
      <c r="E63" s="29">
        <f t="shared" si="16"/>
        <v>3249999.8533333368</v>
      </c>
      <c r="F63" s="29">
        <f>IF(AND(A62="",A64=""),"",IF(A63="",ROUND(SUM($F$19:F62),2),IF(A63=$D$8,$E$18-ROUND(SUM($F$19:F62),2),ROUND($E$18/$D$8,2))))</f>
        <v>16666.669999999998</v>
      </c>
      <c r="G63" s="29">
        <f ca="1">IF(A62=$D$8,ROUND(SUM($G$19:G62),2),IF(A63&gt;$F$8,"",IF(N63&lt;&gt;N62,ROUND(SUM(P63*$F$9*E62/N63,Q63*$F$9*E62/N62),2),ROUND(E62*$F$9*D63/N62,2))))</f>
        <v>69332.98</v>
      </c>
      <c r="H63" s="29">
        <f ca="1">IF(A62=$D$8,SUM($H$19:H62),IF(A62&gt;$D$8,"",F63+G63))</f>
        <v>85999.65</v>
      </c>
      <c r="I63" s="29" t="str">
        <f t="shared" si="14"/>
        <v/>
      </c>
      <c r="J63" s="29"/>
      <c r="K63" s="72" t="str">
        <f>IF(A62=$D$8,XIRR(H$18:H62,C$18:C62),"")</f>
        <v/>
      </c>
      <c r="L63" s="29" t="str">
        <f t="shared" si="4"/>
        <v/>
      </c>
      <c r="M63" s="22">
        <f t="shared" ca="1" si="6"/>
        <v>2025</v>
      </c>
      <c r="N63" s="22">
        <f t="shared" ca="1" si="7"/>
        <v>365</v>
      </c>
      <c r="O63" s="22">
        <f t="shared" ca="1" si="8"/>
        <v>12</v>
      </c>
      <c r="P63" s="23">
        <f t="shared" ca="1" si="9"/>
        <v>11</v>
      </c>
      <c r="Q63" s="24">
        <f t="shared" ca="1" si="10"/>
        <v>20</v>
      </c>
      <c r="R63" s="22"/>
    </row>
    <row r="64" spans="1:18" x14ac:dyDescent="0.35">
      <c r="A64" s="32">
        <f t="shared" si="11"/>
        <v>46</v>
      </c>
      <c r="B64" s="28">
        <f ca="1">EDATE($B$18,46)</f>
        <v>45789</v>
      </c>
      <c r="C64" s="28">
        <f t="shared" ca="1" si="5"/>
        <v>45789</v>
      </c>
      <c r="D64" s="32">
        <f t="shared" ca="1" si="15"/>
        <v>30</v>
      </c>
      <c r="E64" s="29">
        <f t="shared" si="16"/>
        <v>3233333.1833333368</v>
      </c>
      <c r="F64" s="29">
        <f>IF(AND(A63="",A65=""),"",IF(A64="",ROUND(SUM($F$19:F63),2),IF(A64=$D$8,$E$18-ROUND(SUM($F$19:F63),2),ROUND($E$18/$D$8,2))))</f>
        <v>16666.669999999998</v>
      </c>
      <c r="G64" s="29">
        <f ca="1">IF(A63=$D$8,ROUND(SUM($G$19:G63),2),IF(A64&gt;$F$8,"",IF(N64&lt;&gt;N63,ROUND(SUM(P64*$F$9*E63/N64,Q64*$F$9*E63/N63),2),ROUND(E63*$F$9*D64/N63,2))))</f>
        <v>66754.11</v>
      </c>
      <c r="H64" s="29">
        <f ca="1">IF(A63=$D$8,SUM($H$19:H63),IF(A63&gt;$D$8,"",F64+G64))</f>
        <v>83420.78</v>
      </c>
      <c r="I64" s="29" t="str">
        <f t="shared" si="14"/>
        <v/>
      </c>
      <c r="J64" s="29"/>
      <c r="K64" s="72" t="str">
        <f>IF(A63=$D$8,XIRR(H$18:H63,C$18:C63),"")</f>
        <v/>
      </c>
      <c r="L64" s="29" t="str">
        <f t="shared" si="4"/>
        <v/>
      </c>
      <c r="M64" s="22">
        <f t="shared" ca="1" si="6"/>
        <v>2025</v>
      </c>
      <c r="N64" s="22">
        <f t="shared" ca="1" si="7"/>
        <v>365</v>
      </c>
      <c r="O64" s="22">
        <f t="shared" ca="1" si="8"/>
        <v>12</v>
      </c>
      <c r="P64" s="23">
        <f t="shared" ca="1" si="9"/>
        <v>11</v>
      </c>
      <c r="Q64" s="24">
        <f t="shared" ca="1" si="10"/>
        <v>19</v>
      </c>
      <c r="R64" s="22"/>
    </row>
    <row r="65" spans="1:18" x14ac:dyDescent="0.35">
      <c r="A65" s="32">
        <f t="shared" si="11"/>
        <v>47</v>
      </c>
      <c r="B65" s="28">
        <f ca="1">EDATE($B$18,47)</f>
        <v>45820</v>
      </c>
      <c r="C65" s="28">
        <f t="shared" ca="1" si="5"/>
        <v>45820</v>
      </c>
      <c r="D65" s="32">
        <f t="shared" ca="1" si="15"/>
        <v>31</v>
      </c>
      <c r="E65" s="29">
        <f t="shared" si="16"/>
        <v>3216666.5133333369</v>
      </c>
      <c r="F65" s="29">
        <f>IF(AND(A64="",A66=""),"",IF(A65="",ROUND(SUM($F$19:F64),2),IF(A65=$D$8,$E$18-ROUND(SUM($F$19:F64),2),ROUND($E$18/$D$8,2))))</f>
        <v>16666.669999999998</v>
      </c>
      <c r="G65" s="29">
        <f ca="1">IF(A64=$D$8,ROUND(SUM($G$19:G64),2),IF(A65&gt;$F$8,"",IF(N65&lt;&gt;N64,ROUND(SUM(P65*$F$9*E64/N65,Q65*$F$9*E64/N64),2),ROUND(E64*$F$9*D65/N64,2))))</f>
        <v>68625.5</v>
      </c>
      <c r="H65" s="29">
        <f ca="1">IF(A64=$D$8,SUM($H$19:H64),IF(A64&gt;$D$8,"",F65+G65))</f>
        <v>85292.17</v>
      </c>
      <c r="I65" s="29" t="str">
        <f t="shared" si="14"/>
        <v/>
      </c>
      <c r="J65" s="29"/>
      <c r="K65" s="72" t="str">
        <f>IF(A64=$D$8,XIRR(H$18:H64,C$18:C64),"")</f>
        <v/>
      </c>
      <c r="L65" s="29" t="str">
        <f t="shared" si="4"/>
        <v/>
      </c>
      <c r="M65" s="22">
        <f t="shared" ca="1" si="6"/>
        <v>2025</v>
      </c>
      <c r="N65" s="22">
        <f t="shared" ca="1" si="7"/>
        <v>365</v>
      </c>
      <c r="O65" s="22">
        <f t="shared" ca="1" si="8"/>
        <v>12</v>
      </c>
      <c r="P65" s="23">
        <f t="shared" ca="1" si="9"/>
        <v>11</v>
      </c>
      <c r="Q65" s="24">
        <f t="shared" ca="1" si="10"/>
        <v>20</v>
      </c>
      <c r="R65" s="22"/>
    </row>
    <row r="66" spans="1:18" x14ac:dyDescent="0.35">
      <c r="A66" s="32">
        <f t="shared" si="11"/>
        <v>48</v>
      </c>
      <c r="B66" s="28">
        <f ca="1">EDATE($B$18,48)</f>
        <v>45850</v>
      </c>
      <c r="C66" s="28">
        <f t="shared" ca="1" si="5"/>
        <v>45850</v>
      </c>
      <c r="D66" s="32">
        <f t="shared" ca="1" si="15"/>
        <v>30</v>
      </c>
      <c r="E66" s="29">
        <f t="shared" si="16"/>
        <v>3199999.843333337</v>
      </c>
      <c r="F66" s="29">
        <f>IF(AND(A65="",A67=""),"",IF(A66="",ROUND(SUM($F$19:F65),2),IF(A66=$D$8,$E$18-ROUND(SUM($F$19:F65),2),ROUND($E$18/$D$8,2))))</f>
        <v>16666.669999999998</v>
      </c>
      <c r="G66" s="29">
        <f ca="1">IF(A65=$D$8,ROUND(SUM($G$19:G65),2),IF(A66&gt;$F$8,"",IF(N66&lt;&gt;N65,ROUND(SUM(P66*$F$9*E65/N66,Q66*$F$9*E65/N65),2),ROUND(E65*$F$9*D66/N65,2))))</f>
        <v>66069.45</v>
      </c>
      <c r="H66" s="29">
        <f ca="1">IF(A65=$D$8,SUM($H$19:H65),IF(A65&gt;$D$8,"",F66+G66))</f>
        <v>82736.12</v>
      </c>
      <c r="I66" s="29" t="str">
        <f t="shared" si="14"/>
        <v/>
      </c>
      <c r="J66" s="29"/>
      <c r="K66" s="72" t="str">
        <f>IF(A65=$D$8,XIRR(H$18:H65,C$18:C65),"")</f>
        <v/>
      </c>
      <c r="L66" s="29" t="str">
        <f t="shared" si="4"/>
        <v/>
      </c>
      <c r="M66" s="22">
        <f t="shared" ca="1" si="6"/>
        <v>2025</v>
      </c>
      <c r="N66" s="22">
        <f t="shared" ca="1" si="7"/>
        <v>365</v>
      </c>
      <c r="O66" s="22">
        <f t="shared" ca="1" si="8"/>
        <v>12</v>
      </c>
      <c r="P66" s="23">
        <f t="shared" ca="1" si="9"/>
        <v>11</v>
      </c>
      <c r="Q66" s="24">
        <f t="shared" ca="1" si="10"/>
        <v>19</v>
      </c>
      <c r="R66" s="22"/>
    </row>
    <row r="67" spans="1:18" x14ac:dyDescent="0.35">
      <c r="A67" s="32">
        <f t="shared" si="11"/>
        <v>49</v>
      </c>
      <c r="B67" s="28">
        <f ca="1">EDATE($B$18,49)</f>
        <v>45881</v>
      </c>
      <c r="C67" s="28">
        <f t="shared" ca="1" si="5"/>
        <v>45881</v>
      </c>
      <c r="D67" s="32">
        <f t="shared" ca="1" si="15"/>
        <v>31</v>
      </c>
      <c r="E67" s="29">
        <f t="shared" si="16"/>
        <v>3183333.1733333371</v>
      </c>
      <c r="F67" s="29">
        <f>IF(AND(A66="",A68=""),"",IF(A67="",ROUND(SUM($F$19:F66),2),IF(A67=$D$8,$E$18-ROUND(SUM($F$19:F66),2),ROUND($E$18/$D$8,2))))</f>
        <v>16666.669999999998</v>
      </c>
      <c r="G67" s="29">
        <f ca="1">IF(A66=$D$8,ROUND(SUM($G$19:G66),2),IF(A67&gt;$F$8,"",IF(N67&lt;&gt;N66,ROUND(SUM(P67*$F$9*E66/N67,Q67*$F$9*E66/N66),2),ROUND(E66*$F$9*D67/N66,2))))</f>
        <v>67918.02</v>
      </c>
      <c r="H67" s="29">
        <f ca="1">IF(A66=$D$8,SUM($H$19:H66),IF(A66&gt;$D$8,"",F67+G67))</f>
        <v>84584.69</v>
      </c>
      <c r="I67" s="29" t="str">
        <f t="shared" si="14"/>
        <v/>
      </c>
      <c r="J67" s="29"/>
      <c r="K67" s="72" t="str">
        <f>IF(A66=$D$8,XIRR(H$18:H66,C$18:C66),"")</f>
        <v/>
      </c>
      <c r="L67" s="29" t="str">
        <f t="shared" si="4"/>
        <v/>
      </c>
      <c r="M67" s="22">
        <f t="shared" ca="1" si="6"/>
        <v>2025</v>
      </c>
      <c r="N67" s="22">
        <f t="shared" ca="1" si="7"/>
        <v>365</v>
      </c>
      <c r="O67" s="22">
        <f t="shared" ca="1" si="8"/>
        <v>12</v>
      </c>
      <c r="P67" s="23">
        <f t="shared" ca="1" si="9"/>
        <v>11</v>
      </c>
      <c r="Q67" s="24">
        <f t="shared" ca="1" si="10"/>
        <v>20</v>
      </c>
      <c r="R67" s="22"/>
    </row>
    <row r="68" spans="1:18" x14ac:dyDescent="0.35">
      <c r="A68" s="32">
        <f t="shared" si="11"/>
        <v>50</v>
      </c>
      <c r="B68" s="28">
        <f ca="1">EDATE($B$18,50)</f>
        <v>45912</v>
      </c>
      <c r="C68" s="28">
        <f t="shared" ca="1" si="5"/>
        <v>45912</v>
      </c>
      <c r="D68" s="32">
        <f t="shared" ca="1" si="15"/>
        <v>31</v>
      </c>
      <c r="E68" s="29">
        <f t="shared" si="16"/>
        <v>3166666.5033333371</v>
      </c>
      <c r="F68" s="29">
        <f>IF(AND(A67="",A69=""),"",IF(A68="",ROUND(SUM($F$19:F67),2),IF(A68=$D$8,$E$18-ROUND(SUM($F$19:F67),2),ROUND($E$18/$D$8,2))))</f>
        <v>16666.669999999998</v>
      </c>
      <c r="G68" s="29">
        <f ca="1">IF(A67=$D$8,ROUND(SUM($G$19:G67),2),IF(A68&gt;$F$8,"",IF(N68&lt;&gt;N67,ROUND(SUM(P68*$F$9*E67/N68,Q68*$F$9*E67/N67),2),ROUND(E67*$F$9*D68/N67,2))))</f>
        <v>67564.28</v>
      </c>
      <c r="H68" s="29">
        <f ca="1">IF(A67=$D$8,SUM($H$19:H67),IF(A67&gt;$D$8,"",F68+G68))</f>
        <v>84230.95</v>
      </c>
      <c r="I68" s="29" t="str">
        <f t="shared" si="14"/>
        <v/>
      </c>
      <c r="J68" s="29"/>
      <c r="K68" s="72" t="str">
        <f>IF(A67=$D$8,XIRR(H$18:H67,C$18:C67),"")</f>
        <v/>
      </c>
      <c r="L68" s="29" t="str">
        <f t="shared" si="4"/>
        <v/>
      </c>
      <c r="M68" s="22">
        <f t="shared" ca="1" si="6"/>
        <v>2025</v>
      </c>
      <c r="N68" s="22">
        <f t="shared" ca="1" si="7"/>
        <v>365</v>
      </c>
      <c r="O68" s="22">
        <f t="shared" ca="1" si="8"/>
        <v>12</v>
      </c>
      <c r="P68" s="23">
        <f t="shared" ca="1" si="9"/>
        <v>11</v>
      </c>
      <c r="Q68" s="24">
        <f t="shared" ca="1" si="10"/>
        <v>20</v>
      </c>
      <c r="R68" s="22"/>
    </row>
    <row r="69" spans="1:18" x14ac:dyDescent="0.35">
      <c r="A69" s="32">
        <f t="shared" si="11"/>
        <v>51</v>
      </c>
      <c r="B69" s="28">
        <f ca="1">EDATE($B$18,51)</f>
        <v>45942</v>
      </c>
      <c r="C69" s="28">
        <f t="shared" ca="1" si="5"/>
        <v>45942</v>
      </c>
      <c r="D69" s="32">
        <f t="shared" ca="1" si="15"/>
        <v>30</v>
      </c>
      <c r="E69" s="29">
        <f t="shared" si="16"/>
        <v>3149999.8333333372</v>
      </c>
      <c r="F69" s="29">
        <f>IF(AND(A68="",A70=""),"",IF(A69="",ROUND(SUM($F$19:F68),2),IF(A69=$D$8,$E$18-ROUND(SUM($F$19:F68),2),ROUND($E$18/$D$8,2))))</f>
        <v>16666.669999999998</v>
      </c>
      <c r="G69" s="29">
        <f ca="1">IF(A68=$D$8,ROUND(SUM($G$19:G68),2),IF(A69&gt;$F$8,"",IF(N69&lt;&gt;N68,ROUND(SUM(P69*$F$9*E68/N69,Q69*$F$9*E68/N68),2),ROUND(E68*$F$9*D69/N68,2))))</f>
        <v>65042.46</v>
      </c>
      <c r="H69" s="29">
        <f ca="1">IF(A68=$D$8,SUM($H$19:H68),IF(A68&gt;$D$8,"",F69+G69))</f>
        <v>81709.13</v>
      </c>
      <c r="I69" s="29" t="str">
        <f t="shared" si="14"/>
        <v/>
      </c>
      <c r="J69" s="29"/>
      <c r="K69" s="72" t="str">
        <f>IF(A68=$D$8,XIRR(H$18:H68,C$18:C68),"")</f>
        <v/>
      </c>
      <c r="L69" s="29" t="str">
        <f t="shared" si="4"/>
        <v/>
      </c>
      <c r="M69" s="22">
        <f t="shared" ca="1" si="6"/>
        <v>2025</v>
      </c>
      <c r="N69" s="22">
        <f t="shared" ca="1" si="7"/>
        <v>365</v>
      </c>
      <c r="O69" s="22">
        <f t="shared" ca="1" si="8"/>
        <v>12</v>
      </c>
      <c r="P69" s="23">
        <f t="shared" ca="1" si="9"/>
        <v>11</v>
      </c>
      <c r="Q69" s="24">
        <f t="shared" ca="1" si="10"/>
        <v>19</v>
      </c>
      <c r="R69" s="22"/>
    </row>
    <row r="70" spans="1:18" x14ac:dyDescent="0.35">
      <c r="A70" s="32">
        <f t="shared" si="11"/>
        <v>52</v>
      </c>
      <c r="B70" s="28">
        <f ca="1">EDATE($B$18,52)</f>
        <v>45973</v>
      </c>
      <c r="C70" s="28">
        <f t="shared" ca="1" si="5"/>
        <v>45973</v>
      </c>
      <c r="D70" s="32">
        <f t="shared" ca="1" si="15"/>
        <v>31</v>
      </c>
      <c r="E70" s="29">
        <f t="shared" si="16"/>
        <v>3133333.1633333373</v>
      </c>
      <c r="F70" s="29">
        <f>IF(AND(A69="",A71=""),"",IF(A70="",ROUND(SUM($F$19:F69),2),IF(A70=$D$8,$E$18-ROUND(SUM($F$19:F69),2),ROUND($E$18/$D$8,2))))</f>
        <v>16666.669999999998</v>
      </c>
      <c r="G70" s="29">
        <f ca="1">IF(A69=$D$8,ROUND(SUM($G$19:G69),2),IF(A70&gt;$F$8,"",IF(N70&lt;&gt;N69,ROUND(SUM(P70*$F$9*E69/N70,Q70*$F$9*E69/N69),2),ROUND(E69*$F$9*D70/N69,2))))</f>
        <v>66856.800000000003</v>
      </c>
      <c r="H70" s="29">
        <f ca="1">IF(A69=$D$8,SUM($H$19:H69),IF(A69&gt;$D$8,"",F70+G70))</f>
        <v>83523.47</v>
      </c>
      <c r="I70" s="29" t="str">
        <f t="shared" si="14"/>
        <v/>
      </c>
      <c r="J70" s="29"/>
      <c r="K70" s="72" t="str">
        <f>IF(A69=$D$8,XIRR(H$18:H69,C$18:C69),"")</f>
        <v/>
      </c>
      <c r="L70" s="29" t="str">
        <f t="shared" si="4"/>
        <v/>
      </c>
      <c r="M70" s="22">
        <f t="shared" ca="1" si="6"/>
        <v>2025</v>
      </c>
      <c r="N70" s="22">
        <f t="shared" ca="1" si="7"/>
        <v>365</v>
      </c>
      <c r="O70" s="22">
        <f t="shared" ca="1" si="8"/>
        <v>12</v>
      </c>
      <c r="P70" s="23">
        <f t="shared" ca="1" si="9"/>
        <v>11</v>
      </c>
      <c r="Q70" s="24">
        <f t="shared" ca="1" si="10"/>
        <v>20</v>
      </c>
      <c r="R70" s="22"/>
    </row>
    <row r="71" spans="1:18" x14ac:dyDescent="0.35">
      <c r="A71" s="32">
        <f t="shared" si="11"/>
        <v>53</v>
      </c>
      <c r="B71" s="28">
        <f ca="1">EDATE($B$18,53)</f>
        <v>46003</v>
      </c>
      <c r="C71" s="28">
        <f t="shared" ca="1" si="5"/>
        <v>46003</v>
      </c>
      <c r="D71" s="32">
        <f t="shared" ca="1" si="15"/>
        <v>30</v>
      </c>
      <c r="E71" s="29">
        <f t="shared" si="16"/>
        <v>3116666.4933333374</v>
      </c>
      <c r="F71" s="29">
        <f>IF(AND(A70="",A72=""),"",IF(A71="",ROUND(SUM($F$19:F70),2),IF(A71=$D$8,$E$18-ROUND(SUM($F$19:F70),2),ROUND($E$18/$D$8,2))))</f>
        <v>16666.669999999998</v>
      </c>
      <c r="G71" s="29">
        <f ca="1">IF(A70=$D$8,ROUND(SUM($G$19:G70),2),IF(A71&gt;$F$8,"",IF(N71&lt;&gt;N70,ROUND(SUM(P71*$F$9*E70/N71,Q71*$F$9*E70/N70),2),ROUND(E70*$F$9*D71/N70,2))))</f>
        <v>64357.8</v>
      </c>
      <c r="H71" s="29">
        <f ca="1">IF(A70=$D$8,SUM($H$19:H70),IF(A70&gt;$D$8,"",F71+G71))</f>
        <v>81024.47</v>
      </c>
      <c r="I71" s="29" t="str">
        <f t="shared" si="14"/>
        <v/>
      </c>
      <c r="J71" s="29"/>
      <c r="K71" s="72" t="str">
        <f>IF(A70=$D$8,XIRR(H$18:H70,C$18:C70),"")</f>
        <v/>
      </c>
      <c r="L71" s="29" t="str">
        <f t="shared" si="4"/>
        <v/>
      </c>
      <c r="M71" s="22">
        <f t="shared" ca="1" si="6"/>
        <v>2025</v>
      </c>
      <c r="N71" s="22">
        <f t="shared" ca="1" si="7"/>
        <v>365</v>
      </c>
      <c r="O71" s="22">
        <f t="shared" ca="1" si="8"/>
        <v>12</v>
      </c>
      <c r="P71" s="23">
        <f t="shared" ca="1" si="9"/>
        <v>11</v>
      </c>
      <c r="Q71" s="24">
        <f t="shared" ca="1" si="10"/>
        <v>19</v>
      </c>
      <c r="R71" s="22"/>
    </row>
    <row r="72" spans="1:18" x14ac:dyDescent="0.35">
      <c r="A72" s="32">
        <f t="shared" si="11"/>
        <v>54</v>
      </c>
      <c r="B72" s="28">
        <f ca="1">EDATE($B$18,54)</f>
        <v>46034</v>
      </c>
      <c r="C72" s="28">
        <f t="shared" ca="1" si="5"/>
        <v>46034</v>
      </c>
      <c r="D72" s="32">
        <f t="shared" ca="1" si="15"/>
        <v>31</v>
      </c>
      <c r="E72" s="29">
        <f t="shared" si="16"/>
        <v>3099999.8233333374</v>
      </c>
      <c r="F72" s="29">
        <f>IF(AND(A71="",A73=""),"",IF(A72="",ROUND(SUM($F$19:F71),2),IF(A72=$D$8,$E$18-ROUND(SUM($F$19:F71),2),ROUND($E$18/$D$8,2))))</f>
        <v>16666.669999999998</v>
      </c>
      <c r="G72" s="29">
        <f ca="1">IF(A71=$D$8,ROUND(SUM($G$19:G71),2),IF(A72&gt;$F$8,"",IF(N72&lt;&gt;N71,ROUND(SUM(P72*$F$9*E71/N72,Q72*$F$9*E71/N71),2),ROUND(E71*$F$9*D72/N71,2))))</f>
        <v>66149.33</v>
      </c>
      <c r="H72" s="29">
        <f ca="1">IF(A71=$D$8,SUM($H$19:H71),IF(A71&gt;$D$8,"",F72+G72))</f>
        <v>82816</v>
      </c>
      <c r="I72" s="29" t="str">
        <f t="shared" si="14"/>
        <v/>
      </c>
      <c r="J72" s="29"/>
      <c r="K72" s="72" t="str">
        <f>IF(A71=$D$8,XIRR(H$18:H71,C$18:C71),"")</f>
        <v/>
      </c>
      <c r="L72" s="29" t="str">
        <f t="shared" si="4"/>
        <v/>
      </c>
      <c r="M72" s="22">
        <f t="shared" ca="1" si="6"/>
        <v>2026</v>
      </c>
      <c r="N72" s="22">
        <f t="shared" ca="1" si="7"/>
        <v>365</v>
      </c>
      <c r="O72" s="22">
        <f t="shared" ca="1" si="8"/>
        <v>12</v>
      </c>
      <c r="P72" s="23">
        <f t="shared" ca="1" si="9"/>
        <v>11</v>
      </c>
      <c r="Q72" s="24">
        <f t="shared" ca="1" si="10"/>
        <v>20</v>
      </c>
      <c r="R72" s="22"/>
    </row>
    <row r="73" spans="1:18" x14ac:dyDescent="0.35">
      <c r="A73" s="32">
        <f t="shared" si="11"/>
        <v>55</v>
      </c>
      <c r="B73" s="28">
        <f ca="1">EDATE($B$18,55)</f>
        <v>46065</v>
      </c>
      <c r="C73" s="28">
        <f t="shared" ca="1" si="5"/>
        <v>46065</v>
      </c>
      <c r="D73" s="32">
        <f t="shared" ca="1" si="15"/>
        <v>31</v>
      </c>
      <c r="E73" s="29">
        <f t="shared" si="16"/>
        <v>3083333.1533333375</v>
      </c>
      <c r="F73" s="29">
        <f>IF(AND(A72="",A74=""),"",IF(A73="",ROUND(SUM($F$19:F72),2),IF(A73=$D$8,$E$18-ROUND(SUM($F$19:F72),2),ROUND($E$18/$D$8,2))))</f>
        <v>16666.669999999998</v>
      </c>
      <c r="G73" s="29">
        <f ca="1">IF(A72=$D$8,ROUND(SUM($G$19:G72),2),IF(A73&gt;$F$8,"",IF(N73&lt;&gt;N72,ROUND(SUM(P73*$F$9*E72/N73,Q73*$F$9*E72/N72),2),ROUND(E72*$F$9*D73/N72,2))))</f>
        <v>65795.59</v>
      </c>
      <c r="H73" s="29">
        <f ca="1">IF(A72=$D$8,SUM($H$19:H72),IF(A72&gt;$D$8,"",F73+G73))</f>
        <v>82462.259999999995</v>
      </c>
      <c r="I73" s="29" t="str">
        <f t="shared" si="14"/>
        <v/>
      </c>
      <c r="J73" s="29"/>
      <c r="K73" s="72" t="str">
        <f>IF(A72=$D$8,XIRR(H$18:H72,C$18:C72),"")</f>
        <v/>
      </c>
      <c r="L73" s="29" t="str">
        <f t="shared" si="4"/>
        <v/>
      </c>
      <c r="M73" s="22">
        <f t="shared" ca="1" si="6"/>
        <v>2026</v>
      </c>
      <c r="N73" s="22">
        <f t="shared" ca="1" si="7"/>
        <v>365</v>
      </c>
      <c r="O73" s="22">
        <f t="shared" ca="1" si="8"/>
        <v>12</v>
      </c>
      <c r="P73" s="23">
        <f t="shared" ca="1" si="9"/>
        <v>11</v>
      </c>
      <c r="Q73" s="24">
        <f t="shared" ca="1" si="10"/>
        <v>20</v>
      </c>
      <c r="R73" s="22"/>
    </row>
    <row r="74" spans="1:18" x14ac:dyDescent="0.35">
      <c r="A74" s="32">
        <f t="shared" si="11"/>
        <v>56</v>
      </c>
      <c r="B74" s="28">
        <f ca="1">EDATE($B$18,56)</f>
        <v>46093</v>
      </c>
      <c r="C74" s="28">
        <f t="shared" ca="1" si="5"/>
        <v>46093</v>
      </c>
      <c r="D74" s="32">
        <f t="shared" ca="1" si="15"/>
        <v>28</v>
      </c>
      <c r="E74" s="29">
        <f t="shared" si="16"/>
        <v>3066666.4833333376</v>
      </c>
      <c r="F74" s="29">
        <f>IF(AND(A73="",A75=""),"",IF(A74="",ROUND(SUM($F$19:F73),2),IF(A74=$D$8,$E$18-ROUND(SUM($F$19:F73),2),ROUND($E$18/$D$8,2))))</f>
        <v>16666.669999999998</v>
      </c>
      <c r="G74" s="29">
        <f ca="1">IF(A73=$D$8,ROUND(SUM($G$19:G73),2),IF(A74&gt;$F$8,"",IF(N74&lt;&gt;N73,ROUND(SUM(P74*$F$9*E73/N74,Q74*$F$9*E73/N73),2),ROUND(E73*$F$9*D74/N73,2))))</f>
        <v>59108.76</v>
      </c>
      <c r="H74" s="29">
        <f ca="1">IF(A73=$D$8,SUM($H$19:H73),IF(A73&gt;$D$8,"",F74+G74))</f>
        <v>75775.429999999993</v>
      </c>
      <c r="I74" s="29" t="str">
        <f t="shared" si="14"/>
        <v/>
      </c>
      <c r="J74" s="29"/>
      <c r="K74" s="72" t="str">
        <f>IF(A73=$D$8,XIRR(H$18:H73,C$18:C73),"")</f>
        <v/>
      </c>
      <c r="L74" s="29" t="str">
        <f t="shared" si="4"/>
        <v/>
      </c>
      <c r="M74" s="22">
        <f t="shared" ca="1" si="6"/>
        <v>2026</v>
      </c>
      <c r="N74" s="22">
        <f t="shared" ca="1" si="7"/>
        <v>365</v>
      </c>
      <c r="O74" s="22">
        <f t="shared" ca="1" si="8"/>
        <v>12</v>
      </c>
      <c r="P74" s="23">
        <f t="shared" ca="1" si="9"/>
        <v>11</v>
      </c>
      <c r="Q74" s="24">
        <f t="shared" ca="1" si="10"/>
        <v>17</v>
      </c>
      <c r="R74" s="22"/>
    </row>
    <row r="75" spans="1:18" x14ac:dyDescent="0.35">
      <c r="A75" s="32">
        <f t="shared" si="11"/>
        <v>57</v>
      </c>
      <c r="B75" s="28">
        <f ca="1">EDATE($B$18,57)</f>
        <v>46124</v>
      </c>
      <c r="C75" s="28">
        <f t="shared" ca="1" si="5"/>
        <v>46124</v>
      </c>
      <c r="D75" s="32">
        <f t="shared" ca="1" si="15"/>
        <v>31</v>
      </c>
      <c r="E75" s="29">
        <f t="shared" si="16"/>
        <v>3049999.8133333377</v>
      </c>
      <c r="F75" s="29">
        <f>IF(AND(A74="",A76=""),"",IF(A75="",ROUND(SUM($F$19:F74),2),IF(A75=$D$8,$E$18-ROUND(SUM($F$19:F74),2),ROUND($E$18/$D$8,2))))</f>
        <v>16666.669999999998</v>
      </c>
      <c r="G75" s="29">
        <f ca="1">IF(A74=$D$8,ROUND(SUM($G$19:G74),2),IF(A75&gt;$F$8,"",IF(N75&lt;&gt;N74,ROUND(SUM(P75*$F$9*E74/N75,Q75*$F$9*E74/N74),2),ROUND(E74*$F$9*D75/N74,2))))</f>
        <v>65088.11</v>
      </c>
      <c r="H75" s="29">
        <f ca="1">IF(A74=$D$8,SUM($H$19:H74),IF(A74&gt;$D$8,"",F75+G75))</f>
        <v>81754.78</v>
      </c>
      <c r="I75" s="29" t="str">
        <f t="shared" si="14"/>
        <v/>
      </c>
      <c r="J75" s="29"/>
      <c r="K75" s="72" t="str">
        <f>IF(A74=$D$8,XIRR(H$18:H74,C$18:C74),"")</f>
        <v/>
      </c>
      <c r="L75" s="29" t="str">
        <f t="shared" si="4"/>
        <v/>
      </c>
      <c r="M75" s="22">
        <f t="shared" ca="1" si="6"/>
        <v>2026</v>
      </c>
      <c r="N75" s="22">
        <f t="shared" ca="1" si="7"/>
        <v>365</v>
      </c>
      <c r="O75" s="22">
        <f t="shared" ca="1" si="8"/>
        <v>12</v>
      </c>
      <c r="P75" s="23">
        <f t="shared" ca="1" si="9"/>
        <v>11</v>
      </c>
      <c r="Q75" s="24">
        <f t="shared" ca="1" si="10"/>
        <v>20</v>
      </c>
      <c r="R75" s="22"/>
    </row>
    <row r="76" spans="1:18" x14ac:dyDescent="0.35">
      <c r="A76" s="32">
        <f t="shared" si="11"/>
        <v>58</v>
      </c>
      <c r="B76" s="28">
        <f ca="1">EDATE($B$18,58)</f>
        <v>46154</v>
      </c>
      <c r="C76" s="28">
        <f t="shared" ca="1" si="5"/>
        <v>46154</v>
      </c>
      <c r="D76" s="32">
        <f t="shared" ca="1" si="15"/>
        <v>30</v>
      </c>
      <c r="E76" s="29">
        <f t="shared" si="16"/>
        <v>3033333.1433333377</v>
      </c>
      <c r="F76" s="29">
        <f>IF(AND(A75="",A77=""),"",IF(A76="",ROUND(SUM($F$19:F75),2),IF(A76=$D$8,$E$18-ROUND(SUM($F$19:F75),2),ROUND($E$18/$D$8,2))))</f>
        <v>16666.669999999998</v>
      </c>
      <c r="G76" s="29">
        <f ca="1">IF(A75=$D$8,ROUND(SUM($G$19:G75),2),IF(A76&gt;$F$8,"",IF(N76&lt;&gt;N75,ROUND(SUM(P76*$F$9*E75/N76,Q76*$F$9*E75/N75),2),ROUND(E75*$F$9*D76/N75,2))))</f>
        <v>62646.16</v>
      </c>
      <c r="H76" s="29">
        <f ca="1">IF(A75=$D$8,SUM($H$19:H75),IF(A75&gt;$D$8,"",F76+G76))</f>
        <v>79312.83</v>
      </c>
      <c r="I76" s="29" t="str">
        <f t="shared" si="14"/>
        <v/>
      </c>
      <c r="J76" s="29"/>
      <c r="K76" s="72" t="str">
        <f>IF(A75=$D$8,XIRR(H$18:H75,C$18:C75),"")</f>
        <v/>
      </c>
      <c r="L76" s="29" t="str">
        <f t="shared" si="4"/>
        <v/>
      </c>
      <c r="M76" s="22">
        <f t="shared" ca="1" si="6"/>
        <v>2026</v>
      </c>
      <c r="N76" s="22">
        <f t="shared" ca="1" si="7"/>
        <v>365</v>
      </c>
      <c r="O76" s="22">
        <f t="shared" ca="1" si="8"/>
        <v>12</v>
      </c>
      <c r="P76" s="23">
        <f t="shared" ca="1" si="9"/>
        <v>11</v>
      </c>
      <c r="Q76" s="24">
        <f t="shared" ca="1" si="10"/>
        <v>19</v>
      </c>
      <c r="R76" s="22"/>
    </row>
    <row r="77" spans="1:18" x14ac:dyDescent="0.35">
      <c r="A77" s="32">
        <f t="shared" si="11"/>
        <v>59</v>
      </c>
      <c r="B77" s="28">
        <f ca="1">EDATE($B$18,59)</f>
        <v>46185</v>
      </c>
      <c r="C77" s="28">
        <f t="shared" ca="1" si="5"/>
        <v>46185</v>
      </c>
      <c r="D77" s="32">
        <f t="shared" ca="1" si="15"/>
        <v>31</v>
      </c>
      <c r="E77" s="29">
        <f t="shared" si="16"/>
        <v>3016666.4733333378</v>
      </c>
      <c r="F77" s="29">
        <f>IF(AND(A76="",A78=""),"",IF(A77="",ROUND(SUM($F$19:F76),2),IF(A77=$D$8,$E$18-ROUND(SUM($F$19:F76),2),ROUND($E$18/$D$8,2))))</f>
        <v>16666.669999999998</v>
      </c>
      <c r="G77" s="29">
        <f ca="1">IF(A76=$D$8,ROUND(SUM($G$19:G76),2),IF(A77&gt;$F$8,"",IF(N77&lt;&gt;N76,ROUND(SUM(P77*$F$9*E76/N77,Q77*$F$9*E76/N76),2),ROUND(E76*$F$9*D77/N76,2))))</f>
        <v>64380.63</v>
      </c>
      <c r="H77" s="29">
        <f ca="1">IF(A76=$D$8,SUM($H$19:H76),IF(A76&gt;$D$8,"",F77+G77))</f>
        <v>81047.299999999988</v>
      </c>
      <c r="I77" s="29" t="str">
        <f t="shared" si="14"/>
        <v/>
      </c>
      <c r="J77" s="29"/>
      <c r="K77" s="72" t="str">
        <f>IF(A76=$D$8,XIRR(H$18:H76,C$18:C76),"")</f>
        <v/>
      </c>
      <c r="L77" s="29" t="str">
        <f t="shared" si="4"/>
        <v/>
      </c>
      <c r="M77" s="22">
        <f t="shared" ca="1" si="6"/>
        <v>2026</v>
      </c>
      <c r="N77" s="22">
        <f t="shared" ca="1" si="7"/>
        <v>365</v>
      </c>
      <c r="O77" s="22">
        <f t="shared" ca="1" si="8"/>
        <v>12</v>
      </c>
      <c r="P77" s="23">
        <f t="shared" ca="1" si="9"/>
        <v>11</v>
      </c>
      <c r="Q77" s="24">
        <f t="shared" ca="1" si="10"/>
        <v>20</v>
      </c>
      <c r="R77" s="22"/>
    </row>
    <row r="78" spans="1:18" x14ac:dyDescent="0.35">
      <c r="A78" s="32">
        <f t="shared" si="11"/>
        <v>60</v>
      </c>
      <c r="B78" s="28">
        <f ca="1">EDATE($B$18,60)</f>
        <v>46215</v>
      </c>
      <c r="C78" s="28">
        <f t="shared" ca="1" si="5"/>
        <v>46215</v>
      </c>
      <c r="D78" s="32">
        <f t="shared" ca="1" si="15"/>
        <v>30</v>
      </c>
      <c r="E78" s="29">
        <f t="shared" si="16"/>
        <v>2999999.8033333379</v>
      </c>
      <c r="F78" s="29">
        <f>IF(AND(A77="",A79=""),"",IF(A78="",ROUND(SUM($F$19:F77),2),IF(A78=$D$8,$E$18-ROUND(SUM($F$19:F77),2),ROUND($E$18/$D$8,2))))</f>
        <v>16666.669999999998</v>
      </c>
      <c r="G78" s="29">
        <f ca="1">IF(A77=$D$8,ROUND(SUM($G$19:G77),2),IF(A78&gt;$F$8,"",IF(N78&lt;&gt;N77,ROUND(SUM(P78*$F$9*E77/N78,Q78*$F$9*E77/N77),2),ROUND(E77*$F$9*D78/N77,2))))</f>
        <v>61961.5</v>
      </c>
      <c r="H78" s="29">
        <f ca="1">IF(A77=$D$8,SUM($H$19:H77),IF(A77&gt;$D$8,"",F78+G78))</f>
        <v>78628.17</v>
      </c>
      <c r="I78" s="29" t="str">
        <f t="shared" si="14"/>
        <v/>
      </c>
      <c r="J78" s="29"/>
      <c r="K78" s="72" t="str">
        <f>IF(A77=$D$8,XIRR(H$18:H77,C$18:C77),"")</f>
        <v/>
      </c>
      <c r="L78" s="29" t="str">
        <f t="shared" si="4"/>
        <v/>
      </c>
      <c r="M78" s="22">
        <f t="shared" ca="1" si="6"/>
        <v>2026</v>
      </c>
      <c r="N78" s="22">
        <f t="shared" ca="1" si="7"/>
        <v>365</v>
      </c>
      <c r="O78" s="22">
        <f t="shared" ca="1" si="8"/>
        <v>12</v>
      </c>
      <c r="P78" s="23">
        <f t="shared" ca="1" si="9"/>
        <v>11</v>
      </c>
      <c r="Q78" s="24">
        <f t="shared" ca="1" si="10"/>
        <v>19</v>
      </c>
      <c r="R78" s="22"/>
    </row>
    <row r="79" spans="1:18" x14ac:dyDescent="0.35">
      <c r="A79" s="32">
        <f t="shared" si="11"/>
        <v>61</v>
      </c>
      <c r="B79" s="28">
        <f ca="1">EDATE($B$18,61)</f>
        <v>46246</v>
      </c>
      <c r="C79" s="28">
        <f t="shared" ca="1" si="5"/>
        <v>46246</v>
      </c>
      <c r="D79" s="32">
        <f t="shared" ca="1" si="15"/>
        <v>31</v>
      </c>
      <c r="E79" s="29">
        <f t="shared" si="16"/>
        <v>2983333.133333338</v>
      </c>
      <c r="F79" s="29">
        <f>IF(AND(A78="",A80=""),"",IF(A79="",ROUND(SUM($F$19:F78),2),IF(A79=$D$8,$E$18-ROUND(SUM($F$19:F78),2),ROUND($E$18/$D$8,2))))</f>
        <v>16666.669999999998</v>
      </c>
      <c r="G79" s="29">
        <f ca="1">IF(A78=$D$8,SUM($G$19:G78),IF(A79&gt;$F$8,"",IF(N79&lt;&gt;N78,SUM(P79*$F$15*E78/N79,Q79*$F$15*E78/N78),E78*$F$15*D79/N78)))</f>
        <v>47824.928371659444</v>
      </c>
      <c r="H79" s="29">
        <f ca="1">IF(A78=$D$8,SUM($H$19:H78),IF(A78&gt;$D$8,"",F79+G79))</f>
        <v>64491.598371659442</v>
      </c>
      <c r="I79" s="29" t="str">
        <f t="shared" si="14"/>
        <v/>
      </c>
      <c r="J79" s="29"/>
      <c r="K79" s="72" t="str">
        <f>IF(A78=$D$8,XIRR(H$18:H78,C$18:C78),"")</f>
        <v/>
      </c>
      <c r="L79" s="29" t="str">
        <f>IF(A78=$D$8,G79+$I$18+$J$18+F79,"")</f>
        <v/>
      </c>
      <c r="M79" s="22">
        <f t="shared" ca="1" si="6"/>
        <v>2026</v>
      </c>
      <c r="N79" s="22">
        <f t="shared" ca="1" si="7"/>
        <v>365</v>
      </c>
      <c r="O79" s="22">
        <f t="shared" ca="1" si="8"/>
        <v>12</v>
      </c>
      <c r="P79" s="23">
        <f t="shared" ca="1" si="9"/>
        <v>11</v>
      </c>
      <c r="Q79" s="24">
        <f t="shared" ca="1" si="10"/>
        <v>20</v>
      </c>
      <c r="R79" s="22"/>
    </row>
    <row r="80" spans="1:18" x14ac:dyDescent="0.35">
      <c r="A80" s="32">
        <f t="shared" si="11"/>
        <v>62</v>
      </c>
      <c r="B80" s="28">
        <f ca="1">EDATE($B$18,62)</f>
        <v>46277</v>
      </c>
      <c r="C80" s="28">
        <f t="shared" ca="1" si="5"/>
        <v>46277</v>
      </c>
      <c r="D80" s="32">
        <f t="shared" ca="1" si="15"/>
        <v>31</v>
      </c>
      <c r="E80" s="29">
        <f t="shared" si="16"/>
        <v>2966666.463333338</v>
      </c>
      <c r="F80" s="29">
        <f>IF(AND(A79="",A81=""),"",IF(A80="",ROUND(SUM($F$19:F79),2),IF(A80=$D$8,$E$18-ROUND(SUM($F$19:F79),2),ROUND($E$18/$D$8,2))))</f>
        <v>16666.669999999998</v>
      </c>
      <c r="G80" s="29">
        <f ca="1">IF(A79=$D$8,SUM($G$19:G79),IF(A80&gt;$F$8,"",IF(N80&lt;&gt;N79,SUM(P80*$F$15*E79/N80,Q80*$F$15*E79/N79),E79*$F$15*D80/N79)))</f>
        <v>47559.234254593677</v>
      </c>
      <c r="H80" s="29">
        <f ca="1">IF(A79=$D$8,SUM($H$19:H79),IF(A79&gt;$D$8,"",F80+G80))</f>
        <v>64225.904254593675</v>
      </c>
      <c r="I80" s="29" t="str">
        <f t="shared" si="14"/>
        <v/>
      </c>
      <c r="J80" s="29"/>
      <c r="K80" s="72" t="str">
        <f>IF(A79=$D$8,XIRR(H$18:H79,C$18:C79),"")</f>
        <v/>
      </c>
      <c r="L80" s="29" t="str">
        <f t="shared" ref="L80:L83" si="17">IF(A79=$D$8,G80+I80+F80,"")</f>
        <v/>
      </c>
      <c r="M80" s="22">
        <f t="shared" ca="1" si="6"/>
        <v>2026</v>
      </c>
      <c r="N80" s="22">
        <f t="shared" ca="1" si="7"/>
        <v>365</v>
      </c>
      <c r="O80" s="22">
        <f t="shared" ca="1" si="8"/>
        <v>12</v>
      </c>
      <c r="P80" s="23">
        <f t="shared" ca="1" si="9"/>
        <v>11</v>
      </c>
      <c r="Q80" s="24">
        <f t="shared" ca="1" si="10"/>
        <v>20</v>
      </c>
      <c r="R80" s="22"/>
    </row>
    <row r="81" spans="1:18" x14ac:dyDescent="0.35">
      <c r="A81" s="32">
        <f t="shared" si="11"/>
        <v>63</v>
      </c>
      <c r="B81" s="28">
        <f ca="1">EDATE($B$18,63)</f>
        <v>46307</v>
      </c>
      <c r="C81" s="28">
        <f t="shared" ca="1" si="5"/>
        <v>46307</v>
      </c>
      <c r="D81" s="32">
        <f t="shared" ca="1" si="15"/>
        <v>30</v>
      </c>
      <c r="E81" s="29">
        <f t="shared" si="16"/>
        <v>2949999.7933333381</v>
      </c>
      <c r="F81" s="29">
        <f>IF(AND(A80="",A82=""),"",IF(A81="",ROUND(SUM($F$19:F80),2),IF(A81=$D$8,$E$18-ROUND(SUM($F$19:F80),2),ROUND($E$18/$D$8,2))))</f>
        <v>16666.669999999998</v>
      </c>
      <c r="G81" s="29">
        <f ca="1">IF(A80=$D$8,SUM($G$19:G80),IF(A81&gt;$F$8,"",IF(N81&lt;&gt;N80,SUM(P81*$F$15*E80/N81,Q81*$F$15*E80/N80),E80*$F$15*D81/N80)))</f>
        <v>45767.942068575416</v>
      </c>
      <c r="H81" s="29">
        <f ca="1">IF(A80=$D$8,SUM($H$19:H80),IF(A80&gt;$D$8,"",F81+G81))</f>
        <v>62434.612068575414</v>
      </c>
      <c r="I81" s="29" t="str">
        <f t="shared" si="14"/>
        <v/>
      </c>
      <c r="J81" s="29"/>
      <c r="K81" s="72" t="str">
        <f>IF(A80=$D$8,XIRR(H$18:H80,C$18:C80),"")</f>
        <v/>
      </c>
      <c r="L81" s="29" t="str">
        <f t="shared" si="17"/>
        <v/>
      </c>
      <c r="M81" s="22">
        <f t="shared" ca="1" si="6"/>
        <v>2026</v>
      </c>
      <c r="N81" s="22">
        <f t="shared" ca="1" si="7"/>
        <v>365</v>
      </c>
      <c r="O81" s="22">
        <f t="shared" ca="1" si="8"/>
        <v>12</v>
      </c>
      <c r="P81" s="23">
        <f t="shared" ca="1" si="9"/>
        <v>11</v>
      </c>
      <c r="Q81" s="24">
        <f t="shared" ca="1" si="10"/>
        <v>19</v>
      </c>
      <c r="R81" s="22"/>
    </row>
    <row r="82" spans="1:18" x14ac:dyDescent="0.35">
      <c r="A82" s="32">
        <f t="shared" si="11"/>
        <v>64</v>
      </c>
      <c r="B82" s="28">
        <f ca="1">EDATE($B$18,64)</f>
        <v>46338</v>
      </c>
      <c r="C82" s="28">
        <f t="shared" ca="1" si="5"/>
        <v>46338</v>
      </c>
      <c r="D82" s="32">
        <f t="shared" ca="1" si="15"/>
        <v>31</v>
      </c>
      <c r="E82" s="29">
        <f t="shared" si="16"/>
        <v>2933333.1233333382</v>
      </c>
      <c r="F82" s="29">
        <f>IF(AND(A81="",A83=""),"",IF(A82="",ROUND(SUM($F$19:F81),2),IF(A82=$D$8,$E$18-ROUND(SUM($F$19:F81),2),ROUND($E$18/$D$8,2))))</f>
        <v>16666.669999999998</v>
      </c>
      <c r="G82" s="29">
        <f ca="1">IF(A81=$D$8,SUM($G$19:G81),IF(A82&gt;$F$8,"",IF(N82&lt;&gt;N81,SUM(P82*$F$15*E81/N82,Q82*$F$15*E81/N81),E81*$F$15*D82/N81)))</f>
        <v>47027.846020462181</v>
      </c>
      <c r="H82" s="29">
        <f ca="1">IF(A81=$D$8,SUM($H$19:H81),IF(A81&gt;$D$8,"",F82+G82))</f>
        <v>63694.516020462179</v>
      </c>
      <c r="I82" s="29" t="str">
        <f t="shared" si="14"/>
        <v/>
      </c>
      <c r="J82" s="29"/>
      <c r="K82" s="72" t="str">
        <f>IF(A81=$D$8,XIRR(H$18:H81,C$18:C81),"")</f>
        <v/>
      </c>
      <c r="L82" s="29" t="str">
        <f t="shared" si="17"/>
        <v/>
      </c>
      <c r="M82" s="22">
        <f t="shared" ca="1" si="6"/>
        <v>2026</v>
      </c>
      <c r="N82" s="22">
        <f t="shared" ca="1" si="7"/>
        <v>365</v>
      </c>
      <c r="O82" s="22">
        <f t="shared" ca="1" si="8"/>
        <v>12</v>
      </c>
      <c r="P82" s="23">
        <f t="shared" ca="1" si="9"/>
        <v>11</v>
      </c>
      <c r="Q82" s="24">
        <f t="shared" ca="1" si="10"/>
        <v>20</v>
      </c>
      <c r="R82" s="22"/>
    </row>
    <row r="83" spans="1:18" x14ac:dyDescent="0.35">
      <c r="A83" s="32">
        <f t="shared" si="11"/>
        <v>65</v>
      </c>
      <c r="B83" s="28">
        <f ca="1">EDATE($B$18,65)</f>
        <v>46368</v>
      </c>
      <c r="C83" s="28">
        <f t="shared" ca="1" si="5"/>
        <v>46368</v>
      </c>
      <c r="D83" s="32">
        <f t="shared" ca="1" si="15"/>
        <v>30</v>
      </c>
      <c r="E83" s="29">
        <f t="shared" si="16"/>
        <v>2916666.4533333383</v>
      </c>
      <c r="F83" s="29">
        <f>IF(AND(A82="",A84=""),"",IF(A83="",ROUND(SUM($F$19:F82),2),IF(A83=$D$8,$E$18-ROUND(SUM($F$19:F82),2),ROUND($E$18/$D$8,2))))</f>
        <v>16666.669999999998</v>
      </c>
      <c r="G83" s="29">
        <f ca="1">IF(A82=$D$8,SUM($G$19:G82),IF(A83&gt;$F$8,"",IF(N83&lt;&gt;N82,SUM(P83*$F$15*E82/N83,Q83*$F$15*E82/N82),E82*$F$15*D83/N82)))</f>
        <v>45253.695390383633</v>
      </c>
      <c r="H83" s="29">
        <f ca="1">IF(A82=$D$8,SUM($H$19:H82),IF(A82&gt;$D$8,"",F83+G83))</f>
        <v>61920.365390383631</v>
      </c>
      <c r="I83" s="29" t="str">
        <f t="shared" si="14"/>
        <v/>
      </c>
      <c r="J83" s="29"/>
      <c r="K83" s="72" t="str">
        <f>IF(A82=$D$8,XIRR(H$18:H82,C$18:C82),"")</f>
        <v/>
      </c>
      <c r="L83" s="29" t="str">
        <f t="shared" si="17"/>
        <v/>
      </c>
      <c r="M83" s="22">
        <f t="shared" ca="1" si="6"/>
        <v>2026</v>
      </c>
      <c r="N83" s="22">
        <f t="shared" ca="1" si="7"/>
        <v>365</v>
      </c>
      <c r="O83" s="22">
        <f t="shared" ca="1" si="8"/>
        <v>12</v>
      </c>
      <c r="P83" s="23">
        <f t="shared" ca="1" si="9"/>
        <v>11</v>
      </c>
      <c r="Q83" s="24">
        <f t="shared" ca="1" si="10"/>
        <v>19</v>
      </c>
      <c r="R83" s="22"/>
    </row>
    <row r="84" spans="1:18" x14ac:dyDescent="0.35">
      <c r="A84" s="32">
        <f t="shared" si="11"/>
        <v>66</v>
      </c>
      <c r="B84" s="28">
        <f ca="1">EDATE($B$18,66)</f>
        <v>46399</v>
      </c>
      <c r="C84" s="28">
        <f t="shared" ref="C84:C101" ca="1" si="18">IF(B84=$D$10,B84-1,(IF(B84&gt;$D$10," ",B84)))</f>
        <v>46399</v>
      </c>
      <c r="D84" s="32">
        <f t="shared" ca="1" si="15"/>
        <v>31</v>
      </c>
      <c r="E84" s="29">
        <f t="shared" si="16"/>
        <v>2899999.7833333383</v>
      </c>
      <c r="F84" s="29">
        <f>IF(AND(A83="",A85=""),"",IF(A84="",ROUND(SUM($F$19:F83),2),IF(A84=$D$8,$E$18-ROUND(SUM($F$19:F83),2),ROUND($E$18/$D$8,2))))</f>
        <v>16666.669999999998</v>
      </c>
      <c r="G84" s="29">
        <f ca="1">IF(A83=$D$8,SUM($G$19:G83),IF(A84&gt;$F$8,"",IF(N84&lt;&gt;N83,SUM(P84*$F$15*E83/N84,Q84*$F$15*E83/N83),E83*$F$15*D84/N83)))</f>
        <v>46496.457786330669</v>
      </c>
      <c r="H84" s="29">
        <f ca="1">IF(A83=$D$8,SUM($H$19:H83),IF(A83&gt;$D$8,"",F84+G84))</f>
        <v>63163.127786330668</v>
      </c>
      <c r="I84" s="29" t="str">
        <f t="shared" si="14"/>
        <v/>
      </c>
      <c r="J84" s="29"/>
      <c r="K84" s="72" t="str">
        <f>IF(A83=$D$8,XIRR(H$18:H83,C$18:C83),"")</f>
        <v/>
      </c>
      <c r="L84" s="29" t="str">
        <f t="shared" ref="L84:L102" si="19">IF(A83=$D$8,G84+I84+F84,"")</f>
        <v/>
      </c>
      <c r="M84" s="22">
        <f t="shared" ref="M84:M102" ca="1" si="20">IF(C84="","",YEAR(C84))</f>
        <v>2027</v>
      </c>
      <c r="N84" s="22">
        <f t="shared" ref="N84:N102" ca="1" si="21">IF(OR(M84=2024,M84=2028,M84=2016,M84=2020),366,365)</f>
        <v>365</v>
      </c>
      <c r="O84" s="22">
        <f t="shared" ref="O84:O102" ca="1" si="22">IF(C84="","",DAY(C84))</f>
        <v>12</v>
      </c>
      <c r="P84" s="23">
        <f t="shared" ref="P84:P102" ca="1" si="23">O84-1</f>
        <v>11</v>
      </c>
      <c r="Q84" s="24">
        <f t="shared" ref="Q84:Q102" ca="1" si="24">D84-P84</f>
        <v>20</v>
      </c>
      <c r="R84" s="22"/>
    </row>
    <row r="85" spans="1:18" x14ac:dyDescent="0.35">
      <c r="A85" s="32">
        <f t="shared" ref="A85:A103" si="25">IF(A84&lt;$D$8,A84+1,"")</f>
        <v>67</v>
      </c>
      <c r="B85" s="28">
        <f ca="1">EDATE($B$18,67)</f>
        <v>46430</v>
      </c>
      <c r="C85" s="28">
        <f t="shared" ca="1" si="18"/>
        <v>46430</v>
      </c>
      <c r="D85" s="32">
        <f t="shared" ca="1" si="15"/>
        <v>31</v>
      </c>
      <c r="E85" s="29">
        <f t="shared" si="16"/>
        <v>2883333.1133333384</v>
      </c>
      <c r="F85" s="29">
        <f>IF(AND(A84="",A86=""),"",IF(A85="",ROUND(SUM($F$19:F84),2),IF(A85=$D$8,$E$18-ROUND(SUM($F$19:F84),2),ROUND($E$18/$D$8,2))))</f>
        <v>16666.669999999998</v>
      </c>
      <c r="G85" s="29">
        <f ca="1">IF(A84=$D$8,SUM($G$19:G84),IF(A85&gt;$F$8,"",IF(N85&lt;&gt;N84,SUM(P85*$F$15*E84/N85,Q85*$F$15*E84/N84),E84*$F$15*D85/N84)))</f>
        <v>46230.763669264918</v>
      </c>
      <c r="H85" s="29">
        <f ca="1">IF(A84=$D$8,SUM($H$19:H84),IF(A84&gt;$D$8,"",F85+G85))</f>
        <v>62897.433669264916</v>
      </c>
      <c r="I85" s="29" t="str">
        <f t="shared" si="14"/>
        <v/>
      </c>
      <c r="J85" s="29"/>
      <c r="K85" s="72" t="str">
        <f>IF(A84=$D$8,XIRR(H$18:H84,C$18:C84),"")</f>
        <v/>
      </c>
      <c r="L85" s="29" t="str">
        <f t="shared" si="19"/>
        <v/>
      </c>
      <c r="M85" s="22">
        <f t="shared" ca="1" si="20"/>
        <v>2027</v>
      </c>
      <c r="N85" s="22">
        <f t="shared" ca="1" si="21"/>
        <v>365</v>
      </c>
      <c r="O85" s="22">
        <f t="shared" ca="1" si="22"/>
        <v>12</v>
      </c>
      <c r="P85" s="23">
        <f t="shared" ca="1" si="23"/>
        <v>11</v>
      </c>
      <c r="Q85" s="24">
        <f t="shared" ca="1" si="24"/>
        <v>20</v>
      </c>
      <c r="R85" s="22"/>
    </row>
    <row r="86" spans="1:18" x14ac:dyDescent="0.35">
      <c r="A86" s="32">
        <f t="shared" si="25"/>
        <v>68</v>
      </c>
      <c r="B86" s="28">
        <f ca="1">EDATE($B$18,68)</f>
        <v>46458</v>
      </c>
      <c r="C86" s="28">
        <f t="shared" ca="1" si="18"/>
        <v>46458</v>
      </c>
      <c r="D86" s="32">
        <f t="shared" ca="1" si="15"/>
        <v>28</v>
      </c>
      <c r="E86" s="29">
        <f t="shared" si="16"/>
        <v>2866666.4433333385</v>
      </c>
      <c r="F86" s="29">
        <f>IF(AND(A85="",A87=""),"",IF(A86="",ROUND(SUM($F$19:F85),2),IF(A86=$D$8,$E$18-ROUND(SUM($F$19:F85),2),ROUND($E$18/$D$8,2))))</f>
        <v>16666.669999999998</v>
      </c>
      <c r="G86" s="29">
        <f ca="1">IF(A85=$D$8,SUM($G$19:G85),IF(A86&gt;$F$8,"",IF(N86&lt;&gt;N85,SUM(P86*$F$15*E85/N86,Q86*$F$15*E85/N85),E85*$F$15*D86/N85)))</f>
        <v>41516.837014889577</v>
      </c>
      <c r="H86" s="29">
        <f ca="1">IF(A85=$D$8,SUM($H$19:H85),IF(A85&gt;$D$8,"",F86+G86))</f>
        <v>58183.507014889576</v>
      </c>
      <c r="I86" s="29" t="str">
        <f t="shared" si="14"/>
        <v/>
      </c>
      <c r="J86" s="29"/>
      <c r="K86" s="72" t="str">
        <f>IF(A85=$D$8,XIRR(H$18:H85,C$18:C85),"")</f>
        <v/>
      </c>
      <c r="L86" s="29" t="str">
        <f t="shared" si="19"/>
        <v/>
      </c>
      <c r="M86" s="22">
        <f t="shared" ca="1" si="20"/>
        <v>2027</v>
      </c>
      <c r="N86" s="22">
        <f t="shared" ca="1" si="21"/>
        <v>365</v>
      </c>
      <c r="O86" s="22">
        <f t="shared" ca="1" si="22"/>
        <v>12</v>
      </c>
      <c r="P86" s="23">
        <f t="shared" ca="1" si="23"/>
        <v>11</v>
      </c>
      <c r="Q86" s="24">
        <f t="shared" ca="1" si="24"/>
        <v>17</v>
      </c>
      <c r="R86" s="22"/>
    </row>
    <row r="87" spans="1:18" x14ac:dyDescent="0.35">
      <c r="A87" s="32">
        <f t="shared" si="25"/>
        <v>69</v>
      </c>
      <c r="B87" s="28">
        <f ca="1">EDATE($B$18,69)</f>
        <v>46489</v>
      </c>
      <c r="C87" s="28">
        <f t="shared" ca="1" si="18"/>
        <v>46489</v>
      </c>
      <c r="D87" s="32">
        <f t="shared" ca="1" si="15"/>
        <v>31</v>
      </c>
      <c r="E87" s="29">
        <f t="shared" si="16"/>
        <v>2849999.7733333386</v>
      </c>
      <c r="F87" s="29">
        <f>IF(AND(A86="",A88=""),"",IF(A87="",ROUND(SUM($F$19:F86),2),IF(A87=$D$8,$E$18-ROUND(SUM($F$19:F86),2),ROUND($E$18/$D$8,2))))</f>
        <v>16666.669999999998</v>
      </c>
      <c r="G87" s="29">
        <f ca="1">IF(A86=$D$8,SUM($G$19:G86),IF(A87&gt;$F$8,"",IF(N87&lt;&gt;N86,SUM(P87*$F$15*E86/N87,Q87*$F$15*E86/N86),E86*$F$15*D87/N86)))</f>
        <v>45699.375435133414</v>
      </c>
      <c r="H87" s="29">
        <f ca="1">IF(A86=$D$8,SUM($H$19:H86),IF(A86&gt;$D$8,"",F87+G87))</f>
        <v>62366.045435133412</v>
      </c>
      <c r="I87" s="29" t="str">
        <f t="shared" si="14"/>
        <v/>
      </c>
      <c r="J87" s="29"/>
      <c r="K87" s="72" t="str">
        <f>IF(A86=$D$8,XIRR(H$18:H86,C$18:C86),"")</f>
        <v/>
      </c>
      <c r="L87" s="29" t="str">
        <f t="shared" si="19"/>
        <v/>
      </c>
      <c r="M87" s="22">
        <f t="shared" ca="1" si="20"/>
        <v>2027</v>
      </c>
      <c r="N87" s="22">
        <f t="shared" ca="1" si="21"/>
        <v>365</v>
      </c>
      <c r="O87" s="22">
        <f t="shared" ca="1" si="22"/>
        <v>12</v>
      </c>
      <c r="P87" s="23">
        <f t="shared" ca="1" si="23"/>
        <v>11</v>
      </c>
      <c r="Q87" s="24">
        <f t="shared" ca="1" si="24"/>
        <v>20</v>
      </c>
      <c r="R87" s="22"/>
    </row>
    <row r="88" spans="1:18" x14ac:dyDescent="0.35">
      <c r="A88" s="32">
        <f t="shared" si="25"/>
        <v>70</v>
      </c>
      <c r="B88" s="28">
        <f ca="1">EDATE($B$18,70)</f>
        <v>46519</v>
      </c>
      <c r="C88" s="28">
        <f t="shared" ca="1" si="18"/>
        <v>46519</v>
      </c>
      <c r="D88" s="32">
        <f t="shared" ca="1" si="15"/>
        <v>30</v>
      </c>
      <c r="E88" s="29">
        <f t="shared" si="16"/>
        <v>2833333.1033333386</v>
      </c>
      <c r="F88" s="29">
        <f>IF(AND(A87="",A89=""),"",IF(A88="",ROUND(SUM($F$19:F87),2),IF(A88=$D$8,$E$18-ROUND(SUM($F$19:F87),2),ROUND($E$18/$D$8,2))))</f>
        <v>16666.669999999998</v>
      </c>
      <c r="G88" s="29">
        <f ca="1">IF(A87=$D$8,SUM($G$19:G87),IF(A88&gt;$F$8,"",IF(N88&lt;&gt;N87,SUM(P88*$F$15*E87/N88,Q88*$F$15*E87/N87),E87*$F$15*D88/N87)))</f>
        <v>43968.078694904194</v>
      </c>
      <c r="H88" s="29">
        <f ca="1">IF(A87=$D$8,SUM($H$19:H87),IF(A87&gt;$D$8,"",F88+G88))</f>
        <v>60634.748694904192</v>
      </c>
      <c r="I88" s="29" t="str">
        <f t="shared" si="14"/>
        <v/>
      </c>
      <c r="J88" s="29"/>
      <c r="K88" s="72" t="str">
        <f>IF(A87=$D$8,XIRR(H$18:H87,C$18:C87),"")</f>
        <v/>
      </c>
      <c r="L88" s="29" t="str">
        <f t="shared" si="19"/>
        <v/>
      </c>
      <c r="M88" s="22">
        <f t="shared" ca="1" si="20"/>
        <v>2027</v>
      </c>
      <c r="N88" s="22">
        <f t="shared" ca="1" si="21"/>
        <v>365</v>
      </c>
      <c r="O88" s="22">
        <f t="shared" ca="1" si="22"/>
        <v>12</v>
      </c>
      <c r="P88" s="23">
        <f t="shared" ca="1" si="23"/>
        <v>11</v>
      </c>
      <c r="Q88" s="24">
        <f t="shared" ca="1" si="24"/>
        <v>19</v>
      </c>
      <c r="R88" s="22"/>
    </row>
    <row r="89" spans="1:18" x14ac:dyDescent="0.35">
      <c r="A89" s="32">
        <f t="shared" si="25"/>
        <v>71</v>
      </c>
      <c r="B89" s="28">
        <f ca="1">EDATE($B$18,71)</f>
        <v>46550</v>
      </c>
      <c r="C89" s="28">
        <f t="shared" ca="1" si="18"/>
        <v>46550</v>
      </c>
      <c r="D89" s="32">
        <f t="shared" ca="1" si="15"/>
        <v>31</v>
      </c>
      <c r="E89" s="29">
        <f t="shared" si="16"/>
        <v>2816666.4333333387</v>
      </c>
      <c r="F89" s="29">
        <f>IF(AND(A88="",A90=""),"",IF(A89="",ROUND(SUM($F$19:F88),2),IF(A89=$D$8,$E$18-ROUND(SUM($F$19:F88),2),ROUND($E$18/$D$8,2))))</f>
        <v>16666.669999999998</v>
      </c>
      <c r="G89" s="29">
        <f ca="1">IF(A88=$D$8,SUM($G$19:G88),IF(A89&gt;$F$8,"",IF(N89&lt;&gt;N88,SUM(P89*$F$15*E88/N89,Q89*$F$15*E88/N88),E88*$F$15*D89/N88)))</f>
        <v>45167.987201001917</v>
      </c>
      <c r="H89" s="29">
        <f ca="1">IF(A88=$D$8,SUM($H$19:H88),IF(A88&gt;$D$8,"",F89+G89))</f>
        <v>61834.657201001915</v>
      </c>
      <c r="I89" s="29" t="str">
        <f t="shared" si="14"/>
        <v/>
      </c>
      <c r="J89" s="29"/>
      <c r="K89" s="72" t="str">
        <f>IF(A88=$D$8,XIRR(H$18:H88,C$18:C88),"")</f>
        <v/>
      </c>
      <c r="L89" s="29" t="str">
        <f t="shared" si="19"/>
        <v/>
      </c>
      <c r="M89" s="22">
        <f t="shared" ca="1" si="20"/>
        <v>2027</v>
      </c>
      <c r="N89" s="22">
        <f t="shared" ca="1" si="21"/>
        <v>365</v>
      </c>
      <c r="O89" s="22">
        <f t="shared" ca="1" si="22"/>
        <v>12</v>
      </c>
      <c r="P89" s="23">
        <f t="shared" ca="1" si="23"/>
        <v>11</v>
      </c>
      <c r="Q89" s="24">
        <f t="shared" ca="1" si="24"/>
        <v>20</v>
      </c>
      <c r="R89" s="22"/>
    </row>
    <row r="90" spans="1:18" x14ac:dyDescent="0.35">
      <c r="A90" s="32">
        <f t="shared" si="25"/>
        <v>72</v>
      </c>
      <c r="B90" s="28">
        <f ca="1">EDATE($B$18,72)</f>
        <v>46580</v>
      </c>
      <c r="C90" s="28">
        <f t="shared" ca="1" si="18"/>
        <v>46580</v>
      </c>
      <c r="D90" s="32">
        <f t="shared" ca="1" si="15"/>
        <v>30</v>
      </c>
      <c r="E90" s="29">
        <f t="shared" si="16"/>
        <v>2799999.7633333388</v>
      </c>
      <c r="F90" s="29">
        <f>IF(AND(A89="",A91=""),"",IF(A90="",ROUND(SUM($F$19:F89),2),IF(A90=$D$8,$E$18-ROUND(SUM($F$19:F89),2),ROUND($E$18/$D$8,2))))</f>
        <v>16666.669999999998</v>
      </c>
      <c r="G90" s="29">
        <f ca="1">IF(A89=$D$8,SUM($G$19:G89),IF(A90&gt;$F$8,"",IF(N90&lt;&gt;N89,SUM(P90*$F$15*E89/N90,Q90*$F$15*E89/N89),E89*$F$15*D90/N89)))</f>
        <v>43453.832016712404</v>
      </c>
      <c r="H90" s="29">
        <f ca="1">IF(A89=$D$8,SUM($H$19:H89),IF(A89&gt;$D$8,"",F90+G90))</f>
        <v>60120.502016712402</v>
      </c>
      <c r="I90" s="29" t="str">
        <f t="shared" ref="I90:I103" si="26">IF(A89=$D$8,$I$18,"")</f>
        <v/>
      </c>
      <c r="J90" s="29"/>
      <c r="K90" s="72" t="str">
        <f>IF(A89=$D$8,XIRR(H$18:H89,C$18:C89),"")</f>
        <v/>
      </c>
      <c r="L90" s="29" t="str">
        <f t="shared" si="19"/>
        <v/>
      </c>
      <c r="M90" s="22">
        <f t="shared" ca="1" si="20"/>
        <v>2027</v>
      </c>
      <c r="N90" s="22">
        <f t="shared" ca="1" si="21"/>
        <v>365</v>
      </c>
      <c r="O90" s="22">
        <f t="shared" ca="1" si="22"/>
        <v>12</v>
      </c>
      <c r="P90" s="23">
        <f t="shared" ca="1" si="23"/>
        <v>11</v>
      </c>
      <c r="Q90" s="24">
        <f t="shared" ca="1" si="24"/>
        <v>19</v>
      </c>
      <c r="R90" s="22"/>
    </row>
    <row r="91" spans="1:18" x14ac:dyDescent="0.35">
      <c r="A91" s="32">
        <f t="shared" si="25"/>
        <v>73</v>
      </c>
      <c r="B91" s="28">
        <f ca="1">EDATE($B$18,73)</f>
        <v>46611</v>
      </c>
      <c r="C91" s="28">
        <f t="shared" ca="1" si="18"/>
        <v>46611</v>
      </c>
      <c r="D91" s="32">
        <f t="shared" ca="1" si="15"/>
        <v>31</v>
      </c>
      <c r="E91" s="29">
        <f t="shared" si="16"/>
        <v>2783333.0933333389</v>
      </c>
      <c r="F91" s="29">
        <f>IF(AND(A90="",A92=""),"",IF(A91="",ROUND(SUM($F$19:F90),2),IF(A91=$D$8,$E$18-ROUND(SUM($F$19:F90),2),ROUND($E$18/$D$8,2))))</f>
        <v>16666.669999999998</v>
      </c>
      <c r="G91" s="29">
        <f ca="1">IF(A90=$D$8,SUM($G$19:G90),IF(A91&gt;$F$8,"",IF(N91&lt;&gt;N90,SUM(P91*$F$15*E90/N91,Q91*$F$15*E90/N90),E90*$F$15*D91/N90)))</f>
        <v>44636.598966870406</v>
      </c>
      <c r="H91" s="29">
        <f ca="1">IF(A90=$D$8,SUM($H$19:H90),IF(A90&gt;$D$8,"",F91+G91))</f>
        <v>61303.268966870404</v>
      </c>
      <c r="I91" s="29" t="str">
        <f t="shared" si="26"/>
        <v/>
      </c>
      <c r="J91" s="29"/>
      <c r="K91" s="72" t="str">
        <f>IF(A90=$D$8,XIRR(H$18:H90,C$18:C90),"")</f>
        <v/>
      </c>
      <c r="L91" s="29" t="str">
        <f t="shared" si="19"/>
        <v/>
      </c>
      <c r="M91" s="22">
        <f t="shared" ca="1" si="20"/>
        <v>2027</v>
      </c>
      <c r="N91" s="22">
        <f t="shared" ca="1" si="21"/>
        <v>365</v>
      </c>
      <c r="O91" s="22">
        <f t="shared" ca="1" si="22"/>
        <v>12</v>
      </c>
      <c r="P91" s="23">
        <f t="shared" ca="1" si="23"/>
        <v>11</v>
      </c>
      <c r="Q91" s="24">
        <f t="shared" ca="1" si="24"/>
        <v>20</v>
      </c>
      <c r="R91" s="22"/>
    </row>
    <row r="92" spans="1:18" x14ac:dyDescent="0.35">
      <c r="A92" s="32">
        <f t="shared" si="25"/>
        <v>74</v>
      </c>
      <c r="B92" s="28">
        <f ca="1">EDATE($B$18,74)</f>
        <v>46642</v>
      </c>
      <c r="C92" s="28">
        <f t="shared" ca="1" si="18"/>
        <v>46642</v>
      </c>
      <c r="D92" s="32">
        <f t="shared" ca="1" si="15"/>
        <v>31</v>
      </c>
      <c r="E92" s="29">
        <f t="shared" si="16"/>
        <v>2766666.4233333389</v>
      </c>
      <c r="F92" s="29">
        <f>IF(AND(A91="",A93=""),"",IF(A92="",ROUND(SUM($F$19:F91),2),IF(A92=$D$8,$E$18-ROUND(SUM($F$19:F91),2),ROUND($E$18/$D$8,2))))</f>
        <v>16666.669999999998</v>
      </c>
      <c r="G92" s="29">
        <f ca="1">IF(A91=$D$8,SUM($G$19:G91),IF(A92&gt;$F$8,"",IF(N92&lt;&gt;N91,SUM(P92*$F$15*E91/N92,Q92*$F$15*E91/N91),E91*$F$15*D92/N91)))</f>
        <v>44370.904849804654</v>
      </c>
      <c r="H92" s="29">
        <f ca="1">IF(A91=$D$8,SUM($H$19:H91),IF(A91&gt;$D$8,"",F92+G92))</f>
        <v>61037.574849804652</v>
      </c>
      <c r="I92" s="29" t="str">
        <f t="shared" si="26"/>
        <v/>
      </c>
      <c r="J92" s="29"/>
      <c r="K92" s="72" t="str">
        <f>IF(A91=$D$8,XIRR(H$18:H91,C$18:C91),"")</f>
        <v/>
      </c>
      <c r="L92" s="29" t="str">
        <f t="shared" si="19"/>
        <v/>
      </c>
      <c r="M92" s="22">
        <f t="shared" ca="1" si="20"/>
        <v>2027</v>
      </c>
      <c r="N92" s="22">
        <f t="shared" ca="1" si="21"/>
        <v>365</v>
      </c>
      <c r="O92" s="22">
        <f t="shared" ca="1" si="22"/>
        <v>12</v>
      </c>
      <c r="P92" s="23">
        <f t="shared" ca="1" si="23"/>
        <v>11</v>
      </c>
      <c r="Q92" s="24">
        <f t="shared" ca="1" si="24"/>
        <v>20</v>
      </c>
      <c r="R92" s="22"/>
    </row>
    <row r="93" spans="1:18" x14ac:dyDescent="0.35">
      <c r="A93" s="32">
        <f t="shared" si="25"/>
        <v>75</v>
      </c>
      <c r="B93" s="28">
        <f ca="1">EDATE($B$18,75)</f>
        <v>46672</v>
      </c>
      <c r="C93" s="28">
        <f t="shared" ca="1" si="18"/>
        <v>46672</v>
      </c>
      <c r="D93" s="32">
        <f t="shared" ca="1" si="15"/>
        <v>30</v>
      </c>
      <c r="E93" s="29">
        <f t="shared" si="16"/>
        <v>2749999.753333339</v>
      </c>
      <c r="F93" s="29">
        <f>IF(AND(A92="",A94=""),"",IF(A93="",ROUND(SUM($F$19:F92),2),IF(A93=$D$8,$E$18-ROUND(SUM($F$19:F92),2),ROUND($E$18/$D$8,2))))</f>
        <v>16666.669999999998</v>
      </c>
      <c r="G93" s="29">
        <f ca="1">IF(A92=$D$8,SUM($G$19:G92),IF(A93&gt;$F$8,"",IF(N93&lt;&gt;N92,SUM(P93*$F$15*E92/N93,Q93*$F$15*E92/N92),E92*$F$15*D93/N92)))</f>
        <v>42682.461999424748</v>
      </c>
      <c r="H93" s="29">
        <f ca="1">IF(A92=$D$8,SUM($H$19:H92),IF(A92&gt;$D$8,"",F93+G93))</f>
        <v>59349.131999424746</v>
      </c>
      <c r="I93" s="29" t="str">
        <f t="shared" si="26"/>
        <v/>
      </c>
      <c r="J93" s="29"/>
      <c r="K93" s="72" t="str">
        <f>IF(A92=$D$8,XIRR(H$18:H92,C$18:C92),"")</f>
        <v/>
      </c>
      <c r="L93" s="29" t="str">
        <f t="shared" si="19"/>
        <v/>
      </c>
      <c r="M93" s="22">
        <f t="shared" ca="1" si="20"/>
        <v>2027</v>
      </c>
      <c r="N93" s="22">
        <f t="shared" ca="1" si="21"/>
        <v>365</v>
      </c>
      <c r="O93" s="22">
        <f t="shared" ca="1" si="22"/>
        <v>12</v>
      </c>
      <c r="P93" s="23">
        <f t="shared" ca="1" si="23"/>
        <v>11</v>
      </c>
      <c r="Q93" s="24">
        <f t="shared" ca="1" si="24"/>
        <v>19</v>
      </c>
      <c r="R93" s="22"/>
    </row>
    <row r="94" spans="1:18" x14ac:dyDescent="0.35">
      <c r="A94" s="32">
        <f t="shared" si="25"/>
        <v>76</v>
      </c>
      <c r="B94" s="28">
        <f ca="1">EDATE($B$18,76)</f>
        <v>46703</v>
      </c>
      <c r="C94" s="28">
        <f t="shared" ca="1" si="18"/>
        <v>46703</v>
      </c>
      <c r="D94" s="32">
        <f t="shared" ca="1" si="15"/>
        <v>31</v>
      </c>
      <c r="E94" s="29">
        <f t="shared" si="16"/>
        <v>2733333.0833333391</v>
      </c>
      <c r="F94" s="29">
        <f>IF(AND(A93="",A95=""),"",IF(A94="",ROUND(SUM($F$19:F93),2),IF(A94=$D$8,$E$18-ROUND(SUM($F$19:F93),2),ROUND($E$18/$D$8,2))))</f>
        <v>16666.669999999998</v>
      </c>
      <c r="G94" s="29">
        <f ca="1">IF(A93=$D$8,SUM($G$19:G93),IF(A94&gt;$F$8,"",IF(N94&lt;&gt;N93,SUM(P94*$F$15*E93/N94,Q94*$F$15*E93/N93),E93*$F$15*D94/N93)))</f>
        <v>43839.516615673158</v>
      </c>
      <c r="H94" s="29">
        <f ca="1">IF(A93=$D$8,SUM($H$19:H93),IF(A93&gt;$D$8,"",F94+G94))</f>
        <v>60506.186615673156</v>
      </c>
      <c r="I94" s="29" t="str">
        <f t="shared" si="26"/>
        <v/>
      </c>
      <c r="J94" s="29"/>
      <c r="K94" s="72" t="str">
        <f>IF(A93=$D$8,XIRR(H$18:H93,C$18:C93),"")</f>
        <v/>
      </c>
      <c r="L94" s="29" t="str">
        <f t="shared" si="19"/>
        <v/>
      </c>
      <c r="M94" s="22">
        <f t="shared" ca="1" si="20"/>
        <v>2027</v>
      </c>
      <c r="N94" s="22">
        <f t="shared" ca="1" si="21"/>
        <v>365</v>
      </c>
      <c r="O94" s="22">
        <f t="shared" ca="1" si="22"/>
        <v>12</v>
      </c>
      <c r="P94" s="23">
        <f t="shared" ca="1" si="23"/>
        <v>11</v>
      </c>
      <c r="Q94" s="24">
        <f t="shared" ca="1" si="24"/>
        <v>20</v>
      </c>
      <c r="R94" s="22"/>
    </row>
    <row r="95" spans="1:18" x14ac:dyDescent="0.35">
      <c r="A95" s="32">
        <f t="shared" si="25"/>
        <v>77</v>
      </c>
      <c r="B95" s="28">
        <f ca="1">EDATE($B$18,77)</f>
        <v>46733</v>
      </c>
      <c r="C95" s="28">
        <f t="shared" ca="1" si="18"/>
        <v>46733</v>
      </c>
      <c r="D95" s="32">
        <f t="shared" ca="1" si="15"/>
        <v>30</v>
      </c>
      <c r="E95" s="29">
        <f t="shared" si="16"/>
        <v>2716666.4133333392</v>
      </c>
      <c r="F95" s="29">
        <f>IF(AND(A94="",A96=""),"",IF(A95="",ROUND(SUM($F$19:F94),2),IF(A95=$D$8,$E$18-ROUND(SUM($F$19:F94),2),ROUND($E$18/$D$8,2))))</f>
        <v>16666.669999999998</v>
      </c>
      <c r="G95" s="29">
        <f ca="1">IF(A94=$D$8,SUM($G$19:G94),IF(A95&gt;$F$8,"",IF(N95&lt;&gt;N94,SUM(P95*$F$15*E94/N95,Q95*$F$15*E94/N94),E94*$F$15*D95/N94)))</f>
        <v>42168.215321232965</v>
      </c>
      <c r="H95" s="29">
        <f ca="1">IF(A94=$D$8,SUM($H$19:H94),IF(A94&gt;$D$8,"",F95+G95))</f>
        <v>58834.885321232963</v>
      </c>
      <c r="I95" s="29" t="str">
        <f t="shared" si="26"/>
        <v/>
      </c>
      <c r="J95" s="29"/>
      <c r="K95" s="72" t="str">
        <f>IF(A94=$D$8,XIRR(H$18:H94,C$18:C94),"")</f>
        <v/>
      </c>
      <c r="L95" s="29" t="str">
        <f t="shared" si="19"/>
        <v/>
      </c>
      <c r="M95" s="22">
        <f t="shared" ca="1" si="20"/>
        <v>2027</v>
      </c>
      <c r="N95" s="22">
        <f t="shared" ca="1" si="21"/>
        <v>365</v>
      </c>
      <c r="O95" s="22">
        <f t="shared" ca="1" si="22"/>
        <v>12</v>
      </c>
      <c r="P95" s="23">
        <f t="shared" ca="1" si="23"/>
        <v>11</v>
      </c>
      <c r="Q95" s="24">
        <f t="shared" ca="1" si="24"/>
        <v>19</v>
      </c>
      <c r="R95" s="22"/>
    </row>
    <row r="96" spans="1:18" x14ac:dyDescent="0.35">
      <c r="A96" s="32">
        <f t="shared" si="25"/>
        <v>78</v>
      </c>
      <c r="B96" s="28">
        <f ca="1">EDATE($B$18,78)</f>
        <v>46764</v>
      </c>
      <c r="C96" s="28">
        <f t="shared" ca="1" si="18"/>
        <v>46764</v>
      </c>
      <c r="D96" s="32">
        <f t="shared" ref="D96:D102" ca="1" si="27">IF(A96&gt;$D$8,"",C96-C95)</f>
        <v>31</v>
      </c>
      <c r="E96" s="29">
        <f t="shared" ref="E96:E102" si="28">IF(A96&gt;$D$8,"",E95-F96)</f>
        <v>2699999.7433333392</v>
      </c>
      <c r="F96" s="29">
        <f>IF(AND(A95="",A97=""),"",IF(A96="",ROUND(SUM($F$19:F95),2),IF(A96=$D$8,$E$18-ROUND(SUM($F$19:F95),2),ROUND($E$18/$D$8,2))))</f>
        <v>16666.669999999998</v>
      </c>
      <c r="G96" s="29">
        <f ca="1">IF(A95=$D$8,SUM($G$19:G95),IF(A96&gt;$F$8,"",IF(N96&lt;&gt;N95,SUM(P96*$F$15*E95/N96,Q96*$F$15*E95/N95),E95*$F$15*D96/N95)))</f>
        <v>43266.140948772656</v>
      </c>
      <c r="H96" s="29">
        <f ca="1">IF(A95=$D$8,SUM($H$19:H95),IF(A95&gt;$D$8,"",F96+G96))</f>
        <v>59932.810948772654</v>
      </c>
      <c r="I96" s="29" t="str">
        <f t="shared" si="26"/>
        <v/>
      </c>
      <c r="J96" s="29"/>
      <c r="K96" s="72" t="str">
        <f>IF(A95=$D$8,XIRR(H$18:H95,C$18:C95),"")</f>
        <v/>
      </c>
      <c r="L96" s="29" t="str">
        <f t="shared" si="19"/>
        <v/>
      </c>
      <c r="M96" s="22">
        <f t="shared" ca="1" si="20"/>
        <v>2028</v>
      </c>
      <c r="N96" s="22">
        <f t="shared" ca="1" si="21"/>
        <v>366</v>
      </c>
      <c r="O96" s="22">
        <f t="shared" ca="1" si="22"/>
        <v>12</v>
      </c>
      <c r="P96" s="23">
        <f t="shared" ca="1" si="23"/>
        <v>11</v>
      </c>
      <c r="Q96" s="24">
        <f t="shared" ca="1" si="24"/>
        <v>20</v>
      </c>
      <c r="R96" s="22"/>
    </row>
    <row r="97" spans="1:21" x14ac:dyDescent="0.35">
      <c r="A97" s="32">
        <f t="shared" si="25"/>
        <v>79</v>
      </c>
      <c r="B97" s="28">
        <f ca="1">EDATE($B$18,79)</f>
        <v>46795</v>
      </c>
      <c r="C97" s="28">
        <f t="shared" ca="1" si="18"/>
        <v>46795</v>
      </c>
      <c r="D97" s="32">
        <f t="shared" ca="1" si="27"/>
        <v>31</v>
      </c>
      <c r="E97" s="29">
        <f t="shared" si="28"/>
        <v>2683333.0733333393</v>
      </c>
      <c r="F97" s="29">
        <f>IF(AND(A96="",A98=""),"",IF(A97="",ROUND(SUM($F$19:F96),2),IF(A97=$D$8,$E$18-ROUND(SUM($F$19:F96),2),ROUND($E$18/$D$8,2))))</f>
        <v>16666.669999999998</v>
      </c>
      <c r="G97" s="29">
        <f ca="1">IF(A96=$D$8,SUM($G$19:G96),IF(A97&gt;$F$8,"",IF(N97&lt;&gt;N96,SUM(P97*$F$15*E96/N97,Q97*$F$15*E96/N96),E96*$F$15*D97/N96)))</f>
        <v>42924.83198506476</v>
      </c>
      <c r="H97" s="29">
        <f ca="1">IF(A96=$D$8,SUM($H$19:H96),IF(A96&gt;$D$8,"",F97+G97))</f>
        <v>59591.501985064759</v>
      </c>
      <c r="I97" s="29" t="str">
        <f t="shared" si="26"/>
        <v/>
      </c>
      <c r="J97" s="29"/>
      <c r="K97" s="72" t="str">
        <f>IF(A96=$D$8,XIRR(H$18:H96,C$18:C96),"")</f>
        <v/>
      </c>
      <c r="L97" s="29" t="str">
        <f t="shared" si="19"/>
        <v/>
      </c>
      <c r="M97" s="22">
        <f t="shared" ca="1" si="20"/>
        <v>2028</v>
      </c>
      <c r="N97" s="22">
        <f t="shared" ca="1" si="21"/>
        <v>366</v>
      </c>
      <c r="O97" s="22">
        <f t="shared" ca="1" si="22"/>
        <v>12</v>
      </c>
      <c r="P97" s="23">
        <f t="shared" ca="1" si="23"/>
        <v>11</v>
      </c>
      <c r="Q97" s="24">
        <f t="shared" ca="1" si="24"/>
        <v>20</v>
      </c>
      <c r="R97" s="22"/>
    </row>
    <row r="98" spans="1:21" x14ac:dyDescent="0.35">
      <c r="A98" s="32">
        <f t="shared" si="25"/>
        <v>80</v>
      </c>
      <c r="B98" s="28">
        <f ca="1">EDATE($B$18,80)</f>
        <v>46824</v>
      </c>
      <c r="C98" s="28">
        <f t="shared" ca="1" si="18"/>
        <v>46824</v>
      </c>
      <c r="D98" s="32">
        <f t="shared" ca="1" si="27"/>
        <v>29</v>
      </c>
      <c r="E98" s="29">
        <f t="shared" si="28"/>
        <v>2666666.4033333394</v>
      </c>
      <c r="F98" s="29">
        <f>IF(AND(A97="",A99=""),"",IF(A98="",ROUND(SUM($F$19:F97),2),IF(A98=$D$8,$E$18-ROUND(SUM($F$19:F97),2),ROUND($E$18/$D$8,2))))</f>
        <v>16666.669999999998</v>
      </c>
      <c r="G98" s="29">
        <f ca="1">IF(A97=$D$8,SUM($G$19:G97),IF(A98&gt;$F$8,"",IF(N98&lt;&gt;N97,SUM(P98*$F$15*E97/N98,Q98*$F$15*E97/N97),E97*$F$15*D98/N97)))</f>
        <v>39907.614530260566</v>
      </c>
      <c r="H98" s="29">
        <f ca="1">IF(A97=$D$8,SUM($H$19:H97),IF(A97&gt;$D$8,"",F98+G98))</f>
        <v>56574.284530260564</v>
      </c>
      <c r="I98" s="29" t="str">
        <f t="shared" si="26"/>
        <v/>
      </c>
      <c r="J98" s="29"/>
      <c r="K98" s="72" t="str">
        <f>IF(A97=$D$8,XIRR(H$18:H97,C$18:C97),"")</f>
        <v/>
      </c>
      <c r="L98" s="29" t="str">
        <f t="shared" si="19"/>
        <v/>
      </c>
      <c r="M98" s="22">
        <f t="shared" ca="1" si="20"/>
        <v>2028</v>
      </c>
      <c r="N98" s="22">
        <f t="shared" ca="1" si="21"/>
        <v>366</v>
      </c>
      <c r="O98" s="22">
        <f t="shared" ca="1" si="22"/>
        <v>12</v>
      </c>
      <c r="P98" s="23">
        <f t="shared" ca="1" si="23"/>
        <v>11</v>
      </c>
      <c r="Q98" s="24">
        <f t="shared" ca="1" si="24"/>
        <v>18</v>
      </c>
      <c r="R98" s="22"/>
    </row>
    <row r="99" spans="1:21" x14ac:dyDescent="0.35">
      <c r="A99" s="32">
        <f t="shared" si="25"/>
        <v>81</v>
      </c>
      <c r="B99" s="28">
        <f ca="1">EDATE($B$18,81)</f>
        <v>46855</v>
      </c>
      <c r="C99" s="28">
        <f t="shared" ca="1" si="18"/>
        <v>46855</v>
      </c>
      <c r="D99" s="32">
        <f t="shared" ca="1" si="27"/>
        <v>31</v>
      </c>
      <c r="E99" s="29">
        <f t="shared" si="28"/>
        <v>2649999.7333333394</v>
      </c>
      <c r="F99" s="29">
        <f>IF(AND(A98="",A100=""),"",IF(A99="",ROUND(SUM($F$19:F98),2),IF(A99=$D$8,$E$18-ROUND(SUM($F$19:F98),2),ROUND($E$18/$D$8,2))))</f>
        <v>16666.669999999998</v>
      </c>
      <c r="G99" s="29">
        <f ca="1">IF(A98=$D$8,SUM($G$19:G98),IF(A99&gt;$F$8,"",IF(N99&lt;&gt;N98,SUM(P99*$F$15*E98/N99,Q99*$F$15*E98/N98),E98*$F$15*D99/N98)))</f>
        <v>42394.895631354375</v>
      </c>
      <c r="H99" s="29">
        <f ca="1">IF(A98=$D$8,SUM($H$19:H98),IF(A98&gt;$D$8,"",F99+G99))</f>
        <v>59061.565631354373</v>
      </c>
      <c r="I99" s="29" t="str">
        <f t="shared" si="26"/>
        <v/>
      </c>
      <c r="J99" s="29"/>
      <c r="K99" s="72" t="str">
        <f>IF(A98=$D$8,XIRR(H$18:H98,C$18:C98),"")</f>
        <v/>
      </c>
      <c r="L99" s="29" t="str">
        <f t="shared" si="19"/>
        <v/>
      </c>
      <c r="M99" s="22">
        <f t="shared" ca="1" si="20"/>
        <v>2028</v>
      </c>
      <c r="N99" s="22">
        <f t="shared" ca="1" si="21"/>
        <v>366</v>
      </c>
      <c r="O99" s="22">
        <f t="shared" ca="1" si="22"/>
        <v>12</v>
      </c>
      <c r="P99" s="23">
        <f t="shared" ca="1" si="23"/>
        <v>11</v>
      </c>
      <c r="Q99" s="24">
        <f t="shared" ca="1" si="24"/>
        <v>20</v>
      </c>
      <c r="R99" s="22"/>
    </row>
    <row r="100" spans="1:21" x14ac:dyDescent="0.35">
      <c r="A100" s="32">
        <f t="shared" si="25"/>
        <v>82</v>
      </c>
      <c r="B100" s="28">
        <f ca="1">EDATE($B$18,82)</f>
        <v>46885</v>
      </c>
      <c r="C100" s="28">
        <f t="shared" ca="1" si="18"/>
        <v>46885</v>
      </c>
      <c r="D100" s="32">
        <f t="shared" ca="1" si="27"/>
        <v>30</v>
      </c>
      <c r="E100" s="29">
        <f t="shared" si="28"/>
        <v>2633333.0633333395</v>
      </c>
      <c r="F100" s="29">
        <f>IF(AND(A99="",A101=""),"",IF(A100="",ROUND(SUM($F$19:F99),2),IF(A100=$D$8,$E$18-ROUND(SUM($F$19:F99),2),ROUND($E$18/$D$8,2))))</f>
        <v>16666.669999999998</v>
      </c>
      <c r="G100" s="29">
        <f ca="1">IF(A99=$D$8,SUM($G$19:G99),IF(A100&gt;$F$8,"",IF(N100&lt;&gt;N99,SUM(P100*$F$15*E99/N100,Q100*$F$15*E99/N99),E99*$F$15*D100/N99)))</f>
        <v>40770.897536612116</v>
      </c>
      <c r="H100" s="29">
        <f ca="1">IF(A99=$D$8,SUM($H$19:H99),IF(A99&gt;$D$8,"",F100+G100))</f>
        <v>57437.567536612114</v>
      </c>
      <c r="I100" s="29" t="str">
        <f t="shared" si="26"/>
        <v/>
      </c>
      <c r="J100" s="29"/>
      <c r="K100" s="72" t="str">
        <f>IF(A99=$D$8,XIRR(H$18:H99,C$18:C99),"")</f>
        <v/>
      </c>
      <c r="L100" s="29" t="str">
        <f t="shared" si="19"/>
        <v/>
      </c>
      <c r="M100" s="22">
        <f t="shared" ca="1" si="20"/>
        <v>2028</v>
      </c>
      <c r="N100" s="22">
        <f t="shared" ca="1" si="21"/>
        <v>366</v>
      </c>
      <c r="O100" s="22">
        <f t="shared" ca="1" si="22"/>
        <v>12</v>
      </c>
      <c r="P100" s="23">
        <f t="shared" ca="1" si="23"/>
        <v>11</v>
      </c>
      <c r="Q100" s="24">
        <f t="shared" ca="1" si="24"/>
        <v>19</v>
      </c>
      <c r="R100" s="22"/>
    </row>
    <row r="101" spans="1:21" x14ac:dyDescent="0.35">
      <c r="A101" s="32">
        <f t="shared" si="25"/>
        <v>83</v>
      </c>
      <c r="B101" s="28">
        <f ca="1">EDATE($B$18,83)</f>
        <v>46916</v>
      </c>
      <c r="C101" s="28">
        <f t="shared" ca="1" si="18"/>
        <v>46916</v>
      </c>
      <c r="D101" s="32">
        <f t="shared" ca="1" si="27"/>
        <v>31</v>
      </c>
      <c r="E101" s="29">
        <f t="shared" si="28"/>
        <v>2616666.3933333396</v>
      </c>
      <c r="F101" s="29">
        <f>IF(AND(A100="",A102=""),"",IF(A101="",ROUND(SUM($F$19:F100),2),IF(A101=$D$8,$E$18-ROUND(SUM($F$19:F100),2),ROUND($E$18/$D$8,2))))</f>
        <v>16666.669999999998</v>
      </c>
      <c r="G101" s="29">
        <f ca="1">IF(A100=$D$8,SUM($G$19:G100),IF(A101&gt;$F$8,"",IF(N101&lt;&gt;N100,SUM(P101*$F$15*E100/N101,Q101*$F$15*E100/N100),E100*$F$15*D101/N100)))</f>
        <v>41864.959277643997</v>
      </c>
      <c r="H101" s="29">
        <f ca="1">IF(A100=$D$8,SUM($H$19:H100),IF(A100&gt;$D$8,"",F101+G101))</f>
        <v>58531.629277643995</v>
      </c>
      <c r="I101" s="29" t="str">
        <f t="shared" si="26"/>
        <v/>
      </c>
      <c r="J101" s="29"/>
      <c r="K101" s="72" t="str">
        <f>IF(A100=$D$8,XIRR(H$18:H100,C$18:C100),"")</f>
        <v/>
      </c>
      <c r="L101" s="29" t="str">
        <f t="shared" si="19"/>
        <v/>
      </c>
      <c r="M101" s="22">
        <f t="shared" ca="1" si="20"/>
        <v>2028</v>
      </c>
      <c r="N101" s="22">
        <f t="shared" ca="1" si="21"/>
        <v>366</v>
      </c>
      <c r="O101" s="22">
        <f t="shared" ca="1" si="22"/>
        <v>12</v>
      </c>
      <c r="P101" s="23">
        <f t="shared" ca="1" si="23"/>
        <v>11</v>
      </c>
      <c r="Q101" s="24">
        <f t="shared" ca="1" si="24"/>
        <v>20</v>
      </c>
      <c r="R101" s="22"/>
      <c r="U101" s="73"/>
    </row>
    <row r="102" spans="1:21" x14ac:dyDescent="0.35">
      <c r="A102" s="32">
        <f t="shared" si="25"/>
        <v>84</v>
      </c>
      <c r="B102" s="28">
        <f ca="1">EDATE($B$18,84)</f>
        <v>46946</v>
      </c>
      <c r="C102" s="28">
        <f ca="1">IF(B102=$D$10,B102-1,(IF(B102&gt;$D$10," ",B102)))</f>
        <v>46946</v>
      </c>
      <c r="D102" s="32">
        <f t="shared" ca="1" si="27"/>
        <v>30</v>
      </c>
      <c r="E102" s="29">
        <f t="shared" si="28"/>
        <v>2599999.7233333397</v>
      </c>
      <c r="F102" s="29">
        <f>IF(AND(A101="",A103=""),"",IF(A102="",ROUND(SUM($F$19:F101),2),IF(A102=$D$8,$E$18-ROUND(SUM($F$19:F101),2),ROUND($E$18/$D$8,2))))</f>
        <v>16666.669999999998</v>
      </c>
      <c r="G102" s="29">
        <f ca="1">IF(A101=$D$8,SUM($G$19:G101),IF(A102&gt;$F$8,"",IF(N102&lt;&gt;N101,SUM(P102*$F$15*E101/N102,Q102*$F$15*E101/N101),E101*$F$15*D102/N101)))</f>
        <v>40258.055903989167</v>
      </c>
      <c r="H102" s="29">
        <f ca="1">IF(A101=$D$8,SUM($H$19:H101),IF(A101&gt;$D$8,"",F102+G102))</f>
        <v>56924.725903989165</v>
      </c>
      <c r="I102" s="29" t="str">
        <f t="shared" si="26"/>
        <v/>
      </c>
      <c r="J102" s="29"/>
      <c r="K102" s="72" t="str">
        <f>IF(A101=$D$8,XIRR(H$18:H101,C$18:C101),"")</f>
        <v/>
      </c>
      <c r="L102" s="29" t="str">
        <f t="shared" si="19"/>
        <v/>
      </c>
      <c r="M102" s="22">
        <f t="shared" ca="1" si="20"/>
        <v>2028</v>
      </c>
      <c r="N102" s="22">
        <f t="shared" ca="1" si="21"/>
        <v>366</v>
      </c>
      <c r="O102" s="22">
        <f t="shared" ca="1" si="22"/>
        <v>12</v>
      </c>
      <c r="P102" s="23">
        <f t="shared" ca="1" si="23"/>
        <v>11</v>
      </c>
      <c r="Q102" s="24">
        <f t="shared" ca="1" si="24"/>
        <v>19</v>
      </c>
      <c r="R102" s="22"/>
    </row>
    <row r="103" spans="1:21" x14ac:dyDescent="0.35">
      <c r="A103" s="32">
        <f t="shared" si="25"/>
        <v>85</v>
      </c>
      <c r="B103" s="22"/>
      <c r="C103" s="28"/>
      <c r="D103" s="22"/>
      <c r="E103" s="22"/>
      <c r="F103" s="29">
        <f>IF(AND(A102="",A104=""),"",IF(A103="",ROUND(SUM($F$19:F102),2),IF(A103=$D$8,$E$18-ROUND(SUM($F$19:F102),2),ROUND($E$18/$D$8,2))))</f>
        <v>16666.669999999998</v>
      </c>
      <c r="G103" s="29" t="e">
        <f ca="1">IF(A102=$D$8,SUM($G$19:G102),IF(A103&gt;$F$8,"",IF(N103&lt;&gt;N102,SUM(P103*$F$15*E102/N103,Q103*$F$15*E102/N102),E102*$F$15*D103/N102)))</f>
        <v>#DIV/0!</v>
      </c>
      <c r="H103" s="29" t="e">
        <f ca="1">IF(A102=$D$8,SUM($H$19:H102),IF(A102&gt;$D$8,"",F103+G103))</f>
        <v>#DIV/0!</v>
      </c>
      <c r="I103" s="29" t="str">
        <f t="shared" si="26"/>
        <v/>
      </c>
      <c r="J103" s="29"/>
      <c r="K103" s="72" t="str">
        <f>IF(A102=$D$8,XIRR(H$18:H102,C$18:C102),"")</f>
        <v/>
      </c>
      <c r="L103" s="29" t="str">
        <f>IF(A102=$D$8,G103+I103+F103,"")</f>
        <v/>
      </c>
      <c r="M103" s="22"/>
      <c r="N103" s="22"/>
      <c r="O103" s="22"/>
      <c r="P103" s="22"/>
      <c r="Q103" s="22"/>
      <c r="R103" s="22"/>
    </row>
    <row r="104" spans="1:21" x14ac:dyDescent="0.35">
      <c r="A104" s="22"/>
      <c r="B104" s="22"/>
      <c r="C104" s="28"/>
      <c r="D104" s="22"/>
      <c r="E104" s="22"/>
      <c r="F104" s="22"/>
      <c r="G104" s="22"/>
      <c r="H104" s="22"/>
      <c r="I104" s="22"/>
      <c r="J104" s="22"/>
      <c r="K104" s="72"/>
      <c r="L104" s="22"/>
      <c r="M104" s="22"/>
      <c r="N104" s="22"/>
      <c r="O104" s="22"/>
      <c r="P104" s="22"/>
      <c r="Q104" s="22"/>
      <c r="R104" s="22"/>
    </row>
    <row r="105" spans="1:21" x14ac:dyDescent="0.35">
      <c r="A105" s="22"/>
      <c r="B105" s="22"/>
      <c r="C105" s="28"/>
      <c r="D105" s="22"/>
      <c r="E105" s="22"/>
      <c r="F105" s="22"/>
      <c r="G105" s="22"/>
      <c r="H105" s="22"/>
      <c r="I105" s="22"/>
      <c r="J105" s="22"/>
      <c r="K105" s="72"/>
      <c r="L105" s="22"/>
      <c r="M105" s="22"/>
      <c r="N105" s="22"/>
      <c r="O105" s="22"/>
      <c r="P105" s="22"/>
      <c r="Q105" s="22"/>
      <c r="R105" s="22"/>
    </row>
    <row r="106" spans="1:21" x14ac:dyDescent="0.35">
      <c r="A106" s="22"/>
      <c r="B106" s="22"/>
      <c r="C106" s="28"/>
      <c r="D106" s="22"/>
      <c r="E106" s="22"/>
      <c r="F106" s="22"/>
      <c r="G106" s="22"/>
      <c r="H106" s="22"/>
      <c r="I106" s="22"/>
      <c r="J106" s="22"/>
      <c r="K106" s="72"/>
      <c r="L106" s="22"/>
      <c r="M106" s="22"/>
      <c r="N106" s="22"/>
      <c r="O106" s="22"/>
      <c r="P106" s="22"/>
      <c r="Q106" s="22"/>
      <c r="R106" s="22"/>
    </row>
    <row r="107" spans="1:21" x14ac:dyDescent="0.35">
      <c r="A107" s="22"/>
      <c r="B107" s="22"/>
      <c r="C107" s="28"/>
      <c r="D107" s="22"/>
      <c r="E107" s="22"/>
      <c r="F107" s="22"/>
      <c r="G107" s="22"/>
      <c r="H107" s="22"/>
      <c r="I107" s="22"/>
      <c r="J107" s="22"/>
      <c r="K107" s="22"/>
      <c r="L107" s="22"/>
      <c r="M107" s="22"/>
      <c r="N107" s="22"/>
      <c r="O107" s="22"/>
      <c r="P107" s="22"/>
      <c r="Q107" s="22"/>
      <c r="R107" s="22"/>
    </row>
    <row r="108" spans="1:21" x14ac:dyDescent="0.35">
      <c r="A108" s="22"/>
      <c r="B108" s="22"/>
      <c r="C108" s="22"/>
      <c r="D108" s="22"/>
      <c r="E108" s="22"/>
      <c r="F108" s="22"/>
      <c r="G108" s="22"/>
      <c r="H108" s="22"/>
      <c r="I108" s="22"/>
      <c r="J108" s="22"/>
      <c r="K108" s="22"/>
      <c r="L108" s="22"/>
      <c r="M108" s="22"/>
      <c r="N108" s="22"/>
      <c r="O108" s="22"/>
      <c r="P108" s="22"/>
      <c r="Q108" s="22"/>
      <c r="R108" s="22"/>
    </row>
    <row r="109" spans="1:21" x14ac:dyDescent="0.35">
      <c r="A109" s="22"/>
      <c r="B109" s="22"/>
      <c r="C109" s="22"/>
      <c r="D109" s="22"/>
      <c r="E109" s="22"/>
      <c r="F109" s="22"/>
      <c r="G109" s="22"/>
      <c r="H109" s="22"/>
      <c r="I109" s="22"/>
      <c r="J109" s="22"/>
      <c r="K109" s="22"/>
      <c r="L109" s="22"/>
      <c r="M109" s="22"/>
      <c r="N109" s="22"/>
      <c r="O109" s="22"/>
      <c r="P109" s="22"/>
      <c r="Q109" s="22"/>
      <c r="R109" s="22"/>
    </row>
    <row r="110" spans="1:21" x14ac:dyDescent="0.35">
      <c r="A110" s="22"/>
      <c r="B110" s="22"/>
      <c r="C110" s="22"/>
      <c r="D110" s="22"/>
      <c r="E110" s="22"/>
      <c r="F110" s="22"/>
      <c r="G110" s="22"/>
      <c r="H110" s="22"/>
      <c r="I110" s="22"/>
      <c r="J110" s="22"/>
      <c r="K110" s="22"/>
      <c r="L110" s="22"/>
      <c r="M110" s="22"/>
      <c r="N110" s="22"/>
      <c r="O110" s="22"/>
      <c r="P110" s="22"/>
      <c r="Q110" s="22"/>
      <c r="R110" s="22"/>
    </row>
    <row r="111" spans="1:21" x14ac:dyDescent="0.35">
      <c r="A111" s="22"/>
      <c r="B111" s="22"/>
      <c r="C111" s="22"/>
      <c r="D111" s="22"/>
      <c r="E111" s="22"/>
      <c r="F111" s="22"/>
      <c r="G111" s="22"/>
      <c r="H111" s="22"/>
      <c r="I111" s="22"/>
      <c r="J111" s="22"/>
      <c r="K111" s="22"/>
      <c r="L111" s="22"/>
      <c r="M111" s="22"/>
      <c r="N111" s="22"/>
      <c r="O111" s="22"/>
      <c r="P111" s="22"/>
      <c r="Q111" s="22"/>
      <c r="R111" s="22"/>
    </row>
    <row r="112" spans="1:21" x14ac:dyDescent="0.35">
      <c r="A112" s="22"/>
      <c r="B112" s="22"/>
      <c r="C112" s="22"/>
      <c r="D112" s="22"/>
      <c r="E112" s="22"/>
      <c r="F112" s="22"/>
      <c r="G112" s="22"/>
      <c r="H112" s="22"/>
      <c r="I112" s="22"/>
      <c r="J112" s="22"/>
      <c r="K112" s="22"/>
      <c r="L112" s="22"/>
      <c r="M112" s="22"/>
      <c r="N112" s="22"/>
      <c r="O112" s="22"/>
      <c r="P112" s="22"/>
      <c r="Q112" s="22"/>
      <c r="R112" s="22"/>
    </row>
    <row r="113" spans="1:18" x14ac:dyDescent="0.35">
      <c r="A113" s="22"/>
      <c r="B113" s="22"/>
      <c r="C113" s="22"/>
      <c r="D113" s="22"/>
      <c r="E113" s="22"/>
      <c r="F113" s="22"/>
      <c r="G113" s="22"/>
      <c r="H113" s="22"/>
      <c r="I113" s="22"/>
      <c r="J113" s="22"/>
      <c r="K113" s="22"/>
      <c r="L113" s="22"/>
      <c r="M113" s="22"/>
      <c r="N113" s="22"/>
      <c r="O113" s="22"/>
      <c r="P113" s="22"/>
      <c r="Q113" s="22"/>
      <c r="R113" s="22"/>
    </row>
    <row r="114" spans="1:18" x14ac:dyDescent="0.35">
      <c r="A114" s="22"/>
      <c r="B114" s="22"/>
      <c r="C114" s="22"/>
      <c r="D114" s="22"/>
      <c r="E114" s="22"/>
      <c r="F114" s="22"/>
      <c r="G114" s="22"/>
      <c r="H114" s="22"/>
      <c r="I114" s="22"/>
      <c r="J114" s="22"/>
      <c r="K114" s="22"/>
      <c r="L114" s="22"/>
      <c r="M114" s="22"/>
      <c r="N114" s="22"/>
      <c r="O114" s="22"/>
      <c r="P114" s="22"/>
      <c r="Q114" s="22"/>
      <c r="R114" s="22"/>
    </row>
    <row r="115" spans="1:18" x14ac:dyDescent="0.35">
      <c r="A115" s="22"/>
      <c r="B115" s="22"/>
      <c r="C115" s="22"/>
      <c r="D115" s="22"/>
      <c r="E115" s="22"/>
      <c r="F115" s="22"/>
      <c r="G115" s="22"/>
      <c r="H115" s="22"/>
      <c r="I115" s="22"/>
      <c r="J115" s="22"/>
      <c r="K115" s="22"/>
      <c r="L115" s="22"/>
      <c r="M115" s="22"/>
      <c r="N115" s="22"/>
      <c r="O115" s="22"/>
      <c r="P115" s="22"/>
      <c r="Q115" s="22"/>
      <c r="R115" s="22"/>
    </row>
    <row r="116" spans="1:18" x14ac:dyDescent="0.35">
      <c r="A116" s="22"/>
      <c r="B116" s="22"/>
      <c r="C116" s="22"/>
      <c r="D116" s="22"/>
      <c r="E116" s="22"/>
      <c r="F116" s="22"/>
      <c r="G116" s="22"/>
      <c r="H116" s="22"/>
      <c r="I116" s="22"/>
      <c r="J116" s="22"/>
      <c r="K116" s="22"/>
      <c r="L116" s="22"/>
      <c r="M116" s="22"/>
      <c r="N116" s="22"/>
      <c r="O116" s="22"/>
      <c r="P116" s="22"/>
      <c r="Q116" s="22"/>
      <c r="R116" s="22"/>
    </row>
    <row r="117" spans="1:18" x14ac:dyDescent="0.35">
      <c r="A117" s="22"/>
      <c r="B117" s="22"/>
      <c r="C117" s="22"/>
      <c r="D117" s="22"/>
      <c r="E117" s="22"/>
      <c r="F117" s="22"/>
      <c r="G117" s="22"/>
      <c r="H117" s="22"/>
      <c r="I117" s="22"/>
      <c r="J117" s="22"/>
      <c r="K117" s="22"/>
      <c r="L117" s="22"/>
      <c r="M117" s="22"/>
      <c r="N117" s="22"/>
      <c r="O117" s="22"/>
      <c r="P117" s="22"/>
      <c r="Q117" s="22"/>
      <c r="R117" s="22"/>
    </row>
    <row r="118" spans="1:18" x14ac:dyDescent="0.35">
      <c r="A118" s="22"/>
      <c r="B118" s="22"/>
      <c r="C118" s="22"/>
      <c r="D118" s="22"/>
      <c r="E118" s="22"/>
      <c r="F118" s="22"/>
      <c r="G118" s="22"/>
      <c r="H118" s="22"/>
      <c r="I118" s="22"/>
      <c r="J118" s="22"/>
      <c r="K118" s="22"/>
      <c r="L118" s="22"/>
      <c r="M118" s="22"/>
      <c r="N118" s="22"/>
      <c r="O118" s="22"/>
      <c r="P118" s="22"/>
      <c r="Q118" s="22"/>
      <c r="R118" s="22"/>
    </row>
    <row r="119" spans="1:18" x14ac:dyDescent="0.35">
      <c r="A119" s="22"/>
      <c r="B119" s="22"/>
      <c r="C119" s="22"/>
      <c r="D119" s="22"/>
      <c r="E119" s="22"/>
      <c r="F119" s="22"/>
      <c r="G119" s="22"/>
      <c r="H119" s="22"/>
      <c r="I119" s="22"/>
      <c r="J119" s="22"/>
      <c r="K119" s="22"/>
      <c r="L119" s="22"/>
      <c r="M119" s="22"/>
      <c r="N119" s="22"/>
      <c r="O119" s="22"/>
      <c r="P119" s="22"/>
      <c r="Q119" s="22"/>
      <c r="R119" s="22"/>
    </row>
    <row r="120" spans="1:18" x14ac:dyDescent="0.35">
      <c r="A120" s="22"/>
      <c r="B120" s="22"/>
      <c r="C120" s="22"/>
      <c r="D120" s="22"/>
      <c r="E120" s="22"/>
      <c r="F120" s="22"/>
      <c r="G120" s="22"/>
      <c r="H120" s="22"/>
      <c r="I120" s="22"/>
      <c r="J120" s="22"/>
      <c r="K120" s="22"/>
      <c r="L120" s="22"/>
      <c r="M120" s="22"/>
      <c r="N120" s="22"/>
      <c r="O120" s="22"/>
      <c r="P120" s="22"/>
      <c r="Q120" s="22"/>
      <c r="R120" s="22"/>
    </row>
    <row r="121" spans="1:18" x14ac:dyDescent="0.35">
      <c r="A121" s="22"/>
      <c r="B121" s="22"/>
      <c r="C121" s="22"/>
      <c r="D121" s="22"/>
      <c r="E121" s="22"/>
      <c r="F121" s="22"/>
      <c r="G121" s="22"/>
      <c r="H121" s="22"/>
      <c r="I121" s="22"/>
      <c r="J121" s="22"/>
      <c r="K121" s="22"/>
      <c r="L121" s="22"/>
      <c r="M121" s="22"/>
      <c r="N121" s="22"/>
      <c r="O121" s="22"/>
      <c r="P121" s="22"/>
      <c r="Q121" s="22"/>
      <c r="R121" s="22"/>
    </row>
    <row r="122" spans="1:18" x14ac:dyDescent="0.35">
      <c r="A122" s="22"/>
      <c r="B122" s="22"/>
      <c r="C122" s="22"/>
      <c r="D122" s="22"/>
      <c r="E122" s="22"/>
      <c r="F122" s="22"/>
      <c r="G122" s="22"/>
      <c r="H122" s="22"/>
      <c r="I122" s="22"/>
      <c r="J122" s="22"/>
      <c r="K122" s="22"/>
      <c r="L122" s="22"/>
      <c r="M122" s="22"/>
      <c r="N122" s="22"/>
      <c r="O122" s="22"/>
      <c r="P122" s="22"/>
      <c r="Q122" s="22"/>
      <c r="R122" s="22"/>
    </row>
    <row r="123" spans="1:18" x14ac:dyDescent="0.35">
      <c r="A123" s="22"/>
      <c r="B123" s="22"/>
      <c r="C123" s="22"/>
      <c r="D123" s="22"/>
      <c r="E123" s="22"/>
      <c r="F123" s="22"/>
      <c r="G123" s="22"/>
      <c r="H123" s="22"/>
      <c r="I123" s="22"/>
      <c r="J123" s="22"/>
      <c r="K123" s="22"/>
      <c r="L123" s="22"/>
      <c r="M123" s="22"/>
      <c r="N123" s="22"/>
      <c r="O123" s="22"/>
      <c r="P123" s="22"/>
      <c r="Q123" s="22"/>
      <c r="R123" s="22"/>
    </row>
    <row r="124" spans="1:18" x14ac:dyDescent="0.35">
      <c r="A124" s="22"/>
      <c r="B124" s="22"/>
      <c r="C124" s="22"/>
      <c r="D124" s="22"/>
      <c r="E124" s="22"/>
      <c r="F124" s="22"/>
      <c r="G124" s="22"/>
      <c r="H124" s="22"/>
      <c r="I124" s="22"/>
      <c r="J124" s="22"/>
      <c r="K124" s="22"/>
      <c r="L124" s="22"/>
      <c r="M124" s="22"/>
      <c r="N124" s="22"/>
      <c r="O124" s="22"/>
      <c r="P124" s="22"/>
      <c r="Q124" s="22"/>
      <c r="R124" s="22"/>
    </row>
    <row r="125" spans="1:18" x14ac:dyDescent="0.35">
      <c r="A125" s="22"/>
      <c r="B125" s="22"/>
      <c r="C125" s="22"/>
      <c r="D125" s="22"/>
      <c r="E125" s="22"/>
      <c r="F125" s="22"/>
      <c r="G125" s="22"/>
      <c r="H125" s="22"/>
      <c r="I125" s="22"/>
      <c r="J125" s="22"/>
      <c r="K125" s="22"/>
      <c r="L125" s="22"/>
      <c r="M125" s="22"/>
      <c r="N125" s="22"/>
      <c r="O125" s="22"/>
      <c r="P125" s="22"/>
      <c r="Q125" s="22"/>
      <c r="R125" s="22"/>
    </row>
    <row r="126" spans="1:18" x14ac:dyDescent="0.35">
      <c r="A126" s="22"/>
      <c r="B126" s="22"/>
      <c r="C126" s="22"/>
      <c r="D126" s="22"/>
      <c r="E126" s="22"/>
      <c r="F126" s="22"/>
      <c r="G126" s="22"/>
      <c r="H126" s="22"/>
      <c r="I126" s="22"/>
      <c r="J126" s="22"/>
      <c r="K126" s="22"/>
      <c r="L126" s="22"/>
      <c r="M126" s="22"/>
      <c r="N126" s="22"/>
      <c r="O126" s="22"/>
      <c r="P126" s="22"/>
      <c r="Q126" s="22"/>
      <c r="R126" s="22"/>
    </row>
    <row r="127" spans="1:18" x14ac:dyDescent="0.35">
      <c r="A127" s="22"/>
      <c r="B127" s="22"/>
      <c r="C127" s="22"/>
      <c r="D127" s="22"/>
      <c r="E127" s="22"/>
      <c r="F127" s="22"/>
      <c r="G127" s="22"/>
      <c r="H127" s="22"/>
      <c r="I127" s="22"/>
      <c r="J127" s="22"/>
      <c r="K127" s="22"/>
      <c r="L127" s="22"/>
      <c r="M127" s="22"/>
      <c r="N127" s="22"/>
      <c r="O127" s="22"/>
      <c r="P127" s="22"/>
      <c r="Q127" s="22"/>
      <c r="R127" s="22"/>
    </row>
    <row r="128" spans="1:18" x14ac:dyDescent="0.35">
      <c r="A128" s="22"/>
      <c r="B128" s="22"/>
      <c r="C128" s="22"/>
      <c r="D128" s="22"/>
      <c r="E128" s="22"/>
      <c r="F128" s="22"/>
      <c r="G128" s="22"/>
      <c r="H128" s="22"/>
      <c r="I128" s="22"/>
      <c r="J128" s="22"/>
      <c r="K128" s="22"/>
      <c r="L128" s="22"/>
      <c r="M128" s="22"/>
      <c r="N128" s="22"/>
      <c r="O128" s="22"/>
      <c r="P128" s="22"/>
      <c r="Q128" s="22"/>
      <c r="R128" s="22"/>
    </row>
    <row r="129" spans="1:18" x14ac:dyDescent="0.35">
      <c r="A129" s="22"/>
      <c r="B129" s="22"/>
      <c r="C129" s="22"/>
      <c r="D129" s="22"/>
      <c r="E129" s="22"/>
      <c r="F129" s="22"/>
      <c r="G129" s="22"/>
      <c r="H129" s="22"/>
      <c r="I129" s="22"/>
      <c r="J129" s="22"/>
      <c r="K129" s="22"/>
      <c r="L129" s="22"/>
      <c r="M129" s="22"/>
      <c r="N129" s="22"/>
      <c r="O129" s="22"/>
      <c r="P129" s="22"/>
      <c r="Q129" s="22"/>
      <c r="R129" s="22"/>
    </row>
    <row r="130" spans="1:18" x14ac:dyDescent="0.35">
      <c r="A130" s="22"/>
      <c r="B130" s="22"/>
      <c r="C130" s="22"/>
      <c r="D130" s="22"/>
      <c r="E130" s="22"/>
      <c r="F130" s="22"/>
      <c r="G130" s="22"/>
      <c r="H130" s="22"/>
      <c r="I130" s="22"/>
      <c r="J130" s="22"/>
      <c r="K130" s="22"/>
      <c r="L130" s="22"/>
      <c r="M130" s="22"/>
      <c r="N130" s="22"/>
      <c r="O130" s="22"/>
      <c r="P130" s="22"/>
      <c r="Q130" s="22"/>
      <c r="R130" s="22"/>
    </row>
    <row r="131" spans="1:18" x14ac:dyDescent="0.35">
      <c r="A131" s="22"/>
      <c r="B131" s="22"/>
      <c r="C131" s="22"/>
      <c r="D131" s="22"/>
      <c r="E131" s="22"/>
      <c r="F131" s="22"/>
      <c r="G131" s="22"/>
      <c r="H131" s="22"/>
      <c r="I131" s="22"/>
      <c r="J131" s="22"/>
      <c r="K131" s="22"/>
      <c r="L131" s="22"/>
      <c r="M131" s="22"/>
      <c r="N131" s="22"/>
      <c r="O131" s="22"/>
      <c r="P131" s="22"/>
      <c r="Q131" s="22"/>
      <c r="R131" s="22"/>
    </row>
    <row r="132" spans="1:18" x14ac:dyDescent="0.35">
      <c r="A132" s="22"/>
      <c r="B132" s="22"/>
      <c r="C132" s="22"/>
      <c r="D132" s="22"/>
      <c r="E132" s="22"/>
      <c r="F132" s="22"/>
      <c r="G132" s="22"/>
      <c r="H132" s="22"/>
      <c r="I132" s="22"/>
      <c r="J132" s="22"/>
      <c r="K132" s="22"/>
      <c r="L132" s="22"/>
      <c r="M132" s="22"/>
      <c r="N132" s="22"/>
      <c r="O132" s="22"/>
      <c r="P132" s="22"/>
      <c r="Q132" s="22"/>
      <c r="R132" s="22"/>
    </row>
    <row r="133" spans="1:18" x14ac:dyDescent="0.35">
      <c r="A133" s="22"/>
      <c r="B133" s="22"/>
      <c r="C133" s="22"/>
      <c r="D133" s="22"/>
      <c r="E133" s="22"/>
      <c r="F133" s="22"/>
      <c r="G133" s="22"/>
      <c r="H133" s="22"/>
      <c r="I133" s="22"/>
      <c r="J133" s="22"/>
      <c r="K133" s="22"/>
      <c r="L133" s="22"/>
      <c r="M133" s="22"/>
      <c r="N133" s="22"/>
      <c r="O133" s="22"/>
      <c r="P133" s="22"/>
      <c r="Q133" s="22"/>
      <c r="R133" s="22"/>
    </row>
    <row r="134" spans="1:18" x14ac:dyDescent="0.35">
      <c r="A134" s="22"/>
      <c r="B134" s="22"/>
      <c r="C134" s="22"/>
      <c r="D134" s="22"/>
      <c r="E134" s="22"/>
      <c r="F134" s="22"/>
      <c r="G134" s="22"/>
      <c r="H134" s="22"/>
      <c r="I134" s="22"/>
      <c r="J134" s="22"/>
      <c r="K134" s="22"/>
      <c r="L134" s="22"/>
      <c r="M134" s="22"/>
      <c r="N134" s="22"/>
      <c r="O134" s="22"/>
      <c r="P134" s="22"/>
      <c r="Q134" s="22"/>
      <c r="R134" s="22"/>
    </row>
    <row r="135" spans="1:18" x14ac:dyDescent="0.35">
      <c r="A135" s="22"/>
      <c r="B135" s="22"/>
      <c r="C135" s="22"/>
      <c r="D135" s="22"/>
      <c r="E135" s="22"/>
      <c r="F135" s="22"/>
      <c r="G135" s="22"/>
      <c r="H135" s="22"/>
      <c r="I135" s="22"/>
      <c r="J135" s="22"/>
      <c r="K135" s="22"/>
      <c r="L135" s="22"/>
      <c r="M135" s="22"/>
      <c r="N135" s="22"/>
      <c r="O135" s="22"/>
      <c r="P135" s="22"/>
      <c r="Q135" s="22"/>
      <c r="R135" s="22"/>
    </row>
    <row r="136" spans="1:18" x14ac:dyDescent="0.35">
      <c r="A136" s="22"/>
      <c r="B136" s="22"/>
      <c r="C136" s="22"/>
      <c r="D136" s="22"/>
      <c r="E136" s="22"/>
      <c r="F136" s="22"/>
      <c r="G136" s="22"/>
      <c r="H136" s="22"/>
      <c r="I136" s="22"/>
      <c r="J136" s="22"/>
      <c r="K136" s="22"/>
      <c r="L136" s="22"/>
      <c r="M136" s="22"/>
      <c r="N136" s="22"/>
      <c r="O136" s="22"/>
      <c r="P136" s="22"/>
      <c r="Q136" s="22"/>
      <c r="R136" s="22"/>
    </row>
    <row r="137" spans="1:18" x14ac:dyDescent="0.35">
      <c r="A137" s="22"/>
      <c r="B137" s="22"/>
      <c r="C137" s="22"/>
      <c r="D137" s="22"/>
      <c r="E137" s="22"/>
      <c r="F137" s="22"/>
      <c r="G137" s="22"/>
      <c r="H137" s="22"/>
      <c r="I137" s="22"/>
      <c r="J137" s="22"/>
      <c r="K137" s="22"/>
      <c r="L137" s="22"/>
      <c r="M137" s="22"/>
      <c r="N137" s="22"/>
      <c r="O137" s="22"/>
      <c r="P137" s="22"/>
      <c r="Q137" s="22"/>
      <c r="R137" s="22"/>
    </row>
    <row r="138" spans="1:18" x14ac:dyDescent="0.35">
      <c r="A138" s="22"/>
      <c r="B138" s="22"/>
      <c r="C138" s="22"/>
      <c r="D138" s="22"/>
      <c r="E138" s="22"/>
      <c r="F138" s="22"/>
      <c r="G138" s="22"/>
      <c r="H138" s="22"/>
      <c r="I138" s="22"/>
      <c r="J138" s="22"/>
      <c r="K138" s="22"/>
      <c r="L138" s="22"/>
      <c r="M138" s="22"/>
      <c r="N138" s="22"/>
      <c r="O138" s="22"/>
      <c r="P138" s="22"/>
      <c r="Q138" s="22"/>
      <c r="R138" s="22"/>
    </row>
    <row r="139" spans="1:18" x14ac:dyDescent="0.35">
      <c r="A139" s="22"/>
      <c r="B139" s="22"/>
      <c r="C139" s="22"/>
      <c r="D139" s="22"/>
      <c r="E139" s="22"/>
      <c r="F139" s="22"/>
      <c r="G139" s="22"/>
      <c r="H139" s="22"/>
      <c r="I139" s="22"/>
      <c r="J139" s="22"/>
      <c r="K139" s="22"/>
      <c r="L139" s="22"/>
      <c r="M139" s="22"/>
      <c r="N139" s="22"/>
      <c r="O139" s="22"/>
      <c r="P139" s="22"/>
      <c r="Q139" s="22"/>
      <c r="R139" s="22"/>
    </row>
    <row r="140" spans="1:18" x14ac:dyDescent="0.35">
      <c r="A140" s="22"/>
      <c r="B140" s="22"/>
      <c r="C140" s="22"/>
      <c r="D140" s="22"/>
      <c r="E140" s="22"/>
      <c r="F140" s="22"/>
      <c r="G140" s="22"/>
      <c r="H140" s="22"/>
      <c r="I140" s="22"/>
      <c r="J140" s="22"/>
      <c r="K140" s="22"/>
      <c r="L140" s="22"/>
      <c r="M140" s="22"/>
      <c r="N140" s="22"/>
      <c r="O140" s="22"/>
      <c r="P140" s="22"/>
      <c r="Q140" s="22"/>
      <c r="R140" s="22"/>
    </row>
    <row r="141" spans="1:18" x14ac:dyDescent="0.35">
      <c r="A141" s="22"/>
      <c r="B141" s="22"/>
      <c r="C141" s="22"/>
      <c r="D141" s="22"/>
      <c r="E141" s="22"/>
      <c r="F141" s="22"/>
      <c r="G141" s="22"/>
      <c r="H141" s="22"/>
      <c r="I141" s="22"/>
      <c r="J141" s="22"/>
      <c r="K141" s="22"/>
      <c r="L141" s="22"/>
      <c r="M141" s="22"/>
      <c r="N141" s="22"/>
      <c r="O141" s="22"/>
      <c r="P141" s="22"/>
      <c r="Q141" s="22"/>
      <c r="R141" s="22"/>
    </row>
    <row r="142" spans="1:18" x14ac:dyDescent="0.35">
      <c r="A142" s="22"/>
      <c r="B142" s="22"/>
      <c r="C142" s="22"/>
      <c r="D142" s="22"/>
      <c r="E142" s="22"/>
      <c r="F142" s="22"/>
      <c r="G142" s="22"/>
      <c r="H142" s="22"/>
      <c r="I142" s="22"/>
      <c r="J142" s="22"/>
      <c r="K142" s="22"/>
      <c r="L142" s="22"/>
      <c r="M142" s="22"/>
      <c r="N142" s="22"/>
      <c r="O142" s="22"/>
      <c r="P142" s="22"/>
      <c r="Q142" s="22"/>
      <c r="R142" s="22"/>
    </row>
    <row r="143" spans="1:18" x14ac:dyDescent="0.35">
      <c r="A143" s="22"/>
      <c r="B143" s="22"/>
      <c r="C143" s="22"/>
      <c r="D143" s="22"/>
      <c r="E143" s="22"/>
      <c r="F143" s="22"/>
      <c r="G143" s="22"/>
      <c r="H143" s="22"/>
      <c r="I143" s="22"/>
      <c r="J143" s="22"/>
      <c r="K143" s="22"/>
      <c r="L143" s="22"/>
      <c r="M143" s="22"/>
      <c r="N143" s="22"/>
      <c r="O143" s="22"/>
      <c r="P143" s="22"/>
      <c r="Q143" s="22"/>
      <c r="R143" s="22"/>
    </row>
    <row r="144" spans="1:18" x14ac:dyDescent="0.35">
      <c r="A144" s="22"/>
      <c r="B144" s="22"/>
      <c r="C144" s="22"/>
      <c r="D144" s="22"/>
      <c r="E144" s="22"/>
      <c r="F144" s="22"/>
      <c r="G144" s="22"/>
      <c r="H144" s="22"/>
      <c r="I144" s="22"/>
      <c r="J144" s="22"/>
      <c r="K144" s="22"/>
      <c r="L144" s="22"/>
      <c r="M144" s="22"/>
      <c r="N144" s="22"/>
      <c r="O144" s="22"/>
      <c r="P144" s="22"/>
      <c r="Q144" s="22"/>
      <c r="R144" s="22"/>
    </row>
    <row r="145" spans="1:18" x14ac:dyDescent="0.35">
      <c r="A145" s="22"/>
      <c r="B145" s="22"/>
      <c r="C145" s="22"/>
      <c r="D145" s="22"/>
      <c r="E145" s="22"/>
      <c r="F145" s="22"/>
      <c r="G145" s="22"/>
      <c r="H145" s="22"/>
      <c r="I145" s="22"/>
      <c r="J145" s="22"/>
      <c r="K145" s="22"/>
      <c r="L145" s="22"/>
      <c r="M145" s="22"/>
      <c r="N145" s="22"/>
      <c r="O145" s="22"/>
      <c r="P145" s="22"/>
      <c r="Q145" s="22"/>
      <c r="R145" s="22"/>
    </row>
    <row r="146" spans="1:18" x14ac:dyDescent="0.35">
      <c r="A146" s="22"/>
      <c r="B146" s="22"/>
      <c r="C146" s="22"/>
      <c r="D146" s="22"/>
      <c r="E146" s="22"/>
      <c r="F146" s="22"/>
      <c r="G146" s="22"/>
      <c r="H146" s="22"/>
      <c r="I146" s="22"/>
      <c r="J146" s="22"/>
      <c r="K146" s="22"/>
      <c r="L146" s="22"/>
      <c r="M146" s="22"/>
      <c r="N146" s="22"/>
      <c r="O146" s="22"/>
      <c r="P146" s="22"/>
      <c r="Q146" s="22"/>
      <c r="R146" s="22"/>
    </row>
    <row r="147" spans="1:18" x14ac:dyDescent="0.35">
      <c r="A147" s="22"/>
      <c r="B147" s="22"/>
      <c r="C147" s="22"/>
      <c r="D147" s="22"/>
      <c r="E147" s="22"/>
      <c r="F147" s="22"/>
      <c r="G147" s="22"/>
      <c r="H147" s="22"/>
      <c r="I147" s="22"/>
      <c r="J147" s="22"/>
      <c r="K147" s="22"/>
      <c r="L147" s="22"/>
      <c r="M147" s="22"/>
      <c r="N147" s="22"/>
      <c r="O147" s="22"/>
      <c r="P147" s="22"/>
      <c r="Q147" s="22"/>
      <c r="R147" s="22"/>
    </row>
    <row r="148" spans="1:18" x14ac:dyDescent="0.35">
      <c r="A148" s="22"/>
      <c r="B148" s="22"/>
      <c r="C148" s="22"/>
      <c r="D148" s="22"/>
      <c r="E148" s="22"/>
      <c r="F148" s="22"/>
      <c r="G148" s="22"/>
      <c r="H148" s="22"/>
      <c r="I148" s="22"/>
      <c r="J148" s="22"/>
      <c r="K148" s="22"/>
      <c r="L148" s="22"/>
      <c r="M148" s="22"/>
      <c r="N148" s="22"/>
      <c r="O148" s="22"/>
      <c r="P148" s="22"/>
      <c r="Q148" s="22"/>
      <c r="R148" s="22"/>
    </row>
    <row r="149" spans="1:18" x14ac:dyDescent="0.35">
      <c r="A149" s="22"/>
      <c r="B149" s="22"/>
      <c r="C149" s="22"/>
      <c r="D149" s="22"/>
      <c r="E149" s="22"/>
      <c r="F149" s="22"/>
      <c r="G149" s="22"/>
      <c r="H149" s="22"/>
      <c r="I149" s="22"/>
      <c r="J149" s="22"/>
      <c r="K149" s="22"/>
      <c r="L149" s="22"/>
      <c r="M149" s="22"/>
      <c r="N149" s="22"/>
      <c r="O149" s="22"/>
      <c r="P149" s="22"/>
      <c r="Q149" s="22"/>
      <c r="R149" s="22"/>
    </row>
    <row r="150" spans="1:18" x14ac:dyDescent="0.35">
      <c r="A150" s="22"/>
      <c r="B150" s="22"/>
      <c r="C150" s="22"/>
      <c r="D150" s="22"/>
      <c r="E150" s="22"/>
      <c r="F150" s="22"/>
      <c r="G150" s="22"/>
      <c r="H150" s="22"/>
      <c r="I150" s="22"/>
      <c r="J150" s="22"/>
      <c r="K150" s="22"/>
      <c r="L150" s="22"/>
      <c r="M150" s="22"/>
      <c r="N150" s="22"/>
      <c r="O150" s="22"/>
      <c r="P150" s="22"/>
      <c r="Q150" s="22"/>
      <c r="R150" s="22"/>
    </row>
    <row r="151" spans="1:18" x14ac:dyDescent="0.35">
      <c r="A151" s="22"/>
      <c r="B151" s="22"/>
      <c r="C151" s="22"/>
      <c r="D151" s="22"/>
      <c r="E151" s="22"/>
      <c r="F151" s="22"/>
      <c r="G151" s="22"/>
      <c r="H151" s="22"/>
      <c r="I151" s="22"/>
      <c r="J151" s="22"/>
      <c r="K151" s="22"/>
      <c r="L151" s="22"/>
      <c r="M151" s="22"/>
      <c r="N151" s="22"/>
      <c r="O151" s="22"/>
      <c r="P151" s="22"/>
      <c r="Q151" s="22"/>
      <c r="R151" s="22"/>
    </row>
    <row r="152" spans="1:18" x14ac:dyDescent="0.35">
      <c r="A152" s="22"/>
      <c r="B152" s="22"/>
      <c r="C152" s="22"/>
      <c r="D152" s="22"/>
      <c r="E152" s="22"/>
      <c r="F152" s="22"/>
      <c r="G152" s="22"/>
      <c r="H152" s="22"/>
      <c r="I152" s="22"/>
      <c r="J152" s="22"/>
      <c r="K152" s="22"/>
      <c r="L152" s="22"/>
      <c r="M152" s="22"/>
      <c r="N152" s="22"/>
      <c r="O152" s="22"/>
      <c r="P152" s="22"/>
      <c r="Q152" s="22"/>
      <c r="R152" s="22"/>
    </row>
    <row r="153" spans="1:18" x14ac:dyDescent="0.35">
      <c r="A153" s="22"/>
      <c r="B153" s="22"/>
      <c r="C153" s="22"/>
      <c r="D153" s="22"/>
      <c r="E153" s="22"/>
      <c r="F153" s="22"/>
      <c r="G153" s="22"/>
      <c r="H153" s="22"/>
      <c r="I153" s="22"/>
      <c r="J153" s="22"/>
      <c r="K153" s="22"/>
      <c r="L153" s="22"/>
      <c r="M153" s="22"/>
      <c r="N153" s="22"/>
      <c r="O153" s="22"/>
      <c r="P153" s="22"/>
      <c r="Q153" s="22"/>
      <c r="R153" s="22"/>
    </row>
    <row r="154" spans="1:18" x14ac:dyDescent="0.35">
      <c r="A154" s="22"/>
      <c r="B154" s="22"/>
      <c r="C154" s="22"/>
      <c r="D154" s="22"/>
      <c r="E154" s="22"/>
      <c r="F154" s="22"/>
      <c r="G154" s="22"/>
      <c r="H154" s="22"/>
      <c r="I154" s="22"/>
      <c r="J154" s="22"/>
      <c r="K154" s="22"/>
      <c r="L154" s="22"/>
      <c r="M154" s="22"/>
      <c r="N154" s="22"/>
      <c r="O154" s="22"/>
      <c r="P154" s="22"/>
      <c r="Q154" s="22"/>
      <c r="R154" s="22"/>
    </row>
    <row r="155" spans="1:18" x14ac:dyDescent="0.35">
      <c r="A155" s="22"/>
      <c r="B155" s="22"/>
      <c r="C155" s="22"/>
      <c r="D155" s="22"/>
      <c r="E155" s="22"/>
      <c r="F155" s="22"/>
      <c r="G155" s="22"/>
      <c r="H155" s="22"/>
      <c r="I155" s="22"/>
      <c r="J155" s="22"/>
      <c r="K155" s="22"/>
      <c r="L155" s="22"/>
      <c r="M155" s="22"/>
      <c r="N155" s="22"/>
      <c r="O155" s="22"/>
      <c r="P155" s="22"/>
      <c r="Q155" s="22"/>
      <c r="R155" s="22"/>
    </row>
    <row r="156" spans="1:18" x14ac:dyDescent="0.35">
      <c r="A156" s="22"/>
      <c r="B156" s="22"/>
      <c r="C156" s="22"/>
      <c r="D156" s="22"/>
      <c r="E156" s="22"/>
      <c r="F156" s="22"/>
      <c r="G156" s="22"/>
      <c r="H156" s="22"/>
      <c r="I156" s="22"/>
      <c r="J156" s="22"/>
      <c r="K156" s="22"/>
      <c r="L156" s="22"/>
      <c r="M156" s="22"/>
      <c r="N156" s="22"/>
      <c r="O156" s="22"/>
      <c r="P156" s="22"/>
      <c r="Q156" s="22"/>
      <c r="R156" s="22"/>
    </row>
    <row r="157" spans="1:18" x14ac:dyDescent="0.35">
      <c r="A157" s="22"/>
      <c r="B157" s="22"/>
      <c r="C157" s="22"/>
      <c r="D157" s="22"/>
      <c r="E157" s="22"/>
      <c r="F157" s="22"/>
      <c r="G157" s="22"/>
      <c r="H157" s="22"/>
      <c r="I157" s="22"/>
      <c r="J157" s="22"/>
      <c r="K157" s="22"/>
      <c r="L157" s="22"/>
      <c r="M157" s="22"/>
      <c r="N157" s="22"/>
      <c r="O157" s="22"/>
      <c r="P157" s="22"/>
      <c r="Q157" s="22"/>
      <c r="R157" s="22"/>
    </row>
    <row r="158" spans="1:18" x14ac:dyDescent="0.35">
      <c r="A158" s="22"/>
      <c r="B158" s="22"/>
      <c r="C158" s="22"/>
      <c r="D158" s="22"/>
      <c r="E158" s="22"/>
      <c r="F158" s="22"/>
      <c r="G158" s="22"/>
      <c r="H158" s="22"/>
      <c r="I158" s="22"/>
      <c r="J158" s="22"/>
      <c r="K158" s="22"/>
      <c r="L158" s="22"/>
      <c r="M158" s="22"/>
      <c r="N158" s="22"/>
      <c r="O158" s="22"/>
      <c r="P158" s="22"/>
      <c r="Q158" s="22"/>
      <c r="R158" s="22"/>
    </row>
    <row r="159" spans="1:18" x14ac:dyDescent="0.35">
      <c r="A159" s="22"/>
      <c r="B159" s="22"/>
      <c r="C159" s="22"/>
      <c r="D159" s="22"/>
      <c r="E159" s="22"/>
      <c r="F159" s="22"/>
      <c r="G159" s="22"/>
      <c r="H159" s="22"/>
      <c r="I159" s="22"/>
      <c r="J159" s="22"/>
      <c r="K159" s="22"/>
      <c r="L159" s="22"/>
      <c r="M159" s="22"/>
      <c r="N159" s="22"/>
      <c r="O159" s="22"/>
      <c r="P159" s="22"/>
      <c r="Q159" s="22"/>
      <c r="R159" s="22"/>
    </row>
    <row r="160" spans="1:18" x14ac:dyDescent="0.35">
      <c r="A160" s="22"/>
      <c r="B160" s="22"/>
      <c r="C160" s="22"/>
      <c r="D160" s="22"/>
      <c r="E160" s="22"/>
      <c r="F160" s="22"/>
      <c r="G160" s="22"/>
      <c r="H160" s="22"/>
      <c r="I160" s="22"/>
      <c r="J160" s="22"/>
      <c r="K160" s="22"/>
      <c r="L160" s="22"/>
      <c r="M160" s="22"/>
      <c r="N160" s="22"/>
      <c r="O160" s="22"/>
      <c r="P160" s="22"/>
      <c r="Q160" s="22"/>
      <c r="R160" s="22"/>
    </row>
    <row r="161" spans="1:18" x14ac:dyDescent="0.35">
      <c r="A161" s="22"/>
      <c r="B161" s="22"/>
      <c r="C161" s="22"/>
      <c r="D161" s="22"/>
      <c r="E161" s="22"/>
      <c r="F161" s="22"/>
      <c r="G161" s="22"/>
      <c r="H161" s="22"/>
      <c r="I161" s="22"/>
      <c r="J161" s="22"/>
      <c r="K161" s="22"/>
      <c r="L161" s="22"/>
      <c r="M161" s="22"/>
      <c r="N161" s="22"/>
      <c r="O161" s="22"/>
      <c r="P161" s="22"/>
      <c r="Q161" s="22"/>
      <c r="R161" s="22"/>
    </row>
    <row r="162" spans="1:18" x14ac:dyDescent="0.35">
      <c r="A162" s="22"/>
      <c r="B162" s="22"/>
      <c r="C162" s="22"/>
      <c r="D162" s="22"/>
      <c r="E162" s="22"/>
      <c r="F162" s="22"/>
      <c r="G162" s="22"/>
      <c r="H162" s="22"/>
      <c r="I162" s="22"/>
      <c r="J162" s="22"/>
      <c r="K162" s="22"/>
      <c r="L162" s="22"/>
      <c r="M162" s="22"/>
      <c r="N162" s="22"/>
      <c r="O162" s="22"/>
      <c r="P162" s="22"/>
      <c r="Q162" s="22"/>
      <c r="R162" s="22"/>
    </row>
    <row r="163" spans="1:18" x14ac:dyDescent="0.35">
      <c r="A163" s="22"/>
      <c r="B163" s="22"/>
      <c r="C163" s="22"/>
      <c r="D163" s="22"/>
      <c r="E163" s="22"/>
      <c r="F163" s="22"/>
      <c r="G163" s="22"/>
      <c r="H163" s="22"/>
      <c r="I163" s="22"/>
      <c r="J163" s="22"/>
      <c r="K163" s="22"/>
      <c r="L163" s="22"/>
      <c r="M163" s="22"/>
      <c r="N163" s="22"/>
      <c r="O163" s="22"/>
      <c r="P163" s="22"/>
      <c r="Q163" s="22"/>
      <c r="R163" s="22"/>
    </row>
    <row r="164" spans="1:18" x14ac:dyDescent="0.35">
      <c r="A164" s="22"/>
      <c r="B164" s="22"/>
      <c r="C164" s="22"/>
      <c r="D164" s="22"/>
      <c r="E164" s="22"/>
      <c r="F164" s="22"/>
      <c r="G164" s="22"/>
      <c r="H164" s="22"/>
      <c r="I164" s="22"/>
      <c r="J164" s="22"/>
      <c r="K164" s="22"/>
      <c r="L164" s="22"/>
      <c r="M164" s="22"/>
      <c r="N164" s="22"/>
      <c r="O164" s="22"/>
      <c r="P164" s="22"/>
      <c r="Q164" s="22"/>
      <c r="R164" s="22"/>
    </row>
    <row r="165" spans="1:18" x14ac:dyDescent="0.35">
      <c r="A165" s="22"/>
      <c r="B165" s="22"/>
      <c r="C165" s="22"/>
      <c r="D165" s="22"/>
      <c r="E165" s="22"/>
      <c r="F165" s="22"/>
      <c r="G165" s="22"/>
      <c r="H165" s="22"/>
      <c r="I165" s="22"/>
      <c r="J165" s="22"/>
      <c r="K165" s="22"/>
      <c r="L165" s="22"/>
      <c r="M165" s="22"/>
      <c r="N165" s="22"/>
      <c r="O165" s="22"/>
      <c r="P165" s="22"/>
      <c r="Q165" s="22"/>
      <c r="R165" s="22"/>
    </row>
    <row r="166" spans="1:18" x14ac:dyDescent="0.35">
      <c r="A166" s="22"/>
      <c r="B166" s="22"/>
      <c r="C166" s="22"/>
      <c r="D166" s="22"/>
      <c r="E166" s="22"/>
      <c r="F166" s="22"/>
      <c r="G166" s="22"/>
      <c r="H166" s="22"/>
      <c r="I166" s="22"/>
      <c r="J166" s="22"/>
      <c r="K166" s="22"/>
      <c r="L166" s="22"/>
      <c r="M166" s="22"/>
      <c r="N166" s="22"/>
      <c r="O166" s="22"/>
      <c r="P166" s="22"/>
      <c r="Q166" s="22"/>
      <c r="R166" s="22"/>
    </row>
    <row r="167" spans="1:18" x14ac:dyDescent="0.35">
      <c r="A167" s="22"/>
      <c r="B167" s="22"/>
      <c r="C167" s="22"/>
      <c r="D167" s="22"/>
      <c r="E167" s="22"/>
      <c r="F167" s="22"/>
      <c r="G167" s="22"/>
      <c r="H167" s="22"/>
      <c r="I167" s="22"/>
      <c r="J167" s="22"/>
      <c r="K167" s="22"/>
      <c r="L167" s="22"/>
      <c r="M167" s="22"/>
      <c r="N167" s="22"/>
      <c r="O167" s="22"/>
      <c r="P167" s="22"/>
      <c r="Q167" s="22"/>
      <c r="R167" s="22"/>
    </row>
    <row r="168" spans="1:18" x14ac:dyDescent="0.35">
      <c r="A168" s="22"/>
      <c r="B168" s="22"/>
      <c r="C168" s="22"/>
      <c r="D168" s="22"/>
      <c r="E168" s="22"/>
      <c r="F168" s="22"/>
      <c r="G168" s="22"/>
      <c r="H168" s="22"/>
      <c r="I168" s="22"/>
      <c r="J168" s="22"/>
      <c r="K168" s="22"/>
      <c r="L168" s="22"/>
      <c r="M168" s="22"/>
      <c r="N168" s="22"/>
      <c r="O168" s="22"/>
      <c r="P168" s="22"/>
      <c r="Q168" s="22"/>
      <c r="R168" s="22"/>
    </row>
    <row r="169" spans="1:18" x14ac:dyDescent="0.35">
      <c r="A169" s="22"/>
      <c r="B169" s="22"/>
      <c r="C169" s="22"/>
      <c r="D169" s="22"/>
      <c r="E169" s="22"/>
      <c r="F169" s="22"/>
      <c r="G169" s="22"/>
      <c r="H169" s="22"/>
      <c r="I169" s="22"/>
      <c r="J169" s="22"/>
      <c r="K169" s="22"/>
      <c r="L169" s="22"/>
      <c r="M169" s="22"/>
      <c r="N169" s="22"/>
      <c r="O169" s="22"/>
      <c r="P169" s="22"/>
      <c r="Q169" s="22"/>
      <c r="R169" s="22"/>
    </row>
    <row r="170" spans="1:18" x14ac:dyDescent="0.35">
      <c r="A170" s="22"/>
      <c r="B170" s="22"/>
      <c r="C170" s="22"/>
      <c r="D170" s="22"/>
      <c r="E170" s="22"/>
      <c r="F170" s="22"/>
      <c r="G170" s="22"/>
      <c r="H170" s="22"/>
      <c r="I170" s="22"/>
      <c r="J170" s="22"/>
      <c r="K170" s="22"/>
      <c r="L170" s="22"/>
      <c r="M170" s="22"/>
      <c r="N170" s="22"/>
      <c r="O170" s="22"/>
      <c r="P170" s="22"/>
      <c r="Q170" s="22"/>
      <c r="R170" s="22"/>
    </row>
    <row r="171" spans="1:18" x14ac:dyDescent="0.35">
      <c r="A171" s="22"/>
      <c r="B171" s="22"/>
      <c r="C171" s="22"/>
      <c r="D171" s="22"/>
      <c r="E171" s="22"/>
      <c r="F171" s="22"/>
      <c r="G171" s="22"/>
      <c r="H171" s="22"/>
      <c r="I171" s="22"/>
      <c r="J171" s="22"/>
      <c r="K171" s="22"/>
      <c r="L171" s="22"/>
      <c r="M171" s="22"/>
      <c r="N171" s="22"/>
      <c r="O171" s="22"/>
      <c r="P171" s="22"/>
      <c r="Q171" s="22"/>
      <c r="R171" s="22"/>
    </row>
    <row r="172" spans="1:18" x14ac:dyDescent="0.35">
      <c r="A172" s="22"/>
      <c r="B172" s="22"/>
      <c r="C172" s="22"/>
      <c r="D172" s="22"/>
      <c r="E172" s="22"/>
      <c r="F172" s="22"/>
      <c r="G172" s="22"/>
      <c r="H172" s="22"/>
      <c r="I172" s="22"/>
      <c r="J172" s="22"/>
      <c r="K172" s="22"/>
      <c r="L172" s="22"/>
      <c r="M172" s="22"/>
      <c r="N172" s="22"/>
      <c r="O172" s="22"/>
      <c r="P172" s="22"/>
      <c r="Q172" s="22"/>
      <c r="R172" s="22"/>
    </row>
    <row r="173" spans="1:18" x14ac:dyDescent="0.35">
      <c r="A173" s="22"/>
      <c r="B173" s="22"/>
      <c r="C173" s="22"/>
      <c r="D173" s="22"/>
      <c r="E173" s="22"/>
      <c r="F173" s="22"/>
      <c r="G173" s="22"/>
      <c r="H173" s="22"/>
      <c r="I173" s="22"/>
      <c r="J173" s="22"/>
      <c r="K173" s="22"/>
      <c r="L173" s="22"/>
      <c r="M173" s="22"/>
      <c r="N173" s="22"/>
      <c r="O173" s="22"/>
      <c r="P173" s="22"/>
      <c r="Q173" s="22"/>
      <c r="R173" s="22"/>
    </row>
    <row r="174" spans="1:18" x14ac:dyDescent="0.35">
      <c r="A174" s="22"/>
      <c r="B174" s="22"/>
      <c r="C174" s="22"/>
      <c r="D174" s="22"/>
      <c r="E174" s="22"/>
      <c r="F174" s="22"/>
      <c r="G174" s="22"/>
      <c r="H174" s="22"/>
      <c r="I174" s="22"/>
      <c r="J174" s="22"/>
      <c r="K174" s="22"/>
      <c r="L174" s="22"/>
      <c r="M174" s="22"/>
      <c r="N174" s="22"/>
      <c r="O174" s="22"/>
      <c r="P174" s="22"/>
      <c r="Q174" s="22"/>
      <c r="R174" s="22"/>
    </row>
    <row r="175" spans="1:18" x14ac:dyDescent="0.35">
      <c r="A175" s="22"/>
      <c r="B175" s="22"/>
      <c r="C175" s="22"/>
      <c r="D175" s="22"/>
      <c r="E175" s="22"/>
      <c r="F175" s="22"/>
      <c r="G175" s="22"/>
      <c r="H175" s="22"/>
      <c r="I175" s="22"/>
      <c r="J175" s="22"/>
      <c r="K175" s="22"/>
      <c r="L175" s="22"/>
      <c r="M175" s="22"/>
      <c r="N175" s="22"/>
      <c r="O175" s="22"/>
      <c r="P175" s="22"/>
      <c r="Q175" s="22"/>
      <c r="R175" s="22"/>
    </row>
    <row r="176" spans="1:18" x14ac:dyDescent="0.35">
      <c r="A176" s="22"/>
      <c r="B176" s="22"/>
      <c r="C176" s="22"/>
      <c r="D176" s="22"/>
      <c r="E176" s="22"/>
      <c r="F176" s="22"/>
      <c r="G176" s="22"/>
      <c r="H176" s="22"/>
      <c r="I176" s="22"/>
      <c r="J176" s="22"/>
      <c r="K176" s="22"/>
      <c r="L176" s="22"/>
      <c r="M176" s="22"/>
      <c r="N176" s="22"/>
      <c r="O176" s="22"/>
      <c r="P176" s="22"/>
      <c r="Q176" s="22"/>
      <c r="R176" s="22"/>
    </row>
    <row r="177" spans="1:18" x14ac:dyDescent="0.35">
      <c r="A177" s="22"/>
      <c r="B177" s="22"/>
      <c r="C177" s="22"/>
      <c r="D177" s="22"/>
      <c r="E177" s="22"/>
      <c r="F177" s="22"/>
      <c r="G177" s="22"/>
      <c r="H177" s="22"/>
      <c r="I177" s="22"/>
      <c r="J177" s="22"/>
      <c r="K177" s="22"/>
      <c r="L177" s="22"/>
      <c r="M177" s="22"/>
      <c r="N177" s="22"/>
      <c r="O177" s="22"/>
      <c r="P177" s="22"/>
      <c r="Q177" s="22"/>
      <c r="R177" s="22"/>
    </row>
    <row r="178" spans="1:18" x14ac:dyDescent="0.35">
      <c r="A178" s="22"/>
      <c r="B178" s="22"/>
      <c r="C178" s="22"/>
      <c r="D178" s="22"/>
      <c r="E178" s="22"/>
      <c r="F178" s="22"/>
      <c r="G178" s="22"/>
      <c r="H178" s="22"/>
      <c r="I178" s="22"/>
      <c r="J178" s="22"/>
      <c r="K178" s="22"/>
      <c r="L178" s="22"/>
      <c r="M178" s="22"/>
      <c r="N178" s="22"/>
      <c r="O178" s="22"/>
      <c r="P178" s="22"/>
      <c r="Q178" s="22"/>
      <c r="R178" s="22"/>
    </row>
    <row r="179" spans="1:18" x14ac:dyDescent="0.35">
      <c r="A179" s="22"/>
      <c r="B179" s="22"/>
      <c r="C179" s="22"/>
      <c r="D179" s="22"/>
      <c r="E179" s="22"/>
      <c r="F179" s="22"/>
      <c r="G179" s="22"/>
      <c r="H179" s="22"/>
      <c r="I179" s="22"/>
      <c r="J179" s="22"/>
      <c r="K179" s="22"/>
      <c r="L179" s="22"/>
      <c r="M179" s="22"/>
      <c r="N179" s="22"/>
      <c r="O179" s="22"/>
      <c r="P179" s="22"/>
      <c r="Q179" s="22"/>
      <c r="R179" s="22"/>
    </row>
    <row r="180" spans="1:18" x14ac:dyDescent="0.35">
      <c r="A180" s="22"/>
      <c r="B180" s="22"/>
      <c r="C180" s="22"/>
      <c r="D180" s="22"/>
      <c r="E180" s="22"/>
      <c r="F180" s="22"/>
      <c r="G180" s="22"/>
      <c r="H180" s="22"/>
      <c r="I180" s="22"/>
      <c r="J180" s="22"/>
      <c r="K180" s="22"/>
      <c r="L180" s="22"/>
      <c r="M180" s="22"/>
      <c r="N180" s="22"/>
      <c r="O180" s="22"/>
      <c r="P180" s="22"/>
      <c r="Q180" s="22"/>
      <c r="R180" s="22"/>
    </row>
    <row r="181" spans="1:18" x14ac:dyDescent="0.35">
      <c r="A181" s="22"/>
      <c r="B181" s="22"/>
      <c r="C181" s="22"/>
      <c r="D181" s="22"/>
      <c r="E181" s="22"/>
      <c r="F181" s="22"/>
      <c r="G181" s="22"/>
      <c r="H181" s="22"/>
      <c r="I181" s="22"/>
      <c r="J181" s="22"/>
      <c r="K181" s="22"/>
      <c r="L181" s="22"/>
      <c r="M181" s="22"/>
      <c r="N181" s="22"/>
      <c r="O181" s="22"/>
      <c r="P181" s="22"/>
      <c r="Q181" s="22"/>
      <c r="R181" s="22"/>
    </row>
    <row r="182" spans="1:18" x14ac:dyDescent="0.35">
      <c r="A182" s="22"/>
      <c r="B182" s="22"/>
      <c r="C182" s="22"/>
      <c r="D182" s="22"/>
      <c r="E182" s="22"/>
      <c r="F182" s="22"/>
      <c r="G182" s="22"/>
      <c r="H182" s="22"/>
      <c r="I182" s="22"/>
      <c r="J182" s="22"/>
      <c r="K182" s="22"/>
      <c r="L182" s="22"/>
      <c r="M182" s="22"/>
      <c r="N182" s="22"/>
      <c r="O182" s="22"/>
      <c r="P182" s="22"/>
      <c r="Q182" s="22"/>
      <c r="R182" s="22"/>
    </row>
    <row r="183" spans="1:18" x14ac:dyDescent="0.35">
      <c r="L183" s="22"/>
      <c r="M183" s="22"/>
      <c r="N183" s="22"/>
      <c r="O183" s="22"/>
      <c r="P183" s="22"/>
      <c r="Q183" s="22"/>
      <c r="R183" s="22"/>
    </row>
    <row r="184" spans="1:18" x14ac:dyDescent="0.35">
      <c r="L184" s="22"/>
      <c r="M184" s="22"/>
      <c r="N184" s="22"/>
      <c r="O184" s="22"/>
      <c r="P184" s="22"/>
      <c r="Q184" s="22"/>
      <c r="R184" s="22"/>
    </row>
    <row r="185" spans="1:18" x14ac:dyDescent="0.35">
      <c r="L185" s="22"/>
      <c r="M185" s="22"/>
      <c r="N185" s="22"/>
      <c r="O185" s="22"/>
      <c r="P185" s="22"/>
      <c r="Q185" s="22"/>
      <c r="R185" s="22"/>
    </row>
    <row r="186" spans="1:18" x14ac:dyDescent="0.35">
      <c r="L186" s="22"/>
      <c r="M186" s="22"/>
      <c r="N186" s="22"/>
      <c r="O186" s="22"/>
      <c r="P186" s="22"/>
      <c r="Q186" s="22"/>
      <c r="R186" s="22"/>
    </row>
    <row r="187" spans="1:18" x14ac:dyDescent="0.35">
      <c r="L187" s="22"/>
      <c r="M187" s="22"/>
      <c r="N187" s="22"/>
      <c r="O187" s="22"/>
      <c r="P187" s="22"/>
      <c r="Q187" s="22"/>
      <c r="R187" s="22"/>
    </row>
    <row r="188" spans="1:18" x14ac:dyDescent="0.35">
      <c r="L188" s="22"/>
      <c r="M188" s="22"/>
      <c r="N188" s="22"/>
      <c r="O188" s="22"/>
      <c r="P188" s="22"/>
      <c r="Q188" s="22"/>
      <c r="R188" s="22"/>
    </row>
    <row r="189" spans="1:18" x14ac:dyDescent="0.35">
      <c r="L189" s="22"/>
      <c r="M189" s="22"/>
      <c r="N189" s="22"/>
      <c r="O189" s="22"/>
      <c r="P189" s="22"/>
      <c r="Q189" s="22"/>
      <c r="R189" s="22"/>
    </row>
    <row r="190" spans="1:18" x14ac:dyDescent="0.35">
      <c r="L190" s="22"/>
      <c r="M190" s="22"/>
      <c r="N190" s="22"/>
      <c r="O190" s="22"/>
      <c r="P190" s="22"/>
      <c r="Q190" s="22"/>
      <c r="R190" s="22"/>
    </row>
    <row r="191" spans="1:18" x14ac:dyDescent="0.35">
      <c r="L191" s="22"/>
      <c r="M191" s="22"/>
      <c r="N191" s="22"/>
      <c r="O191" s="22"/>
      <c r="P191" s="22"/>
      <c r="Q191" s="22"/>
      <c r="R191" s="22"/>
    </row>
    <row r="192" spans="1:18" x14ac:dyDescent="0.35">
      <c r="L192" s="22"/>
      <c r="M192" s="22"/>
      <c r="N192" s="22"/>
      <c r="O192" s="22"/>
      <c r="P192" s="22"/>
      <c r="Q192" s="22"/>
      <c r="R192" s="22"/>
    </row>
    <row r="193" spans="12:18" x14ac:dyDescent="0.35">
      <c r="L193" s="22"/>
      <c r="M193" s="22"/>
      <c r="N193" s="22"/>
      <c r="O193" s="22"/>
      <c r="P193" s="22"/>
      <c r="Q193" s="22"/>
      <c r="R193" s="22"/>
    </row>
    <row r="194" spans="12:18" x14ac:dyDescent="0.35">
      <c r="L194" s="22"/>
      <c r="M194" s="22"/>
      <c r="N194" s="22"/>
      <c r="O194" s="22"/>
      <c r="P194" s="22"/>
      <c r="Q194" s="22"/>
      <c r="R194" s="22"/>
    </row>
    <row r="195" spans="12:18" x14ac:dyDescent="0.35">
      <c r="L195" s="22"/>
      <c r="M195" s="22"/>
      <c r="N195" s="22"/>
      <c r="O195" s="22"/>
      <c r="P195" s="22"/>
      <c r="Q195" s="22"/>
      <c r="R195" s="22"/>
    </row>
    <row r="196" spans="12:18" x14ac:dyDescent="0.35">
      <c r="L196" s="22"/>
      <c r="M196" s="22"/>
      <c r="N196" s="22"/>
      <c r="O196" s="22"/>
      <c r="P196" s="22"/>
      <c r="Q196" s="22"/>
      <c r="R196" s="22"/>
    </row>
    <row r="197" spans="12:18" x14ac:dyDescent="0.35">
      <c r="L197" s="22"/>
      <c r="M197" s="22"/>
      <c r="N197" s="22"/>
      <c r="O197" s="22"/>
      <c r="P197" s="22"/>
      <c r="Q197" s="22"/>
      <c r="R197" s="22"/>
    </row>
    <row r="198" spans="12:18" x14ac:dyDescent="0.35">
      <c r="L198" s="22"/>
      <c r="M198" s="22"/>
      <c r="N198" s="22"/>
      <c r="O198" s="22"/>
      <c r="P198" s="22"/>
      <c r="Q198" s="22"/>
      <c r="R198" s="22"/>
    </row>
    <row r="199" spans="12:18" x14ac:dyDescent="0.35">
      <c r="L199" s="22"/>
      <c r="M199" s="22"/>
      <c r="N199" s="22"/>
      <c r="O199" s="22"/>
      <c r="P199" s="22"/>
      <c r="Q199" s="22"/>
      <c r="R199" s="22"/>
    </row>
    <row r="200" spans="12:18" x14ac:dyDescent="0.35">
      <c r="L200" s="22"/>
      <c r="M200" s="22"/>
      <c r="N200" s="22"/>
      <c r="O200" s="22"/>
      <c r="P200" s="22"/>
      <c r="Q200" s="22"/>
      <c r="R200" s="22"/>
    </row>
    <row r="201" spans="12:18" x14ac:dyDescent="0.35">
      <c r="L201" s="22"/>
      <c r="M201" s="22"/>
      <c r="N201" s="22"/>
      <c r="O201" s="22"/>
      <c r="P201" s="22"/>
      <c r="Q201" s="22"/>
      <c r="R201" s="22"/>
    </row>
    <row r="202" spans="12:18" x14ac:dyDescent="0.35">
      <c r="L202" s="22"/>
      <c r="M202" s="22"/>
      <c r="N202" s="22"/>
      <c r="O202" s="22"/>
      <c r="P202" s="22"/>
      <c r="Q202" s="22"/>
      <c r="R202" s="22"/>
    </row>
    <row r="203" spans="12:18" x14ac:dyDescent="0.35">
      <c r="L203" s="22"/>
      <c r="M203" s="22"/>
      <c r="N203" s="22"/>
      <c r="O203" s="22"/>
      <c r="P203" s="22"/>
      <c r="Q203" s="22"/>
      <c r="R203" s="22"/>
    </row>
    <row r="204" spans="12:18" x14ac:dyDescent="0.35">
      <c r="L204" s="22"/>
      <c r="M204" s="22"/>
      <c r="N204" s="22"/>
      <c r="O204" s="22"/>
      <c r="P204" s="22"/>
      <c r="Q204" s="22"/>
      <c r="R204" s="22"/>
    </row>
    <row r="205" spans="12:18" x14ac:dyDescent="0.35">
      <c r="L205" s="22"/>
      <c r="M205" s="22"/>
      <c r="N205" s="22"/>
      <c r="O205" s="22"/>
      <c r="P205" s="22"/>
      <c r="Q205" s="22"/>
      <c r="R205" s="22"/>
    </row>
  </sheetData>
  <sheetProtection password="C455" sheet="1" objects="1" scenarios="1"/>
  <protectedRanges>
    <protectedRange password="C797" sqref="K4 A17:L114" name="Диапазон1"/>
  </protectedRanges>
  <mergeCells count="9">
    <mergeCell ref="D11:F11"/>
    <mergeCell ref="A1:L1"/>
    <mergeCell ref="H3:I3"/>
    <mergeCell ref="H4:I4"/>
    <mergeCell ref="H5:K5"/>
    <mergeCell ref="H6:I6"/>
    <mergeCell ref="H9:J9"/>
    <mergeCell ref="H8:J8"/>
    <mergeCell ref="H7:J7"/>
  </mergeCells>
  <dataValidations disablePrompts="1" count="2">
    <dataValidation type="list" allowBlank="1" showInputMessage="1" showErrorMessage="1" sqref="I12:J12">
      <formula1>$U$7:$U$8</formula1>
    </dataValidation>
    <dataValidation type="list" allowBlank="1" showInputMessage="1" showErrorMessage="1" sqref="L8">
      <formula1>$N$8:$N$9</formula1>
    </dataValidation>
  </dataValidations>
  <pageMargins left="0.7" right="0.7" top="0.75" bottom="0.75" header="0.3" footer="0.3"/>
  <ignoredErrors>
    <ignoredError sqref="F4:F6 D9" unlocked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270"/>
  <sheetViews>
    <sheetView workbookViewId="0">
      <selection activeCell="I29" sqref="I29"/>
    </sheetView>
  </sheetViews>
  <sheetFormatPr defaultColWidth="9.1796875" defaultRowHeight="14.5" x14ac:dyDescent="0.35"/>
  <cols>
    <col min="1" max="1" width="12.54296875" style="10" customWidth="1"/>
    <col min="2" max="2" width="10.453125" style="10" bestFit="1" customWidth="1"/>
    <col min="3" max="3" width="9.1796875" style="10"/>
    <col min="4" max="4" width="14.26953125" style="10" bestFit="1" customWidth="1"/>
    <col min="5" max="5" width="17.453125" style="10" customWidth="1"/>
    <col min="6" max="6" width="15" style="10" customWidth="1"/>
    <col min="7" max="7" width="17.54296875" style="10" customWidth="1"/>
    <col min="8" max="8" width="13.1796875" style="10" bestFit="1" customWidth="1"/>
    <col min="9" max="14" width="15" style="10" customWidth="1"/>
    <col min="15" max="15" width="11.81640625" style="10" customWidth="1"/>
    <col min="16" max="16" width="16.26953125" style="10" customWidth="1"/>
    <col min="17" max="16384" width="9.1796875" style="10"/>
  </cols>
  <sheetData>
    <row r="1" spans="1:16" x14ac:dyDescent="0.35">
      <c r="A1" s="34" t="s">
        <v>85</v>
      </c>
    </row>
    <row r="2" spans="1:16" ht="40.5" customHeight="1" x14ac:dyDescent="0.35">
      <c r="A2" s="403" t="s">
        <v>120</v>
      </c>
      <c r="B2" s="403"/>
      <c r="C2" s="403"/>
      <c r="D2" s="403"/>
      <c r="E2" s="403"/>
      <c r="F2" s="403"/>
      <c r="G2" s="403"/>
      <c r="H2" s="403"/>
      <c r="I2" s="403"/>
      <c r="J2" s="403"/>
      <c r="K2" s="403"/>
      <c r="L2" s="403"/>
      <c r="M2" s="403"/>
      <c r="N2" s="403"/>
      <c r="O2" s="403"/>
      <c r="P2" s="403"/>
    </row>
    <row r="4" spans="1:16" x14ac:dyDescent="0.35">
      <c r="A4" s="174" t="s">
        <v>140</v>
      </c>
      <c r="B4" s="84"/>
      <c r="C4" s="159"/>
      <c r="D4" s="159"/>
      <c r="E4" s="404">
        <f>графік!F4</f>
        <v>5700000</v>
      </c>
      <c r="F4" s="404"/>
      <c r="G4" s="37"/>
      <c r="H4" s="40"/>
      <c r="I4" s="40"/>
      <c r="J4" s="40"/>
      <c r="K4" s="40"/>
      <c r="L4" s="40"/>
      <c r="M4" s="40"/>
      <c r="N4" s="36" t="s">
        <v>182</v>
      </c>
      <c r="O4" s="36"/>
      <c r="P4" s="36"/>
    </row>
    <row r="5" spans="1:16" ht="15" customHeight="1" x14ac:dyDescent="0.35">
      <c r="A5" s="174" t="s">
        <v>141</v>
      </c>
      <c r="B5" s="84"/>
      <c r="C5" s="159"/>
      <c r="D5" s="159"/>
      <c r="E5" s="405">
        <f>графік!F5</f>
        <v>1700000</v>
      </c>
      <c r="F5" s="405"/>
      <c r="G5" s="43"/>
      <c r="H5" s="44"/>
      <c r="I5" s="44"/>
      <c r="J5" s="44"/>
      <c r="K5" s="44"/>
      <c r="L5" s="44"/>
      <c r="M5" s="44"/>
      <c r="N5" s="410" t="s">
        <v>183</v>
      </c>
      <c r="O5" s="411"/>
      <c r="P5" s="418">
        <f>H29</f>
        <v>40000</v>
      </c>
    </row>
    <row r="6" spans="1:16" ht="22.5" customHeight="1" x14ac:dyDescent="0.35">
      <c r="A6" s="35" t="s">
        <v>86</v>
      </c>
      <c r="B6" s="35"/>
      <c r="C6" s="35"/>
      <c r="D6" s="35"/>
      <c r="E6" s="406">
        <f>графік!F7</f>
        <v>4000000</v>
      </c>
      <c r="F6" s="407"/>
      <c r="G6" s="43"/>
      <c r="H6" s="44"/>
      <c r="I6" s="44"/>
      <c r="J6" s="44"/>
      <c r="K6" s="44"/>
      <c r="L6" s="44"/>
      <c r="M6" s="44"/>
      <c r="N6" s="412"/>
      <c r="O6" s="413"/>
      <c r="P6" s="419"/>
    </row>
    <row r="7" spans="1:16" ht="15" hidden="1" customHeight="1" x14ac:dyDescent="0.35">
      <c r="A7" s="35" t="s">
        <v>87</v>
      </c>
      <c r="B7" s="35"/>
      <c r="C7" s="35"/>
      <c r="D7" s="35"/>
      <c r="E7" s="408">
        <f>графік!F6</f>
        <v>0.2982456140350877</v>
      </c>
      <c r="F7" s="409"/>
      <c r="G7" s="45"/>
      <c r="H7" s="44"/>
      <c r="I7" s="44"/>
      <c r="J7" s="44"/>
      <c r="K7" s="44"/>
      <c r="L7" s="44"/>
      <c r="M7" s="44"/>
      <c r="N7" s="414" t="s">
        <v>162</v>
      </c>
      <c r="O7" s="415"/>
      <c r="P7" s="418">
        <f>K29+L29+N29+графік!N9+графік!N11</f>
        <v>354000</v>
      </c>
    </row>
    <row r="8" spans="1:16" x14ac:dyDescent="0.35">
      <c r="A8" s="35" t="s">
        <v>88</v>
      </c>
      <c r="B8" s="35"/>
      <c r="C8" s="35"/>
      <c r="D8" s="35"/>
      <c r="E8" s="387">
        <f ca="1">графік!C24</f>
        <v>44389</v>
      </c>
      <c r="F8" s="388"/>
      <c r="G8" s="43"/>
      <c r="H8" s="44"/>
      <c r="I8" s="44"/>
      <c r="J8" s="44"/>
      <c r="K8" s="44"/>
      <c r="L8" s="44"/>
      <c r="M8" s="44"/>
      <c r="N8" s="416"/>
      <c r="O8" s="417"/>
      <c r="P8" s="419"/>
    </row>
    <row r="9" spans="1:16" x14ac:dyDescent="0.35">
      <c r="A9" s="35" t="s">
        <v>89</v>
      </c>
      <c r="B9" s="35"/>
      <c r="C9" s="35"/>
      <c r="D9" s="35"/>
      <c r="E9" s="387">
        <f ca="1">EDATE(E8,графік!F8)-1</f>
        <v>51693</v>
      </c>
      <c r="F9" s="388"/>
      <c r="G9" s="43"/>
      <c r="H9" s="38"/>
      <c r="I9" s="38"/>
      <c r="J9" s="38"/>
      <c r="K9" s="38"/>
      <c r="L9" s="38"/>
      <c r="M9" s="38"/>
      <c r="N9" s="40"/>
      <c r="O9" s="39"/>
      <c r="P9" s="39"/>
    </row>
    <row r="10" spans="1:16" x14ac:dyDescent="0.35">
      <c r="A10" s="35"/>
      <c r="B10" s="35"/>
      <c r="C10" s="35"/>
      <c r="D10" s="35"/>
      <c r="E10" s="41"/>
      <c r="F10" s="42"/>
      <c r="G10" s="43"/>
      <c r="H10" s="44"/>
      <c r="I10" s="44"/>
      <c r="J10" s="44"/>
      <c r="K10" s="44"/>
      <c r="L10" s="44"/>
      <c r="M10" s="44"/>
      <c r="N10" s="44"/>
      <c r="O10" s="39"/>
      <c r="P10" s="39"/>
    </row>
    <row r="11" spans="1:16" x14ac:dyDescent="0.35">
      <c r="A11" s="35" t="s">
        <v>90</v>
      </c>
      <c r="B11" s="35"/>
      <c r="C11" s="35"/>
      <c r="D11" s="35"/>
      <c r="E11" s="389">
        <f>графік!F8</f>
        <v>240</v>
      </c>
      <c r="F11" s="390"/>
      <c r="G11" s="43"/>
      <c r="H11" s="44"/>
      <c r="I11" s="44"/>
      <c r="J11" s="44"/>
      <c r="K11" s="44"/>
      <c r="L11" s="44"/>
      <c r="M11" s="44"/>
      <c r="N11" s="44"/>
      <c r="O11" s="39"/>
      <c r="P11" s="39"/>
    </row>
    <row r="12" spans="1:16" x14ac:dyDescent="0.35">
      <c r="A12" s="35"/>
      <c r="B12" s="35"/>
      <c r="C12" s="35"/>
      <c r="D12" s="35"/>
      <c r="E12" s="41"/>
      <c r="F12" s="42"/>
      <c r="G12" s="45"/>
      <c r="H12" s="44"/>
      <c r="I12" s="44"/>
      <c r="J12" s="44"/>
      <c r="K12" s="44"/>
      <c r="L12" s="44"/>
      <c r="M12" s="44"/>
      <c r="N12" s="44"/>
      <c r="O12" s="46"/>
      <c r="P12" s="47"/>
    </row>
    <row r="13" spans="1:16" x14ac:dyDescent="0.35">
      <c r="A13" s="35" t="s">
        <v>91</v>
      </c>
      <c r="B13" s="35"/>
      <c r="C13" s="35"/>
      <c r="D13" s="35"/>
      <c r="E13" s="391" t="s">
        <v>92</v>
      </c>
      <c r="F13" s="392"/>
      <c r="G13" s="43"/>
      <c r="H13" s="44"/>
      <c r="I13" s="44"/>
      <c r="J13" s="44"/>
      <c r="K13" s="44"/>
      <c r="L13" s="44"/>
      <c r="M13" s="44"/>
      <c r="N13" s="44"/>
      <c r="O13" s="48"/>
      <c r="P13" s="48"/>
    </row>
    <row r="14" spans="1:16" x14ac:dyDescent="0.35">
      <c r="A14" s="35" t="s">
        <v>93</v>
      </c>
      <c r="B14" s="35"/>
      <c r="C14" s="35"/>
      <c r="D14" s="35"/>
      <c r="E14" s="391" t="s">
        <v>94</v>
      </c>
      <c r="F14" s="392"/>
      <c r="G14" s="43"/>
      <c r="H14" s="38"/>
      <c r="I14" s="38"/>
      <c r="J14" s="38"/>
      <c r="K14" s="38"/>
      <c r="L14" s="38"/>
      <c r="M14" s="38"/>
      <c r="N14" s="38"/>
      <c r="O14" s="39"/>
      <c r="P14" s="39"/>
    </row>
    <row r="15" spans="1:16" ht="15" hidden="1" customHeight="1" x14ac:dyDescent="0.35">
      <c r="A15" s="393" t="s">
        <v>95</v>
      </c>
      <c r="B15" s="393"/>
      <c r="C15" s="393"/>
      <c r="D15" s="393"/>
      <c r="E15" s="393"/>
      <c r="F15" s="393"/>
      <c r="G15" s="49"/>
      <c r="H15" s="38"/>
      <c r="I15" s="38"/>
      <c r="J15" s="38"/>
      <c r="K15" s="38"/>
      <c r="L15" s="38"/>
      <c r="M15" s="38"/>
      <c r="N15" s="38"/>
      <c r="O15" s="39"/>
      <c r="P15" s="39"/>
    </row>
    <row r="16" spans="1:16" ht="15" hidden="1" customHeight="1" x14ac:dyDescent="0.35">
      <c r="A16" s="394" t="s">
        <v>96</v>
      </c>
      <c r="B16" s="395"/>
      <c r="C16" s="50"/>
      <c r="D16" s="50"/>
      <c r="E16" s="50" t="s">
        <v>97</v>
      </c>
      <c r="F16" s="51" t="s">
        <v>98</v>
      </c>
      <c r="G16" s="51" t="s">
        <v>99</v>
      </c>
      <c r="H16" s="52"/>
      <c r="I16" s="52"/>
      <c r="J16" s="52"/>
      <c r="K16" s="52"/>
      <c r="L16" s="52"/>
      <c r="M16" s="52"/>
      <c r="N16" s="52"/>
      <c r="O16" s="39"/>
      <c r="P16" s="39"/>
    </row>
    <row r="17" spans="1:16" hidden="1" x14ac:dyDescent="0.35">
      <c r="A17" s="420">
        <f ca="1" xml:space="preserve"> IF(E11&gt;60,графік!D11," ")</f>
        <v>46215</v>
      </c>
      <c r="B17" s="421"/>
      <c r="C17" s="50"/>
      <c r="D17" s="50"/>
      <c r="E17" s="143">
        <f>IF(E11&gt;60,графік!F15," ")</f>
        <v>8.4699999999999998E-2</v>
      </c>
      <c r="F17" s="144">
        <f>IF(E11&gt;60,графік!F13," ")</f>
        <v>0.03</v>
      </c>
      <c r="G17" s="144">
        <f>IF(E11&gt;60,графік!F12," ")</f>
        <v>0.15770000000000001</v>
      </c>
      <c r="H17" s="52"/>
      <c r="I17" s="52"/>
      <c r="J17" s="52"/>
      <c r="K17" s="52"/>
      <c r="L17" s="52"/>
      <c r="M17" s="52"/>
      <c r="N17" s="52"/>
      <c r="O17" s="54"/>
      <c r="P17" s="54"/>
    </row>
    <row r="18" spans="1:16" hidden="1" x14ac:dyDescent="0.35">
      <c r="A18" s="55" t="s">
        <v>104</v>
      </c>
      <c r="B18" s="53"/>
      <c r="C18" s="53"/>
      <c r="D18" s="53"/>
      <c r="E18" s="53"/>
      <c r="F18" s="53"/>
      <c r="G18" s="53"/>
      <c r="H18" s="56"/>
      <c r="I18" s="56"/>
      <c r="J18" s="56"/>
      <c r="K18" s="56"/>
      <c r="L18" s="56"/>
      <c r="M18" s="56"/>
      <c r="N18" s="56"/>
      <c r="O18" s="53"/>
      <c r="P18" s="53"/>
    </row>
    <row r="19" spans="1:16" hidden="1" x14ac:dyDescent="0.35">
      <c r="A19" s="57"/>
      <c r="B19" s="57"/>
      <c r="C19" s="57"/>
      <c r="D19" s="57"/>
      <c r="E19" s="57"/>
      <c r="F19" s="57"/>
      <c r="G19" s="53"/>
      <c r="H19" s="58"/>
      <c r="I19" s="58"/>
      <c r="J19" s="58"/>
      <c r="K19" s="58"/>
      <c r="L19" s="58"/>
      <c r="M19" s="58"/>
      <c r="N19" s="58"/>
      <c r="O19" s="59"/>
      <c r="P19" s="59"/>
    </row>
    <row r="20" spans="1:16" x14ac:dyDescent="0.35">
      <c r="A20" s="60"/>
      <c r="B20" s="61"/>
      <c r="C20" s="61"/>
      <c r="D20" s="61"/>
      <c r="E20" s="61"/>
      <c r="F20" s="61"/>
      <c r="G20" s="61"/>
      <c r="H20" s="61"/>
      <c r="I20" s="61"/>
      <c r="J20" s="61"/>
      <c r="K20" s="61"/>
      <c r="L20" s="61"/>
      <c r="M20" s="61"/>
      <c r="N20" s="61"/>
      <c r="O20" s="62"/>
      <c r="P20" s="62"/>
    </row>
    <row r="21" spans="1:16" ht="24" customHeight="1" x14ac:dyDescent="0.35">
      <c r="A21" s="372" t="s">
        <v>68</v>
      </c>
      <c r="B21" s="375" t="s">
        <v>69</v>
      </c>
      <c r="C21" s="375" t="s">
        <v>70</v>
      </c>
      <c r="D21" s="375" t="s">
        <v>71</v>
      </c>
      <c r="E21" s="384" t="s">
        <v>100</v>
      </c>
      <c r="F21" s="396" t="s">
        <v>101</v>
      </c>
      <c r="G21" s="397"/>
      <c r="H21" s="397"/>
      <c r="I21" s="397"/>
      <c r="J21" s="398"/>
      <c r="K21" s="380" t="s">
        <v>184</v>
      </c>
      <c r="L21" s="381"/>
      <c r="M21" s="225"/>
      <c r="N21" s="226"/>
      <c r="O21" s="399" t="s">
        <v>72</v>
      </c>
      <c r="P21" s="370" t="s">
        <v>102</v>
      </c>
    </row>
    <row r="22" spans="1:16" ht="72" customHeight="1" x14ac:dyDescent="0.35">
      <c r="A22" s="373"/>
      <c r="B22" s="376"/>
      <c r="C22" s="376"/>
      <c r="D22" s="376"/>
      <c r="E22" s="385"/>
      <c r="F22" s="378" t="s">
        <v>73</v>
      </c>
      <c r="G22" s="378" t="s">
        <v>74</v>
      </c>
      <c r="H22" s="378" t="s">
        <v>103</v>
      </c>
      <c r="I22" s="379" t="s">
        <v>130</v>
      </c>
      <c r="J22" s="370" t="s">
        <v>175</v>
      </c>
      <c r="K22" s="370" t="s">
        <v>163</v>
      </c>
      <c r="L22" s="382" t="s">
        <v>164</v>
      </c>
      <c r="M22" s="370" t="s">
        <v>165</v>
      </c>
      <c r="N22" s="370" t="s">
        <v>166</v>
      </c>
      <c r="O22" s="400"/>
      <c r="P22" s="371"/>
    </row>
    <row r="23" spans="1:16" ht="45" customHeight="1" x14ac:dyDescent="0.35">
      <c r="A23" s="373"/>
      <c r="B23" s="376"/>
      <c r="C23" s="376"/>
      <c r="D23" s="376"/>
      <c r="E23" s="385"/>
      <c r="F23" s="376"/>
      <c r="G23" s="376"/>
      <c r="H23" s="376"/>
      <c r="I23" s="376"/>
      <c r="J23" s="371"/>
      <c r="K23" s="371"/>
      <c r="L23" s="383"/>
      <c r="M23" s="371"/>
      <c r="N23" s="371"/>
      <c r="O23" s="400"/>
      <c r="P23" s="371"/>
    </row>
    <row r="24" spans="1:16" ht="15" hidden="1" customHeight="1" x14ac:dyDescent="0.35">
      <c r="A24" s="373"/>
      <c r="B24" s="376"/>
      <c r="C24" s="376"/>
      <c r="D24" s="376"/>
      <c r="E24" s="385"/>
      <c r="F24" s="376"/>
      <c r="G24" s="376"/>
      <c r="H24" s="376"/>
      <c r="I24" s="376"/>
      <c r="J24" s="176"/>
      <c r="K24" s="176"/>
      <c r="L24" s="176"/>
      <c r="M24" s="176"/>
      <c r="N24" s="176"/>
      <c r="O24" s="400"/>
      <c r="P24" s="371"/>
    </row>
    <row r="25" spans="1:16" ht="9" hidden="1" customHeight="1" x14ac:dyDescent="0.35">
      <c r="A25" s="373"/>
      <c r="B25" s="376"/>
      <c r="C25" s="376"/>
      <c r="D25" s="376"/>
      <c r="E25" s="385"/>
      <c r="F25" s="376"/>
      <c r="G25" s="376"/>
      <c r="H25" s="376"/>
      <c r="I25" s="376"/>
      <c r="J25" s="176"/>
      <c r="K25" s="176"/>
      <c r="L25" s="176"/>
      <c r="M25" s="176"/>
      <c r="N25" s="176"/>
      <c r="O25" s="400"/>
      <c r="P25" s="371"/>
    </row>
    <row r="26" spans="1:16" ht="5.25" hidden="1" customHeight="1" x14ac:dyDescent="0.35">
      <c r="A26" s="373"/>
      <c r="B26" s="376"/>
      <c r="C26" s="376"/>
      <c r="D26" s="376"/>
      <c r="E26" s="385"/>
      <c r="F26" s="376"/>
      <c r="G26" s="376"/>
      <c r="H26" s="376"/>
      <c r="I26" s="376"/>
      <c r="J26" s="176"/>
      <c r="K26" s="176"/>
      <c r="L26" s="176"/>
      <c r="M26" s="176"/>
      <c r="N26" s="176"/>
      <c r="O26" s="400"/>
      <c r="P26" s="371"/>
    </row>
    <row r="27" spans="1:16" ht="3.75" hidden="1" customHeight="1" x14ac:dyDescent="0.35">
      <c r="A27" s="373"/>
      <c r="B27" s="376"/>
      <c r="C27" s="376"/>
      <c r="D27" s="376"/>
      <c r="E27" s="385"/>
      <c r="F27" s="376"/>
      <c r="G27" s="376"/>
      <c r="H27" s="376"/>
      <c r="I27" s="376"/>
      <c r="J27" s="176"/>
      <c r="K27" s="176"/>
      <c r="L27" s="176"/>
      <c r="M27" s="176"/>
      <c r="N27" s="176"/>
      <c r="O27" s="400"/>
      <c r="P27" s="371"/>
    </row>
    <row r="28" spans="1:16" ht="15" hidden="1" customHeight="1" x14ac:dyDescent="0.35">
      <c r="A28" s="374"/>
      <c r="B28" s="377"/>
      <c r="C28" s="377"/>
      <c r="D28" s="377"/>
      <c r="E28" s="386"/>
      <c r="F28" s="377"/>
      <c r="G28" s="377"/>
      <c r="H28" s="176"/>
      <c r="I28" s="377"/>
      <c r="J28" s="227"/>
      <c r="K28" s="227"/>
      <c r="L28" s="227"/>
      <c r="M28" s="227"/>
      <c r="N28" s="227"/>
      <c r="O28" s="401"/>
      <c r="P28" s="402"/>
    </row>
    <row r="29" spans="1:16" x14ac:dyDescent="0.35">
      <c r="A29" s="63"/>
      <c r="B29" s="64">
        <f ca="1">графік!C24</f>
        <v>44389</v>
      </c>
      <c r="C29" s="65"/>
      <c r="D29" s="66">
        <f>графік!E24</f>
        <v>4000000</v>
      </c>
      <c r="E29" s="67"/>
      <c r="F29" s="66"/>
      <c r="G29" s="67"/>
      <c r="H29" s="67">
        <f>графік!M24</f>
        <v>40000</v>
      </c>
      <c r="I29" s="67">
        <f>графік!O24</f>
        <v>0</v>
      </c>
      <c r="J29" s="67">
        <f>графік!N24</f>
        <v>0</v>
      </c>
      <c r="K29" s="67">
        <f>графік!I24</f>
        <v>10000</v>
      </c>
      <c r="L29" s="67">
        <f>графік!J24</f>
        <v>2000</v>
      </c>
      <c r="M29" s="67">
        <f>графік!K24</f>
        <v>17100</v>
      </c>
      <c r="N29" s="67">
        <f>графік!L24</f>
        <v>0</v>
      </c>
      <c r="O29" s="70">
        <f>графік!P24</f>
        <v>0</v>
      </c>
      <c r="P29" s="230">
        <f>графік!Q24</f>
        <v>0</v>
      </c>
    </row>
    <row r="30" spans="1:16" x14ac:dyDescent="0.35">
      <c r="A30" s="63">
        <f>графік!A25</f>
        <v>1</v>
      </c>
      <c r="B30" s="68">
        <f ca="1">графік!C25</f>
        <v>44420</v>
      </c>
      <c r="C30" s="65">
        <f ca="1">графік!D25</f>
        <v>31</v>
      </c>
      <c r="D30" s="66">
        <f>графік!E25</f>
        <v>3983333.3333333335</v>
      </c>
      <c r="E30" s="67">
        <f ca="1">графік!H25</f>
        <v>64194.33666666667</v>
      </c>
      <c r="F30" s="66">
        <f>графік!F25</f>
        <v>16666.666666666668</v>
      </c>
      <c r="G30" s="67">
        <f ca="1">графік!G25</f>
        <v>47527.67</v>
      </c>
      <c r="H30" s="69">
        <f>графік!M25</f>
        <v>0</v>
      </c>
      <c r="I30" s="69"/>
      <c r="J30" s="69">
        <f>графік!N25</f>
        <v>0</v>
      </c>
      <c r="K30" s="69">
        <f>графік!I25</f>
        <v>0</v>
      </c>
      <c r="L30" s="69">
        <f>графік!J25</f>
        <v>0</v>
      </c>
      <c r="M30" s="69">
        <f>графік!K25</f>
        <v>0</v>
      </c>
      <c r="N30" s="69">
        <f>графік!L25</f>
        <v>0</v>
      </c>
      <c r="O30" s="74" t="str">
        <f>графік!P25</f>
        <v/>
      </c>
      <c r="P30" s="229">
        <f>графік!Q25</f>
        <v>0</v>
      </c>
    </row>
    <row r="31" spans="1:16" x14ac:dyDescent="0.35">
      <c r="A31" s="63">
        <f>графік!A26</f>
        <v>2</v>
      </c>
      <c r="B31" s="68">
        <f ca="1">графік!C26</f>
        <v>44451</v>
      </c>
      <c r="C31" s="65">
        <f ca="1">графік!D26</f>
        <v>31</v>
      </c>
      <c r="D31" s="66">
        <f>графік!E26</f>
        <v>3966666.6633333336</v>
      </c>
      <c r="E31" s="67">
        <f ca="1">графік!H26</f>
        <v>63996.31</v>
      </c>
      <c r="F31" s="66">
        <f>графік!F26</f>
        <v>16666.669999999998</v>
      </c>
      <c r="G31" s="67">
        <f ca="1">графік!G26</f>
        <v>47329.64</v>
      </c>
      <c r="H31" s="69">
        <f>графік!M26</f>
        <v>0</v>
      </c>
      <c r="I31" s="69"/>
      <c r="J31" s="69">
        <f>графік!N26</f>
        <v>0</v>
      </c>
      <c r="K31" s="69">
        <f>графік!I26</f>
        <v>0</v>
      </c>
      <c r="L31" s="69">
        <f>графік!J26</f>
        <v>0</v>
      </c>
      <c r="M31" s="69">
        <f>графік!K26</f>
        <v>0</v>
      </c>
      <c r="N31" s="69">
        <f>графік!L26</f>
        <v>0</v>
      </c>
      <c r="O31" s="74" t="str">
        <f>графік!P26</f>
        <v/>
      </c>
      <c r="P31" s="229">
        <f>графік!Q26</f>
        <v>0</v>
      </c>
    </row>
    <row r="32" spans="1:16" x14ac:dyDescent="0.35">
      <c r="A32" s="63">
        <f>графік!A27</f>
        <v>3</v>
      </c>
      <c r="B32" s="68">
        <f ca="1">графік!C27</f>
        <v>44481</v>
      </c>
      <c r="C32" s="65">
        <f ca="1">графік!D27</f>
        <v>30</v>
      </c>
      <c r="D32" s="66">
        <f>графік!E27</f>
        <v>3949999.9933333336</v>
      </c>
      <c r="E32" s="67">
        <f ca="1">графік!H27</f>
        <v>62277.9</v>
      </c>
      <c r="F32" s="66">
        <f>графік!F27</f>
        <v>16666.669999999998</v>
      </c>
      <c r="G32" s="67">
        <f ca="1">графік!G27</f>
        <v>45611.23</v>
      </c>
      <c r="H32" s="69">
        <f>графік!M27</f>
        <v>0</v>
      </c>
      <c r="I32" s="69"/>
      <c r="J32" s="69">
        <f>графік!N27</f>
        <v>0</v>
      </c>
      <c r="K32" s="69">
        <f>графік!I27</f>
        <v>0</v>
      </c>
      <c r="L32" s="69">
        <f>графік!J27</f>
        <v>0</v>
      </c>
      <c r="M32" s="69">
        <f>графік!K27</f>
        <v>0</v>
      </c>
      <c r="N32" s="69">
        <f>графік!L27</f>
        <v>0</v>
      </c>
      <c r="O32" s="74" t="str">
        <f>графік!P27</f>
        <v/>
      </c>
      <c r="P32" s="230" t="str">
        <f>графік!Q27</f>
        <v/>
      </c>
    </row>
    <row r="33" spans="1:16" x14ac:dyDescent="0.35">
      <c r="A33" s="63">
        <f>графік!A28</f>
        <v>4</v>
      </c>
      <c r="B33" s="68">
        <f ca="1">графік!C28</f>
        <v>44512</v>
      </c>
      <c r="C33" s="65">
        <f ca="1">графік!D28</f>
        <v>31</v>
      </c>
      <c r="D33" s="66">
        <f>графік!E28</f>
        <v>3933333.3233333337</v>
      </c>
      <c r="E33" s="67">
        <f ca="1">графік!H28</f>
        <v>63600.25</v>
      </c>
      <c r="F33" s="66">
        <f>графік!F28</f>
        <v>16666.669999999998</v>
      </c>
      <c r="G33" s="67">
        <f ca="1">графік!G28</f>
        <v>46933.58</v>
      </c>
      <c r="H33" s="69" t="str">
        <f>графік!M28</f>
        <v/>
      </c>
      <c r="I33" s="69"/>
      <c r="J33" s="69">
        <f>графік!N28</f>
        <v>0</v>
      </c>
      <c r="K33" s="69">
        <f>графік!I28</f>
        <v>0</v>
      </c>
      <c r="L33" s="69">
        <f>графік!J28</f>
        <v>0</v>
      </c>
      <c r="M33" s="69">
        <f>графік!K28</f>
        <v>0</v>
      </c>
      <c r="N33" s="69">
        <f>графік!L28</f>
        <v>0</v>
      </c>
      <c r="O33" s="74" t="str">
        <f>графік!P28</f>
        <v/>
      </c>
      <c r="P33" s="230" t="str">
        <f>графік!Q28</f>
        <v/>
      </c>
    </row>
    <row r="34" spans="1:16" x14ac:dyDescent="0.35">
      <c r="A34" s="63">
        <f>графік!A29</f>
        <v>5</v>
      </c>
      <c r="B34" s="68">
        <f ca="1">графік!C29</f>
        <v>44542</v>
      </c>
      <c r="C34" s="65">
        <f ca="1">графік!D29</f>
        <v>30</v>
      </c>
      <c r="D34" s="66">
        <f>графік!E29</f>
        <v>3916666.6533333338</v>
      </c>
      <c r="E34" s="67">
        <f ca="1">графік!H29</f>
        <v>61894.619999999995</v>
      </c>
      <c r="F34" s="66">
        <f>графік!F29</f>
        <v>16666.669999999998</v>
      </c>
      <c r="G34" s="67">
        <f ca="1">графік!G29</f>
        <v>45227.95</v>
      </c>
      <c r="H34" s="69" t="str">
        <f>графік!M29</f>
        <v/>
      </c>
      <c r="I34" s="69"/>
      <c r="J34" s="69" t="str">
        <f>графік!N29</f>
        <v/>
      </c>
      <c r="K34" s="69" t="str">
        <f>графік!I29</f>
        <v/>
      </c>
      <c r="L34" s="69" t="str">
        <f>графік!J29</f>
        <v/>
      </c>
      <c r="M34" s="69">
        <f>графік!K29</f>
        <v>0</v>
      </c>
      <c r="N34" s="69" t="str">
        <f>графік!L29</f>
        <v/>
      </c>
      <c r="O34" s="74" t="str">
        <f>графік!P29</f>
        <v/>
      </c>
      <c r="P34" s="230" t="str">
        <f>графік!Q29</f>
        <v/>
      </c>
    </row>
    <row r="35" spans="1:16" x14ac:dyDescent="0.35">
      <c r="A35" s="63">
        <f>графік!A30</f>
        <v>6</v>
      </c>
      <c r="B35" s="68">
        <f ca="1">графік!C30</f>
        <v>44573</v>
      </c>
      <c r="C35" s="65">
        <f ca="1">графік!D30</f>
        <v>31</v>
      </c>
      <c r="D35" s="66">
        <f>графік!E30</f>
        <v>3899999.9833333339</v>
      </c>
      <c r="E35" s="67">
        <f ca="1">графік!H30</f>
        <v>63204.18</v>
      </c>
      <c r="F35" s="66">
        <f>графік!F30</f>
        <v>16666.669999999998</v>
      </c>
      <c r="G35" s="67">
        <f ca="1">графік!G30</f>
        <v>46537.51</v>
      </c>
      <c r="H35" s="69" t="str">
        <f>графік!M30</f>
        <v/>
      </c>
      <c r="I35" s="69"/>
      <c r="J35" s="69" t="str">
        <f>графік!N30</f>
        <v/>
      </c>
      <c r="K35" s="69" t="str">
        <f>графік!I30</f>
        <v/>
      </c>
      <c r="L35" s="69" t="str">
        <f>графік!J30</f>
        <v/>
      </c>
      <c r="M35" s="69">
        <f>графік!K30</f>
        <v>0</v>
      </c>
      <c r="N35" s="69" t="str">
        <f>графік!L30</f>
        <v/>
      </c>
      <c r="O35" s="74" t="str">
        <f>графік!P30</f>
        <v/>
      </c>
      <c r="P35" s="230" t="str">
        <f>графік!Q30</f>
        <v/>
      </c>
    </row>
    <row r="36" spans="1:16" x14ac:dyDescent="0.35">
      <c r="A36" s="63">
        <f>графік!A31</f>
        <v>7</v>
      </c>
      <c r="B36" s="68">
        <f ca="1">графік!C31</f>
        <v>44604</v>
      </c>
      <c r="C36" s="65">
        <f ca="1">графік!D31</f>
        <v>31</v>
      </c>
      <c r="D36" s="66">
        <f>графік!E31</f>
        <v>3883333.3133333339</v>
      </c>
      <c r="E36" s="67">
        <f ca="1">графік!H31</f>
        <v>63006.15</v>
      </c>
      <c r="F36" s="66">
        <f>графік!F31</f>
        <v>16666.669999999998</v>
      </c>
      <c r="G36" s="67">
        <f ca="1">графік!G31</f>
        <v>46339.48</v>
      </c>
      <c r="H36" s="69">
        <f>графік!M31</f>
        <v>0</v>
      </c>
      <c r="I36" s="69"/>
      <c r="J36" s="69" t="str">
        <f>графік!N31</f>
        <v/>
      </c>
      <c r="K36" s="69" t="str">
        <f>графік!I31</f>
        <v/>
      </c>
      <c r="L36" s="69" t="str">
        <f>графік!J31</f>
        <v/>
      </c>
      <c r="M36" s="69">
        <f>графік!K31</f>
        <v>0</v>
      </c>
      <c r="N36" s="69" t="str">
        <f>графік!L31</f>
        <v/>
      </c>
      <c r="O36" s="74" t="str">
        <f>графік!P31</f>
        <v/>
      </c>
      <c r="P36" s="230" t="str">
        <f>графік!Q31</f>
        <v/>
      </c>
    </row>
    <row r="37" spans="1:16" x14ac:dyDescent="0.35">
      <c r="A37" s="63">
        <f>графік!A32</f>
        <v>8</v>
      </c>
      <c r="B37" s="68">
        <f ca="1">графік!C32</f>
        <v>44632</v>
      </c>
      <c r="C37" s="65">
        <f ca="1">графік!D32</f>
        <v>28</v>
      </c>
      <c r="D37" s="66">
        <f>графік!E32</f>
        <v>3866666.643333334</v>
      </c>
      <c r="E37" s="67">
        <f ca="1">графік!H32</f>
        <v>58342.82</v>
      </c>
      <c r="F37" s="66">
        <f>графік!F32</f>
        <v>16666.669999999998</v>
      </c>
      <c r="G37" s="67">
        <f ca="1">графік!G32</f>
        <v>41676.15</v>
      </c>
      <c r="H37" s="67" t="str">
        <f>графік!M32</f>
        <v/>
      </c>
      <c r="I37" s="67"/>
      <c r="J37" s="69" t="str">
        <f>графік!N32</f>
        <v/>
      </c>
      <c r="K37" s="69" t="str">
        <f>графік!I32</f>
        <v/>
      </c>
      <c r="L37" s="69" t="str">
        <f>графік!J32</f>
        <v/>
      </c>
      <c r="M37" s="69">
        <f>графік!K32</f>
        <v>0</v>
      </c>
      <c r="N37" s="69" t="str">
        <f>графік!L32</f>
        <v/>
      </c>
      <c r="O37" s="74" t="str">
        <f>графік!P32</f>
        <v/>
      </c>
      <c r="P37" s="230" t="str">
        <f>графік!Q32</f>
        <v/>
      </c>
    </row>
    <row r="38" spans="1:16" x14ac:dyDescent="0.35">
      <c r="A38" s="63">
        <f>графік!A33</f>
        <v>9</v>
      </c>
      <c r="B38" s="68">
        <f ca="1">графік!C33</f>
        <v>44663</v>
      </c>
      <c r="C38" s="65">
        <f ca="1">графік!D33</f>
        <v>31</v>
      </c>
      <c r="D38" s="66">
        <f>графік!E33</f>
        <v>3849999.9733333341</v>
      </c>
      <c r="E38" s="67">
        <f ca="1">графік!H33</f>
        <v>62610.09</v>
      </c>
      <c r="F38" s="66">
        <f>графік!F33</f>
        <v>16666.669999999998</v>
      </c>
      <c r="G38" s="67">
        <f ca="1">графік!G33</f>
        <v>45943.42</v>
      </c>
      <c r="H38" s="67" t="str">
        <f>графік!M33</f>
        <v/>
      </c>
      <c r="I38" s="67"/>
      <c r="J38" s="69" t="str">
        <f>графік!N33</f>
        <v/>
      </c>
      <c r="K38" s="69" t="str">
        <f>графік!I33</f>
        <v/>
      </c>
      <c r="L38" s="69" t="str">
        <f>графік!J33</f>
        <v/>
      </c>
      <c r="M38" s="69">
        <f>графік!K33</f>
        <v>0</v>
      </c>
      <c r="N38" s="69" t="str">
        <f>графік!L33</f>
        <v/>
      </c>
      <c r="O38" s="74" t="str">
        <f>графік!P33</f>
        <v/>
      </c>
      <c r="P38" s="230" t="str">
        <f>графік!Q33</f>
        <v/>
      </c>
    </row>
    <row r="39" spans="1:16" x14ac:dyDescent="0.35">
      <c r="A39" s="63">
        <f>графік!A34</f>
        <v>10</v>
      </c>
      <c r="B39" s="68">
        <f ca="1">графік!C34</f>
        <v>44693</v>
      </c>
      <c r="C39" s="65">
        <f ca="1">графік!D34</f>
        <v>30</v>
      </c>
      <c r="D39" s="66">
        <f>графік!E34</f>
        <v>3833333.3033333342</v>
      </c>
      <c r="E39" s="67">
        <f ca="1">графік!H34</f>
        <v>60936.4</v>
      </c>
      <c r="F39" s="66">
        <f>графік!F34</f>
        <v>16666.669999999998</v>
      </c>
      <c r="G39" s="67">
        <f ca="1">графік!G34</f>
        <v>44269.73</v>
      </c>
      <c r="H39" s="67" t="str">
        <f>графік!M34</f>
        <v/>
      </c>
      <c r="I39" s="67"/>
      <c r="J39" s="69" t="str">
        <f>графік!N34</f>
        <v/>
      </c>
      <c r="K39" s="69" t="str">
        <f>графік!I34</f>
        <v/>
      </c>
      <c r="L39" s="69" t="str">
        <f>графік!J34</f>
        <v/>
      </c>
      <c r="M39" s="69">
        <f>графік!K34</f>
        <v>0</v>
      </c>
      <c r="N39" s="69" t="str">
        <f>графік!L34</f>
        <v/>
      </c>
      <c r="O39" s="74" t="str">
        <f>графік!P34</f>
        <v/>
      </c>
      <c r="P39" s="230" t="str">
        <f>графік!Q34</f>
        <v/>
      </c>
    </row>
    <row r="40" spans="1:16" x14ac:dyDescent="0.35">
      <c r="A40" s="63">
        <f>графік!A35</f>
        <v>11</v>
      </c>
      <c r="B40" s="68">
        <f ca="1">графік!C35</f>
        <v>44724</v>
      </c>
      <c r="C40" s="65">
        <f ca="1">графік!D35</f>
        <v>31</v>
      </c>
      <c r="D40" s="66">
        <f>графік!E35</f>
        <v>3816666.6333333342</v>
      </c>
      <c r="E40" s="67">
        <f ca="1">графік!H35</f>
        <v>62214.02</v>
      </c>
      <c r="F40" s="66">
        <f>графік!F35</f>
        <v>16666.669999999998</v>
      </c>
      <c r="G40" s="67">
        <f ca="1">графік!G35</f>
        <v>45547.35</v>
      </c>
      <c r="H40" s="67" t="str">
        <f>графік!M35</f>
        <v/>
      </c>
      <c r="I40" s="67"/>
      <c r="J40" s="69" t="str">
        <f>графік!N35</f>
        <v/>
      </c>
      <c r="K40" s="69" t="str">
        <f>графік!I35</f>
        <v/>
      </c>
      <c r="L40" s="69" t="str">
        <f>графік!J35</f>
        <v/>
      </c>
      <c r="M40" s="69">
        <f>графік!K35</f>
        <v>0</v>
      </c>
      <c r="N40" s="69" t="str">
        <f>графік!L35</f>
        <v/>
      </c>
      <c r="O40" s="74" t="str">
        <f>графік!P35</f>
        <v/>
      </c>
      <c r="P40" s="230" t="str">
        <f>графік!Q35</f>
        <v/>
      </c>
    </row>
    <row r="41" spans="1:16" x14ac:dyDescent="0.35">
      <c r="A41" s="63">
        <f>графік!A36</f>
        <v>12</v>
      </c>
      <c r="B41" s="68">
        <f ca="1">графік!C36</f>
        <v>44754</v>
      </c>
      <c r="C41" s="65">
        <f ca="1">графік!D36</f>
        <v>30</v>
      </c>
      <c r="D41" s="66">
        <f>графік!E36</f>
        <v>3799999.9633333343</v>
      </c>
      <c r="E41" s="67">
        <f ca="1">графік!H36</f>
        <v>60553.11</v>
      </c>
      <c r="F41" s="66">
        <f>графік!F36</f>
        <v>16666.669999999998</v>
      </c>
      <c r="G41" s="67">
        <f ca="1">графік!G36</f>
        <v>43886.44</v>
      </c>
      <c r="H41" s="67" t="str">
        <f>графік!M36</f>
        <v/>
      </c>
      <c r="I41" s="67"/>
      <c r="J41" s="69" t="str">
        <f>графік!N36</f>
        <v/>
      </c>
      <c r="K41" s="69" t="str">
        <f>графік!I36</f>
        <v/>
      </c>
      <c r="L41" s="69" t="str">
        <f>графік!J36</f>
        <v/>
      </c>
      <c r="M41" s="69">
        <f>графік!K36</f>
        <v>0</v>
      </c>
      <c r="N41" s="69" t="str">
        <f>графік!L36</f>
        <v/>
      </c>
      <c r="O41" s="74" t="str">
        <f>графік!P36</f>
        <v/>
      </c>
      <c r="P41" s="230" t="str">
        <f>графік!Q36</f>
        <v/>
      </c>
    </row>
    <row r="42" spans="1:16" x14ac:dyDescent="0.35">
      <c r="A42" s="63">
        <f>графік!A37</f>
        <v>13</v>
      </c>
      <c r="B42" s="68">
        <f ca="1">графік!C37</f>
        <v>44785</v>
      </c>
      <c r="C42" s="65">
        <f ca="1">графік!D37</f>
        <v>31</v>
      </c>
      <c r="D42" s="66">
        <f>графік!E37</f>
        <v>3783333.2933333344</v>
      </c>
      <c r="E42" s="67">
        <f ca="1">графік!H37</f>
        <v>61817.96</v>
      </c>
      <c r="F42" s="66">
        <f>графік!F37</f>
        <v>16666.669999999998</v>
      </c>
      <c r="G42" s="67">
        <f ca="1">графік!G37</f>
        <v>45151.29</v>
      </c>
      <c r="H42" s="67" t="str">
        <f>графік!M37</f>
        <v/>
      </c>
      <c r="I42" s="67"/>
      <c r="J42" s="69" t="str">
        <f>графік!N37</f>
        <v/>
      </c>
      <c r="K42" s="67" t="str">
        <f>графік!I37</f>
        <v/>
      </c>
      <c r="L42" s="67" t="str">
        <f>графік!J37</f>
        <v/>
      </c>
      <c r="M42" s="67">
        <f>графік!K37</f>
        <v>17100</v>
      </c>
      <c r="N42" s="67" t="str">
        <f>графік!L37</f>
        <v/>
      </c>
      <c r="O42" s="74" t="str">
        <f>графік!P37</f>
        <v/>
      </c>
      <c r="P42" s="230" t="str">
        <f>графік!Q37</f>
        <v/>
      </c>
    </row>
    <row r="43" spans="1:16" x14ac:dyDescent="0.35">
      <c r="A43" s="63">
        <f>графік!A38</f>
        <v>14</v>
      </c>
      <c r="B43" s="68">
        <f ca="1">графік!C38</f>
        <v>44816</v>
      </c>
      <c r="C43" s="65">
        <f ca="1">графік!D38</f>
        <v>31</v>
      </c>
      <c r="D43" s="66">
        <f>графік!E38</f>
        <v>3766666.6233333345</v>
      </c>
      <c r="E43" s="67">
        <f ca="1">графік!H38</f>
        <v>61619.93</v>
      </c>
      <c r="F43" s="66">
        <f>графік!F38</f>
        <v>16666.669999999998</v>
      </c>
      <c r="G43" s="67">
        <f ca="1">графік!G38</f>
        <v>44953.26</v>
      </c>
      <c r="H43" s="67" t="str">
        <f>графік!M38</f>
        <v/>
      </c>
      <c r="I43" s="67"/>
      <c r="J43" s="69" t="str">
        <f>графік!N38</f>
        <v/>
      </c>
      <c r="K43" s="67" t="str">
        <f>графік!I38</f>
        <v/>
      </c>
      <c r="L43" s="67" t="str">
        <f>графік!J38</f>
        <v/>
      </c>
      <c r="M43" s="69">
        <f>графік!K38</f>
        <v>0</v>
      </c>
      <c r="N43" s="67" t="str">
        <f>графік!L38</f>
        <v/>
      </c>
      <c r="O43" s="74" t="str">
        <f>графік!P38</f>
        <v/>
      </c>
      <c r="P43" s="230" t="str">
        <f>графік!Q38</f>
        <v/>
      </c>
    </row>
    <row r="44" spans="1:16" x14ac:dyDescent="0.35">
      <c r="A44" s="63">
        <f>графік!A39</f>
        <v>15</v>
      </c>
      <c r="B44" s="68">
        <f ca="1">графік!C39</f>
        <v>44846</v>
      </c>
      <c r="C44" s="65">
        <f ca="1">графік!D39</f>
        <v>30</v>
      </c>
      <c r="D44" s="66">
        <f>графік!E39</f>
        <v>3749999.9533333345</v>
      </c>
      <c r="E44" s="67">
        <f ca="1">графік!H39</f>
        <v>59978.18</v>
      </c>
      <c r="F44" s="66">
        <f>графік!F39</f>
        <v>16666.669999999998</v>
      </c>
      <c r="G44" s="67">
        <f ca="1">графік!G39</f>
        <v>43311.51</v>
      </c>
      <c r="H44" s="67" t="str">
        <f>графік!M39</f>
        <v/>
      </c>
      <c r="I44" s="67"/>
      <c r="J44" s="69" t="str">
        <f>графік!N39</f>
        <v/>
      </c>
      <c r="K44" s="67" t="str">
        <f>графік!I39</f>
        <v/>
      </c>
      <c r="L44" s="67" t="str">
        <f>графік!J39</f>
        <v/>
      </c>
      <c r="M44" s="69">
        <f>графік!K39</f>
        <v>0</v>
      </c>
      <c r="N44" s="67" t="str">
        <f>графік!L39</f>
        <v/>
      </c>
      <c r="O44" s="74" t="str">
        <f>графік!P39</f>
        <v/>
      </c>
      <c r="P44" s="230" t="str">
        <f>графік!Q39</f>
        <v/>
      </c>
    </row>
    <row r="45" spans="1:16" x14ac:dyDescent="0.35">
      <c r="A45" s="63">
        <f>графік!A40</f>
        <v>16</v>
      </c>
      <c r="B45" s="68">
        <f ca="1">графік!C40</f>
        <v>44877</v>
      </c>
      <c r="C45" s="65">
        <f ca="1">графік!D40</f>
        <v>31</v>
      </c>
      <c r="D45" s="66">
        <f>графік!E40</f>
        <v>3733333.2833333346</v>
      </c>
      <c r="E45" s="67">
        <f ca="1">графік!H40</f>
        <v>61223.86</v>
      </c>
      <c r="F45" s="66">
        <f>графік!F40</f>
        <v>16666.669999999998</v>
      </c>
      <c r="G45" s="67">
        <f ca="1">графік!G40</f>
        <v>44557.19</v>
      </c>
      <c r="H45" s="67" t="str">
        <f>графік!M40</f>
        <v/>
      </c>
      <c r="I45" s="67"/>
      <c r="J45" s="69" t="str">
        <f>графік!N40</f>
        <v/>
      </c>
      <c r="K45" s="67" t="str">
        <f>графік!I40</f>
        <v/>
      </c>
      <c r="L45" s="67" t="str">
        <f>графік!J40</f>
        <v/>
      </c>
      <c r="M45" s="69">
        <f>графік!K40</f>
        <v>0</v>
      </c>
      <c r="N45" s="67" t="str">
        <f>графік!L40</f>
        <v/>
      </c>
      <c r="O45" s="74" t="str">
        <f>графік!P40</f>
        <v/>
      </c>
      <c r="P45" s="230" t="str">
        <f>графік!Q40</f>
        <v/>
      </c>
    </row>
    <row r="46" spans="1:16" x14ac:dyDescent="0.35">
      <c r="A46" s="63">
        <f>графік!A41</f>
        <v>17</v>
      </c>
      <c r="B46" s="68">
        <f ca="1">графік!C41</f>
        <v>44907</v>
      </c>
      <c r="C46" s="65">
        <f ca="1">графік!D41</f>
        <v>30</v>
      </c>
      <c r="D46" s="66">
        <f>графік!E41</f>
        <v>3716666.6133333347</v>
      </c>
      <c r="E46" s="67">
        <f ca="1">графік!H41</f>
        <v>59594.89</v>
      </c>
      <c r="F46" s="66">
        <f>графік!F41</f>
        <v>16666.669999999998</v>
      </c>
      <c r="G46" s="67">
        <f ca="1">графік!G41</f>
        <v>42928.22</v>
      </c>
      <c r="H46" s="67" t="str">
        <f>графік!M41</f>
        <v/>
      </c>
      <c r="I46" s="67"/>
      <c r="J46" s="69" t="str">
        <f>графік!N41</f>
        <v/>
      </c>
      <c r="K46" s="67" t="str">
        <f>графік!I41</f>
        <v/>
      </c>
      <c r="L46" s="67" t="str">
        <f>графік!J41</f>
        <v/>
      </c>
      <c r="M46" s="69">
        <f>графік!K41</f>
        <v>0</v>
      </c>
      <c r="N46" s="67" t="str">
        <f>графік!L41</f>
        <v/>
      </c>
      <c r="O46" s="74" t="str">
        <f>графік!P41</f>
        <v/>
      </c>
      <c r="P46" s="230" t="str">
        <f>графік!Q41</f>
        <v/>
      </c>
    </row>
    <row r="47" spans="1:16" x14ac:dyDescent="0.35">
      <c r="A47" s="63">
        <f>графік!A42</f>
        <v>18</v>
      </c>
      <c r="B47" s="68">
        <f ca="1">графік!C42</f>
        <v>44938</v>
      </c>
      <c r="C47" s="65">
        <f ca="1">графік!D42</f>
        <v>31</v>
      </c>
      <c r="D47" s="66">
        <f>графік!E42</f>
        <v>3699999.9433333348</v>
      </c>
      <c r="E47" s="67">
        <f ca="1">графік!H42</f>
        <v>60827.799999999996</v>
      </c>
      <c r="F47" s="66">
        <f>графік!F42</f>
        <v>16666.669999999998</v>
      </c>
      <c r="G47" s="67">
        <f ca="1">графік!G42</f>
        <v>44161.13</v>
      </c>
      <c r="H47" s="67" t="str">
        <f>графік!M42</f>
        <v/>
      </c>
      <c r="I47" s="67"/>
      <c r="J47" s="69" t="str">
        <f>графік!N42</f>
        <v/>
      </c>
      <c r="K47" s="67" t="str">
        <f>графік!I42</f>
        <v/>
      </c>
      <c r="L47" s="67" t="str">
        <f>графік!J42</f>
        <v/>
      </c>
      <c r="M47" s="69">
        <f>графік!K42</f>
        <v>0</v>
      </c>
      <c r="N47" s="67" t="str">
        <f>графік!L42</f>
        <v/>
      </c>
      <c r="O47" s="74" t="str">
        <f>графік!P42</f>
        <v/>
      </c>
      <c r="P47" s="230" t="str">
        <f>графік!Q42</f>
        <v/>
      </c>
    </row>
    <row r="48" spans="1:16" x14ac:dyDescent="0.35">
      <c r="A48" s="63">
        <f>графік!A43</f>
        <v>19</v>
      </c>
      <c r="B48" s="68">
        <f ca="1">графік!C43</f>
        <v>44969</v>
      </c>
      <c r="C48" s="65">
        <f ca="1">графік!D43</f>
        <v>31</v>
      </c>
      <c r="D48" s="66">
        <f>графік!E43</f>
        <v>3683333.2733333348</v>
      </c>
      <c r="E48" s="67">
        <f ca="1">графік!H43</f>
        <v>60629.77</v>
      </c>
      <c r="F48" s="66">
        <f>графік!F43</f>
        <v>16666.669999999998</v>
      </c>
      <c r="G48" s="67">
        <f ca="1">графік!G43</f>
        <v>43963.1</v>
      </c>
      <c r="H48" s="67" t="str">
        <f>графік!M43</f>
        <v/>
      </c>
      <c r="I48" s="67"/>
      <c r="J48" s="69" t="str">
        <f>графік!N43</f>
        <v/>
      </c>
      <c r="K48" s="67" t="str">
        <f>графік!I43</f>
        <v/>
      </c>
      <c r="L48" s="67" t="str">
        <f>графік!J43</f>
        <v/>
      </c>
      <c r="M48" s="69">
        <f>графік!K43</f>
        <v>0</v>
      </c>
      <c r="N48" s="67" t="str">
        <f>графік!L43</f>
        <v/>
      </c>
      <c r="O48" s="74" t="str">
        <f>графік!P43</f>
        <v/>
      </c>
      <c r="P48" s="230" t="str">
        <f>графік!Q43</f>
        <v/>
      </c>
    </row>
    <row r="49" spans="1:16" x14ac:dyDescent="0.35">
      <c r="A49" s="63">
        <f>графік!A44</f>
        <v>20</v>
      </c>
      <c r="B49" s="68">
        <f ca="1">графік!C44</f>
        <v>44997</v>
      </c>
      <c r="C49" s="65">
        <f ca="1">графік!D44</f>
        <v>28</v>
      </c>
      <c r="D49" s="66">
        <f>графік!E44</f>
        <v>3666666.6033333349</v>
      </c>
      <c r="E49" s="67">
        <f ca="1">графік!H44</f>
        <v>56196.4</v>
      </c>
      <c r="F49" s="66">
        <f>графік!F44</f>
        <v>16666.669999999998</v>
      </c>
      <c r="G49" s="67">
        <f ca="1">графік!G44</f>
        <v>39529.730000000003</v>
      </c>
      <c r="H49" s="67" t="str">
        <f>графік!M44</f>
        <v/>
      </c>
      <c r="I49" s="67"/>
      <c r="J49" s="69" t="str">
        <f>графік!N44</f>
        <v/>
      </c>
      <c r="K49" s="67" t="str">
        <f>графік!I44</f>
        <v/>
      </c>
      <c r="L49" s="67" t="str">
        <f>графік!J44</f>
        <v/>
      </c>
      <c r="M49" s="69">
        <f>графік!K44</f>
        <v>0</v>
      </c>
      <c r="N49" s="67" t="str">
        <f>графік!L44</f>
        <v/>
      </c>
      <c r="O49" s="74" t="str">
        <f>графік!P44</f>
        <v/>
      </c>
      <c r="P49" s="230" t="str">
        <f>графік!Q44</f>
        <v/>
      </c>
    </row>
    <row r="50" spans="1:16" x14ac:dyDescent="0.35">
      <c r="A50" s="63">
        <f>графік!A45</f>
        <v>21</v>
      </c>
      <c r="B50" s="68">
        <f ca="1">графік!C45</f>
        <v>45028</v>
      </c>
      <c r="C50" s="65">
        <f ca="1">графік!D45</f>
        <v>31</v>
      </c>
      <c r="D50" s="66">
        <f>графік!E45</f>
        <v>3649999.933333335</v>
      </c>
      <c r="E50" s="67">
        <f ca="1">графік!H45</f>
        <v>60233.7</v>
      </c>
      <c r="F50" s="66">
        <f>графік!F45</f>
        <v>16666.669999999998</v>
      </c>
      <c r="G50" s="67">
        <f ca="1">графік!G45</f>
        <v>43567.03</v>
      </c>
      <c r="H50" s="67" t="str">
        <f>графік!M45</f>
        <v/>
      </c>
      <c r="I50" s="67"/>
      <c r="J50" s="69" t="str">
        <f>графік!N45</f>
        <v/>
      </c>
      <c r="K50" s="67" t="str">
        <f>графік!I45</f>
        <v/>
      </c>
      <c r="L50" s="67" t="str">
        <f>графік!J45</f>
        <v/>
      </c>
      <c r="M50" s="69">
        <f>графік!K45</f>
        <v>0</v>
      </c>
      <c r="N50" s="67" t="str">
        <f>графік!L45</f>
        <v/>
      </c>
      <c r="O50" s="74" t="str">
        <f>графік!P45</f>
        <v/>
      </c>
      <c r="P50" s="230" t="str">
        <f>графік!Q45</f>
        <v/>
      </c>
    </row>
    <row r="51" spans="1:16" x14ac:dyDescent="0.35">
      <c r="A51" s="63">
        <f>графік!A46</f>
        <v>22</v>
      </c>
      <c r="B51" s="68">
        <f ca="1">графік!C46</f>
        <v>45058</v>
      </c>
      <c r="C51" s="65">
        <f ca="1">графік!D46</f>
        <v>30</v>
      </c>
      <c r="D51" s="66">
        <f>графік!E46</f>
        <v>3633333.2633333351</v>
      </c>
      <c r="E51" s="67">
        <f ca="1">графік!H46</f>
        <v>58636.67</v>
      </c>
      <c r="F51" s="66">
        <f>графік!F46</f>
        <v>16666.669999999998</v>
      </c>
      <c r="G51" s="67">
        <f ca="1">графік!G46</f>
        <v>41970</v>
      </c>
      <c r="H51" s="67" t="str">
        <f>графік!M46</f>
        <v/>
      </c>
      <c r="I51" s="67"/>
      <c r="J51" s="69" t="str">
        <f>графік!N46</f>
        <v/>
      </c>
      <c r="K51" s="67" t="str">
        <f>графік!I46</f>
        <v/>
      </c>
      <c r="L51" s="67" t="str">
        <f>графік!J46</f>
        <v/>
      </c>
      <c r="M51" s="69">
        <f>графік!K46</f>
        <v>0</v>
      </c>
      <c r="N51" s="67" t="str">
        <f>графік!L46</f>
        <v/>
      </c>
      <c r="O51" s="74" t="str">
        <f>графік!P46</f>
        <v/>
      </c>
      <c r="P51" s="230" t="str">
        <f>графік!Q46</f>
        <v/>
      </c>
    </row>
    <row r="52" spans="1:16" x14ac:dyDescent="0.35">
      <c r="A52" s="63">
        <f>графік!A47</f>
        <v>23</v>
      </c>
      <c r="B52" s="68">
        <f ca="1">графік!C47</f>
        <v>45089</v>
      </c>
      <c r="C52" s="65">
        <f ca="1">графік!D47</f>
        <v>31</v>
      </c>
      <c r="D52" s="66">
        <f>графік!E47</f>
        <v>3616666.5933333351</v>
      </c>
      <c r="E52" s="67">
        <f ca="1">графік!H47</f>
        <v>59837.64</v>
      </c>
      <c r="F52" s="66">
        <f>графік!F47</f>
        <v>16666.669999999998</v>
      </c>
      <c r="G52" s="67">
        <f ca="1">графік!G47</f>
        <v>43170.97</v>
      </c>
      <c r="H52" s="67" t="str">
        <f>графік!M47</f>
        <v/>
      </c>
      <c r="I52" s="67"/>
      <c r="J52" s="69" t="str">
        <f>графік!N47</f>
        <v/>
      </c>
      <c r="K52" s="67" t="str">
        <f>графік!I47</f>
        <v/>
      </c>
      <c r="L52" s="67" t="str">
        <f>графік!J47</f>
        <v/>
      </c>
      <c r="M52" s="69">
        <f>графік!K47</f>
        <v>0</v>
      </c>
      <c r="N52" s="67" t="str">
        <f>графік!L47</f>
        <v/>
      </c>
      <c r="O52" s="74" t="str">
        <f>графік!P47</f>
        <v/>
      </c>
      <c r="P52" s="230" t="str">
        <f>графік!Q47</f>
        <v/>
      </c>
    </row>
    <row r="53" spans="1:16" x14ac:dyDescent="0.35">
      <c r="A53" s="63">
        <f>графік!A48</f>
        <v>24</v>
      </c>
      <c r="B53" s="68">
        <f ca="1">графік!C48</f>
        <v>45119</v>
      </c>
      <c r="C53" s="65">
        <f ca="1">графік!D48</f>
        <v>30</v>
      </c>
      <c r="D53" s="66">
        <f>графік!E48</f>
        <v>3599999.9233333352</v>
      </c>
      <c r="E53" s="67">
        <f ca="1">графік!H48</f>
        <v>58253.38</v>
      </c>
      <c r="F53" s="66">
        <f>графік!F48</f>
        <v>16666.669999999998</v>
      </c>
      <c r="G53" s="67">
        <f ca="1">графік!G48</f>
        <v>41586.71</v>
      </c>
      <c r="H53" s="67" t="str">
        <f>графік!M48</f>
        <v/>
      </c>
      <c r="I53" s="67"/>
      <c r="J53" s="69" t="str">
        <f>графік!N48</f>
        <v/>
      </c>
      <c r="K53" s="67" t="str">
        <f>графік!I48</f>
        <v/>
      </c>
      <c r="L53" s="67" t="str">
        <f>графік!J48</f>
        <v/>
      </c>
      <c r="M53" s="69">
        <f>графік!K48</f>
        <v>0</v>
      </c>
      <c r="N53" s="67" t="str">
        <f>графік!L48</f>
        <v/>
      </c>
      <c r="O53" s="74" t="str">
        <f>графік!P48</f>
        <v/>
      </c>
      <c r="P53" s="230" t="str">
        <f>графік!Q48</f>
        <v/>
      </c>
    </row>
    <row r="54" spans="1:16" x14ac:dyDescent="0.35">
      <c r="A54" s="63">
        <f>графік!A49</f>
        <v>25</v>
      </c>
      <c r="B54" s="68">
        <f ca="1">графік!C49</f>
        <v>45150</v>
      </c>
      <c r="C54" s="65">
        <f ca="1">графік!D49</f>
        <v>31</v>
      </c>
      <c r="D54" s="66">
        <f>графік!E49</f>
        <v>3583333.2533333353</v>
      </c>
      <c r="E54" s="67">
        <f ca="1">графік!H49</f>
        <v>59441.57</v>
      </c>
      <c r="F54" s="66">
        <f>графік!F49</f>
        <v>16666.669999999998</v>
      </c>
      <c r="G54" s="67">
        <f ca="1">графік!G49</f>
        <v>42774.9</v>
      </c>
      <c r="H54" s="67" t="str">
        <f>графік!M49</f>
        <v/>
      </c>
      <c r="I54" s="67"/>
      <c r="J54" s="228" t="str">
        <f>графік!N49</f>
        <v/>
      </c>
      <c r="K54" s="67" t="str">
        <f>графік!I49</f>
        <v/>
      </c>
      <c r="L54" s="67" t="str">
        <f>графік!J49</f>
        <v/>
      </c>
      <c r="M54" s="67">
        <f>графік!K49</f>
        <v>17100</v>
      </c>
      <c r="N54" s="67" t="str">
        <f>графік!L49</f>
        <v/>
      </c>
      <c r="O54" s="74" t="str">
        <f>графік!P49</f>
        <v/>
      </c>
      <c r="P54" s="230" t="str">
        <f>графік!Q49</f>
        <v/>
      </c>
    </row>
    <row r="55" spans="1:16" x14ac:dyDescent="0.35">
      <c r="A55" s="63">
        <f>графік!A50</f>
        <v>26</v>
      </c>
      <c r="B55" s="68">
        <f ca="1">графік!C50</f>
        <v>45181</v>
      </c>
      <c r="C55" s="65">
        <f ca="1">графік!D50</f>
        <v>31</v>
      </c>
      <c r="D55" s="66">
        <f>графік!E50</f>
        <v>3566666.5833333354</v>
      </c>
      <c r="E55" s="67">
        <f ca="1">графік!H50</f>
        <v>59243.54</v>
      </c>
      <c r="F55" s="66">
        <f>графік!F50</f>
        <v>16666.669999999998</v>
      </c>
      <c r="G55" s="67">
        <f ca="1">графік!G50</f>
        <v>42576.87</v>
      </c>
      <c r="H55" s="67" t="str">
        <f>графік!M50</f>
        <v/>
      </c>
      <c r="I55" s="67"/>
      <c r="J55" s="69" t="str">
        <f>графік!N50</f>
        <v/>
      </c>
      <c r="K55" s="67" t="str">
        <f>графік!I50</f>
        <v/>
      </c>
      <c r="L55" s="67" t="str">
        <f>графік!J50</f>
        <v/>
      </c>
      <c r="M55" s="69">
        <f>графік!K50</f>
        <v>0</v>
      </c>
      <c r="N55" s="67" t="str">
        <f>графік!L50</f>
        <v/>
      </c>
      <c r="O55" s="74" t="str">
        <f>графік!P50</f>
        <v/>
      </c>
      <c r="P55" s="230" t="str">
        <f>графік!Q50</f>
        <v/>
      </c>
    </row>
    <row r="56" spans="1:16" x14ac:dyDescent="0.35">
      <c r="A56" s="63">
        <f>графік!A51</f>
        <v>27</v>
      </c>
      <c r="B56" s="68">
        <f ca="1">графік!C51</f>
        <v>45211</v>
      </c>
      <c r="C56" s="65">
        <f ca="1">графік!D51</f>
        <v>30</v>
      </c>
      <c r="D56" s="66">
        <f>графік!E51</f>
        <v>3549999.9133333354</v>
      </c>
      <c r="E56" s="67">
        <f ca="1">графік!H51</f>
        <v>57678.45</v>
      </c>
      <c r="F56" s="66">
        <f>графік!F51</f>
        <v>16666.669999999998</v>
      </c>
      <c r="G56" s="67">
        <f ca="1">графік!G51</f>
        <v>41011.78</v>
      </c>
      <c r="H56" s="67" t="str">
        <f>графік!M51</f>
        <v/>
      </c>
      <c r="I56" s="67"/>
      <c r="J56" s="69" t="str">
        <f>графік!N51</f>
        <v/>
      </c>
      <c r="K56" s="67" t="str">
        <f>графік!I51</f>
        <v/>
      </c>
      <c r="L56" s="67" t="str">
        <f>графік!J51</f>
        <v/>
      </c>
      <c r="M56" s="69">
        <f>графік!K51</f>
        <v>0</v>
      </c>
      <c r="N56" s="67" t="str">
        <f>графік!L51</f>
        <v/>
      </c>
      <c r="O56" s="74" t="str">
        <f>графік!P51</f>
        <v/>
      </c>
      <c r="P56" s="230" t="str">
        <f>графік!Q51</f>
        <v/>
      </c>
    </row>
    <row r="57" spans="1:16" x14ac:dyDescent="0.35">
      <c r="A57" s="63">
        <f>графік!A52</f>
        <v>28</v>
      </c>
      <c r="B57" s="68">
        <f ca="1">графік!C52</f>
        <v>45242</v>
      </c>
      <c r="C57" s="65">
        <f ca="1">графік!D52</f>
        <v>31</v>
      </c>
      <c r="D57" s="66">
        <f>графік!E52</f>
        <v>3533333.2433333355</v>
      </c>
      <c r="E57" s="67">
        <f ca="1">графік!H52</f>
        <v>58847.479999999996</v>
      </c>
      <c r="F57" s="66">
        <f>графік!F52</f>
        <v>16666.669999999998</v>
      </c>
      <c r="G57" s="67">
        <f ca="1">графік!G52</f>
        <v>42180.81</v>
      </c>
      <c r="H57" s="67" t="str">
        <f>графік!M52</f>
        <v/>
      </c>
      <c r="I57" s="67"/>
      <c r="J57" s="69" t="str">
        <f>графік!N52</f>
        <v/>
      </c>
      <c r="K57" s="67" t="str">
        <f>графік!I52</f>
        <v/>
      </c>
      <c r="L57" s="67" t="str">
        <f>графік!J52</f>
        <v/>
      </c>
      <c r="M57" s="69">
        <f>графік!K52</f>
        <v>0</v>
      </c>
      <c r="N57" s="67" t="str">
        <f>графік!L52</f>
        <v/>
      </c>
      <c r="O57" s="74" t="str">
        <f>графік!P52</f>
        <v/>
      </c>
      <c r="P57" s="230" t="str">
        <f>графік!Q52</f>
        <v/>
      </c>
    </row>
    <row r="58" spans="1:16" x14ac:dyDescent="0.35">
      <c r="A58" s="63">
        <f>графік!A53</f>
        <v>29</v>
      </c>
      <c r="B58" s="68">
        <f ca="1">графік!C53</f>
        <v>45272</v>
      </c>
      <c r="C58" s="65">
        <f ca="1">графік!D53</f>
        <v>30</v>
      </c>
      <c r="D58" s="66">
        <f>графік!E53</f>
        <v>3516666.5733333356</v>
      </c>
      <c r="E58" s="67">
        <f ca="1">графік!H53</f>
        <v>57295.159999999996</v>
      </c>
      <c r="F58" s="66">
        <f>графік!F53</f>
        <v>16666.669999999998</v>
      </c>
      <c r="G58" s="67">
        <f ca="1">графік!G53</f>
        <v>40628.49</v>
      </c>
      <c r="H58" s="67" t="str">
        <f>графік!M53</f>
        <v/>
      </c>
      <c r="I58" s="67"/>
      <c r="J58" s="69" t="str">
        <f>графік!N53</f>
        <v/>
      </c>
      <c r="K58" s="67" t="str">
        <f>графік!I53</f>
        <v/>
      </c>
      <c r="L58" s="67" t="str">
        <f>графік!J53</f>
        <v/>
      </c>
      <c r="M58" s="69">
        <f>графік!K53</f>
        <v>0</v>
      </c>
      <c r="N58" s="67" t="str">
        <f>графік!L53</f>
        <v/>
      </c>
      <c r="O58" s="74" t="str">
        <f>графік!P53</f>
        <v/>
      </c>
      <c r="P58" s="230" t="str">
        <f>графік!Q53</f>
        <v/>
      </c>
    </row>
    <row r="59" spans="1:16" x14ac:dyDescent="0.35">
      <c r="A59" s="63">
        <f>графік!A54</f>
        <v>30</v>
      </c>
      <c r="B59" s="68">
        <f ca="1">графік!C54</f>
        <v>45303</v>
      </c>
      <c r="C59" s="65">
        <f ca="1">графік!D54</f>
        <v>31</v>
      </c>
      <c r="D59" s="66">
        <f>графік!E54</f>
        <v>3499999.9033333356</v>
      </c>
      <c r="E59" s="67">
        <f ca="1">графік!H54</f>
        <v>58410.9</v>
      </c>
      <c r="F59" s="66">
        <f>графік!F54</f>
        <v>16666.669999999998</v>
      </c>
      <c r="G59" s="67">
        <f ca="1">графік!G54</f>
        <v>41744.230000000003</v>
      </c>
      <c r="H59" s="67" t="str">
        <f>графік!M54</f>
        <v/>
      </c>
      <c r="I59" s="67"/>
      <c r="J59" s="69" t="str">
        <f>графік!N54</f>
        <v/>
      </c>
      <c r="K59" s="67" t="str">
        <f>графік!I54</f>
        <v/>
      </c>
      <c r="L59" s="67" t="str">
        <f>графік!J54</f>
        <v/>
      </c>
      <c r="M59" s="69">
        <f>графік!K54</f>
        <v>0</v>
      </c>
      <c r="N59" s="67" t="str">
        <f>графік!L54</f>
        <v/>
      </c>
      <c r="O59" s="74" t="str">
        <f>графік!P54</f>
        <v/>
      </c>
      <c r="P59" s="230" t="str">
        <f>графік!Q54</f>
        <v/>
      </c>
    </row>
    <row r="60" spans="1:16" x14ac:dyDescent="0.35">
      <c r="A60" s="63">
        <f>графік!A55</f>
        <v>31</v>
      </c>
      <c r="B60" s="68">
        <f ca="1">графік!C55</f>
        <v>45334</v>
      </c>
      <c r="C60" s="65">
        <f ca="1">графік!D55</f>
        <v>31</v>
      </c>
      <c r="D60" s="66">
        <f>графік!E55</f>
        <v>3483333.2333333357</v>
      </c>
      <c r="E60" s="67">
        <f ca="1">графік!H55</f>
        <v>58139.759999999995</v>
      </c>
      <c r="F60" s="66">
        <f>графік!F55</f>
        <v>16666.669999999998</v>
      </c>
      <c r="G60" s="67">
        <f ca="1">графік!G55</f>
        <v>41473.089999999997</v>
      </c>
      <c r="H60" s="67" t="str">
        <f>графік!M55</f>
        <v/>
      </c>
      <c r="I60" s="67"/>
      <c r="J60" s="69" t="str">
        <f>графік!N55</f>
        <v/>
      </c>
      <c r="K60" s="67" t="str">
        <f>графік!I55</f>
        <v/>
      </c>
      <c r="L60" s="67" t="str">
        <f>графік!J55</f>
        <v/>
      </c>
      <c r="M60" s="69">
        <f>графік!K55</f>
        <v>0</v>
      </c>
      <c r="N60" s="67" t="str">
        <f>графік!L55</f>
        <v/>
      </c>
      <c r="O60" s="74" t="str">
        <f>графік!P55</f>
        <v/>
      </c>
      <c r="P60" s="230" t="str">
        <f>графік!Q55</f>
        <v/>
      </c>
    </row>
    <row r="61" spans="1:16" x14ac:dyDescent="0.35">
      <c r="A61" s="63">
        <f>графік!A56</f>
        <v>32</v>
      </c>
      <c r="B61" s="68">
        <f ca="1">графік!C56</f>
        <v>45363</v>
      </c>
      <c r="C61" s="65">
        <f ca="1">графік!D56</f>
        <v>29</v>
      </c>
      <c r="D61" s="66">
        <f>графік!E56</f>
        <v>3466666.5633333358</v>
      </c>
      <c r="E61" s="67">
        <f ca="1">графік!H56</f>
        <v>55279.32</v>
      </c>
      <c r="F61" s="66">
        <f>графік!F56</f>
        <v>16666.669999999998</v>
      </c>
      <c r="G61" s="67">
        <f ca="1">графік!G56</f>
        <v>38612.65</v>
      </c>
      <c r="H61" s="67" t="str">
        <f>графік!M56</f>
        <v/>
      </c>
      <c r="I61" s="67"/>
      <c r="J61" s="69" t="str">
        <f>графік!N56</f>
        <v/>
      </c>
      <c r="K61" s="67" t="str">
        <f>графік!I56</f>
        <v/>
      </c>
      <c r="L61" s="67" t="str">
        <f>графік!J56</f>
        <v/>
      </c>
      <c r="M61" s="69">
        <f>графік!K56</f>
        <v>0</v>
      </c>
      <c r="N61" s="67" t="str">
        <f>графік!L56</f>
        <v/>
      </c>
      <c r="O61" s="74" t="str">
        <f>графік!P56</f>
        <v/>
      </c>
      <c r="P61" s="230" t="str">
        <f>графік!Q56</f>
        <v/>
      </c>
    </row>
    <row r="62" spans="1:16" x14ac:dyDescent="0.35">
      <c r="A62" s="63">
        <f>графік!A57</f>
        <v>33</v>
      </c>
      <c r="B62" s="68">
        <f ca="1">графік!C57</f>
        <v>45394</v>
      </c>
      <c r="C62" s="65">
        <f ca="1">графік!D57</f>
        <v>31</v>
      </c>
      <c r="D62" s="66">
        <f>графік!E57</f>
        <v>3449999.8933333359</v>
      </c>
      <c r="E62" s="67">
        <f ca="1">графік!H57</f>
        <v>57744.77</v>
      </c>
      <c r="F62" s="66">
        <f>графік!F57</f>
        <v>16666.669999999998</v>
      </c>
      <c r="G62" s="67">
        <f ca="1">графік!G57</f>
        <v>41078.1</v>
      </c>
      <c r="H62" s="67" t="str">
        <f>графік!M57</f>
        <v/>
      </c>
      <c r="I62" s="67"/>
      <c r="J62" s="69" t="str">
        <f>графік!N57</f>
        <v/>
      </c>
      <c r="K62" s="67" t="str">
        <f>графік!I57</f>
        <v/>
      </c>
      <c r="L62" s="67" t="str">
        <f>графік!J57</f>
        <v/>
      </c>
      <c r="M62" s="69">
        <f>графік!K57</f>
        <v>0</v>
      </c>
      <c r="N62" s="67" t="str">
        <f>графік!L57</f>
        <v/>
      </c>
      <c r="O62" s="74" t="str">
        <f>графік!P57</f>
        <v/>
      </c>
      <c r="P62" s="230" t="str">
        <f>графік!Q57</f>
        <v/>
      </c>
    </row>
    <row r="63" spans="1:16" x14ac:dyDescent="0.35">
      <c r="A63" s="63">
        <f>графік!A58</f>
        <v>34</v>
      </c>
      <c r="B63" s="68">
        <f ca="1">графік!C58</f>
        <v>45424</v>
      </c>
      <c r="C63" s="65">
        <f ca="1">графік!D58</f>
        <v>30</v>
      </c>
      <c r="D63" s="66">
        <f>графік!E58</f>
        <v>3433333.2233333359</v>
      </c>
      <c r="E63" s="67">
        <f ca="1">графік!H58</f>
        <v>56228.549999999996</v>
      </c>
      <c r="F63" s="66">
        <f>графік!F58</f>
        <v>16666.669999999998</v>
      </c>
      <c r="G63" s="67">
        <f ca="1">графік!G58</f>
        <v>39561.879999999997</v>
      </c>
      <c r="H63" s="67" t="str">
        <f>графік!M58</f>
        <v/>
      </c>
      <c r="I63" s="67"/>
      <c r="J63" s="69" t="str">
        <f>графік!N58</f>
        <v/>
      </c>
      <c r="K63" s="67" t="str">
        <f>графік!I58</f>
        <v/>
      </c>
      <c r="L63" s="67" t="str">
        <f>графік!J58</f>
        <v/>
      </c>
      <c r="M63" s="69">
        <f>графік!K58</f>
        <v>0</v>
      </c>
      <c r="N63" s="67" t="str">
        <f>графік!L58</f>
        <v/>
      </c>
      <c r="O63" s="74" t="str">
        <f>графік!P58</f>
        <v/>
      </c>
      <c r="P63" s="230" t="str">
        <f>графік!Q58</f>
        <v/>
      </c>
    </row>
    <row r="64" spans="1:16" x14ac:dyDescent="0.35">
      <c r="A64" s="63">
        <f>графік!A59</f>
        <v>35</v>
      </c>
      <c r="B64" s="68">
        <f ca="1">графік!C59</f>
        <v>45455</v>
      </c>
      <c r="C64" s="65">
        <f ca="1">графік!D59</f>
        <v>31</v>
      </c>
      <c r="D64" s="66">
        <f>графік!E59</f>
        <v>3416666.553333336</v>
      </c>
      <c r="E64" s="67">
        <f ca="1">графік!H59</f>
        <v>57349.79</v>
      </c>
      <c r="F64" s="66">
        <f>графік!F59</f>
        <v>16666.669999999998</v>
      </c>
      <c r="G64" s="67">
        <f ca="1">графік!G59</f>
        <v>40683.120000000003</v>
      </c>
      <c r="H64" s="67" t="str">
        <f>графік!M59</f>
        <v/>
      </c>
      <c r="I64" s="67"/>
      <c r="J64" s="69" t="str">
        <f>графік!N59</f>
        <v/>
      </c>
      <c r="K64" s="67" t="str">
        <f>графік!I59</f>
        <v/>
      </c>
      <c r="L64" s="67" t="str">
        <f>графік!J59</f>
        <v/>
      </c>
      <c r="M64" s="69">
        <f>графік!K59</f>
        <v>0</v>
      </c>
      <c r="N64" s="67" t="str">
        <f>графік!L59</f>
        <v/>
      </c>
      <c r="O64" s="74" t="str">
        <f>графік!P59</f>
        <v/>
      </c>
      <c r="P64" s="230" t="str">
        <f>графік!Q59</f>
        <v/>
      </c>
    </row>
    <row r="65" spans="1:16" x14ac:dyDescent="0.35">
      <c r="A65" s="63">
        <f>графік!A60</f>
        <v>36</v>
      </c>
      <c r="B65" s="68">
        <f ca="1">графік!C60</f>
        <v>45485</v>
      </c>
      <c r="C65" s="65">
        <f ca="1">графік!D60</f>
        <v>30</v>
      </c>
      <c r="D65" s="66">
        <f>графік!E60</f>
        <v>3399999.8833333361</v>
      </c>
      <c r="E65" s="67">
        <f ca="1">графік!H60</f>
        <v>55846.31</v>
      </c>
      <c r="F65" s="66">
        <f>графік!F60</f>
        <v>16666.669999999998</v>
      </c>
      <c r="G65" s="67">
        <f ca="1">графік!G60</f>
        <v>39179.64</v>
      </c>
      <c r="H65" s="67" t="str">
        <f>графік!M60</f>
        <v/>
      </c>
      <c r="I65" s="67"/>
      <c r="J65" s="69" t="str">
        <f>графік!N60</f>
        <v/>
      </c>
      <c r="K65" s="67" t="str">
        <f>графік!I60</f>
        <v/>
      </c>
      <c r="L65" s="67" t="str">
        <f>графік!J60</f>
        <v/>
      </c>
      <c r="M65" s="69">
        <f>графік!K60</f>
        <v>0</v>
      </c>
      <c r="N65" s="67" t="str">
        <f>графік!L60</f>
        <v/>
      </c>
      <c r="O65" s="74" t="str">
        <f>графік!P60</f>
        <v/>
      </c>
      <c r="P65" s="230" t="str">
        <f>графік!Q60</f>
        <v/>
      </c>
    </row>
    <row r="66" spans="1:16" x14ac:dyDescent="0.35">
      <c r="A66" s="63">
        <f>графік!A61</f>
        <v>37</v>
      </c>
      <c r="B66" s="68">
        <f ca="1">графік!C61</f>
        <v>45516</v>
      </c>
      <c r="C66" s="65">
        <f ca="1">графік!D61</f>
        <v>31</v>
      </c>
      <c r="D66" s="66">
        <f>графік!E61</f>
        <v>3383333.2133333362</v>
      </c>
      <c r="E66" s="67">
        <f ca="1">графік!H61</f>
        <v>56954.81</v>
      </c>
      <c r="F66" s="66">
        <f>графік!F61</f>
        <v>16666.669999999998</v>
      </c>
      <c r="G66" s="67">
        <f ca="1">графік!G61</f>
        <v>40288.14</v>
      </c>
      <c r="H66" s="67" t="str">
        <f>графік!M61</f>
        <v/>
      </c>
      <c r="I66" s="67"/>
      <c r="J66" s="69" t="str">
        <f>графік!N61</f>
        <v/>
      </c>
      <c r="K66" s="67" t="str">
        <f>графік!I61</f>
        <v/>
      </c>
      <c r="L66" s="67" t="str">
        <f>графік!J61</f>
        <v/>
      </c>
      <c r="M66" s="67">
        <f>графік!K61</f>
        <v>17100</v>
      </c>
      <c r="N66" s="67" t="str">
        <f>графік!L61</f>
        <v/>
      </c>
      <c r="O66" s="74" t="str">
        <f>графік!P61</f>
        <v/>
      </c>
      <c r="P66" s="230" t="str">
        <f>графік!Q61</f>
        <v/>
      </c>
    </row>
    <row r="67" spans="1:16" x14ac:dyDescent="0.35">
      <c r="A67" s="63">
        <f>графік!A62</f>
        <v>38</v>
      </c>
      <c r="B67" s="68">
        <f ca="1">графік!C62</f>
        <v>45547</v>
      </c>
      <c r="C67" s="65">
        <f ca="1">графік!D62</f>
        <v>31</v>
      </c>
      <c r="D67" s="66">
        <f>графік!E62</f>
        <v>3366666.5433333362</v>
      </c>
      <c r="E67" s="67">
        <f ca="1">графік!H62</f>
        <v>56757.32</v>
      </c>
      <c r="F67" s="66">
        <f>графік!F62</f>
        <v>16666.669999999998</v>
      </c>
      <c r="G67" s="67">
        <f ca="1">графік!G62</f>
        <v>40090.65</v>
      </c>
      <c r="H67" s="67" t="str">
        <f>графік!M62</f>
        <v/>
      </c>
      <c r="I67" s="67"/>
      <c r="J67" s="69" t="str">
        <f>графік!N62</f>
        <v/>
      </c>
      <c r="K67" s="67" t="str">
        <f>графік!I62</f>
        <v/>
      </c>
      <c r="L67" s="67" t="str">
        <f>графік!J62</f>
        <v/>
      </c>
      <c r="M67" s="69">
        <f>графік!K62</f>
        <v>0</v>
      </c>
      <c r="N67" s="67" t="str">
        <f>графік!L62</f>
        <v/>
      </c>
      <c r="O67" s="74" t="str">
        <f>графік!P62</f>
        <v/>
      </c>
      <c r="P67" s="230" t="str">
        <f>графік!Q62</f>
        <v/>
      </c>
    </row>
    <row r="68" spans="1:16" x14ac:dyDescent="0.35">
      <c r="A68" s="63">
        <f>графік!A63</f>
        <v>39</v>
      </c>
      <c r="B68" s="68">
        <f ca="1">графік!C63</f>
        <v>45577</v>
      </c>
      <c r="C68" s="65">
        <f ca="1">графік!D63</f>
        <v>30</v>
      </c>
      <c r="D68" s="66">
        <f>графік!E63</f>
        <v>3349999.8733333363</v>
      </c>
      <c r="E68" s="67">
        <f ca="1">графік!H63</f>
        <v>55272.95</v>
      </c>
      <c r="F68" s="66">
        <f>графік!F63</f>
        <v>16666.669999999998</v>
      </c>
      <c r="G68" s="67">
        <f ca="1">графік!G63</f>
        <v>38606.28</v>
      </c>
      <c r="H68" s="67" t="str">
        <f>графік!M63</f>
        <v/>
      </c>
      <c r="I68" s="67"/>
      <c r="J68" s="69" t="str">
        <f>графік!N63</f>
        <v/>
      </c>
      <c r="K68" s="67" t="str">
        <f>графік!I63</f>
        <v/>
      </c>
      <c r="L68" s="67" t="str">
        <f>графік!J63</f>
        <v/>
      </c>
      <c r="M68" s="69">
        <f>графік!K63</f>
        <v>0</v>
      </c>
      <c r="N68" s="67" t="str">
        <f>графік!L63</f>
        <v/>
      </c>
      <c r="O68" s="74" t="str">
        <f>графік!P63</f>
        <v/>
      </c>
      <c r="P68" s="230" t="str">
        <f>графік!Q63</f>
        <v/>
      </c>
    </row>
    <row r="69" spans="1:16" x14ac:dyDescent="0.35">
      <c r="A69" s="63">
        <f>графік!A64</f>
        <v>40</v>
      </c>
      <c r="B69" s="68">
        <f ca="1">графік!C64</f>
        <v>45608</v>
      </c>
      <c r="C69" s="65">
        <f ca="1">графік!D64</f>
        <v>31</v>
      </c>
      <c r="D69" s="66">
        <f>графік!E64</f>
        <v>3333333.2033333364</v>
      </c>
      <c r="E69" s="67">
        <f ca="1">графік!H64</f>
        <v>56362.34</v>
      </c>
      <c r="F69" s="66">
        <f>графік!F64</f>
        <v>16666.669999999998</v>
      </c>
      <c r="G69" s="67">
        <f ca="1">графік!G64</f>
        <v>39695.67</v>
      </c>
      <c r="H69" s="67" t="str">
        <f>графік!M64</f>
        <v/>
      </c>
      <c r="I69" s="67"/>
      <c r="J69" s="69" t="str">
        <f>графік!N64</f>
        <v/>
      </c>
      <c r="K69" s="67" t="str">
        <f>графік!I64</f>
        <v/>
      </c>
      <c r="L69" s="67" t="str">
        <f>графік!J64</f>
        <v/>
      </c>
      <c r="M69" s="69">
        <f>графік!K64</f>
        <v>0</v>
      </c>
      <c r="N69" s="67" t="str">
        <f>графік!L64</f>
        <v/>
      </c>
      <c r="O69" s="74" t="str">
        <f>графік!P64</f>
        <v/>
      </c>
      <c r="P69" s="230" t="str">
        <f>графік!Q64</f>
        <v/>
      </c>
    </row>
    <row r="70" spans="1:16" x14ac:dyDescent="0.35">
      <c r="A70" s="63">
        <f>графік!A65</f>
        <v>41</v>
      </c>
      <c r="B70" s="68">
        <f ca="1">графік!C65</f>
        <v>45638</v>
      </c>
      <c r="C70" s="65">
        <f ca="1">графік!D65</f>
        <v>30</v>
      </c>
      <c r="D70" s="66">
        <f>графік!E65</f>
        <v>3316666.5333333365</v>
      </c>
      <c r="E70" s="67">
        <f ca="1">графік!H65</f>
        <v>54890.71</v>
      </c>
      <c r="F70" s="66">
        <f>графік!F65</f>
        <v>16666.669999999998</v>
      </c>
      <c r="G70" s="67">
        <f ca="1">графік!G65</f>
        <v>38224.04</v>
      </c>
      <c r="H70" s="67" t="str">
        <f>графік!M65</f>
        <v/>
      </c>
      <c r="I70" s="67"/>
      <c r="J70" s="69" t="str">
        <f>графік!N65</f>
        <v/>
      </c>
      <c r="K70" s="67" t="str">
        <f>графік!I65</f>
        <v/>
      </c>
      <c r="L70" s="67" t="str">
        <f>графік!J65</f>
        <v/>
      </c>
      <c r="M70" s="69">
        <f>графік!K65</f>
        <v>0</v>
      </c>
      <c r="N70" s="67" t="str">
        <f>графік!L65</f>
        <v/>
      </c>
      <c r="O70" s="74" t="str">
        <f>графік!P65</f>
        <v/>
      </c>
      <c r="P70" s="230" t="str">
        <f>графік!Q65</f>
        <v/>
      </c>
    </row>
    <row r="71" spans="1:16" x14ac:dyDescent="0.35">
      <c r="A71" s="63">
        <f>графік!A66</f>
        <v>42</v>
      </c>
      <c r="B71" s="68">
        <f ca="1">графік!C66</f>
        <v>45669</v>
      </c>
      <c r="C71" s="65">
        <f ca="1">графік!D66</f>
        <v>31</v>
      </c>
      <c r="D71" s="66">
        <f>графік!E66</f>
        <v>3299999.8633333365</v>
      </c>
      <c r="E71" s="67">
        <f ca="1">графік!H66</f>
        <v>56005.56</v>
      </c>
      <c r="F71" s="66">
        <f>графік!F66</f>
        <v>16666.669999999998</v>
      </c>
      <c r="G71" s="67">
        <f ca="1">графік!G66</f>
        <v>39338.89</v>
      </c>
      <c r="H71" s="67" t="str">
        <f>графік!M66</f>
        <v/>
      </c>
      <c r="I71" s="67"/>
      <c r="J71" s="69" t="str">
        <f>графік!N66</f>
        <v/>
      </c>
      <c r="K71" s="67" t="str">
        <f>графік!I66</f>
        <v/>
      </c>
      <c r="L71" s="67" t="str">
        <f>графік!J66</f>
        <v/>
      </c>
      <c r="M71" s="69">
        <f>графік!K66</f>
        <v>0</v>
      </c>
      <c r="N71" s="67" t="str">
        <f>графік!L66</f>
        <v/>
      </c>
      <c r="O71" s="74" t="str">
        <f>графік!P66</f>
        <v/>
      </c>
      <c r="P71" s="230" t="str">
        <f>графік!Q66</f>
        <v/>
      </c>
    </row>
    <row r="72" spans="1:16" x14ac:dyDescent="0.35">
      <c r="A72" s="63">
        <f>графік!A67</f>
        <v>43</v>
      </c>
      <c r="B72" s="68">
        <f ca="1">графік!C67</f>
        <v>45700</v>
      </c>
      <c r="C72" s="65">
        <f ca="1">графік!D67</f>
        <v>31</v>
      </c>
      <c r="D72" s="66">
        <f>графік!E67</f>
        <v>3283333.1933333366</v>
      </c>
      <c r="E72" s="67">
        <f ca="1">графік!H67</f>
        <v>55877</v>
      </c>
      <c r="F72" s="66">
        <f>графік!F67</f>
        <v>16666.669999999998</v>
      </c>
      <c r="G72" s="67">
        <f ca="1">графік!G67</f>
        <v>39210.33</v>
      </c>
      <c r="H72" s="67" t="str">
        <f>графік!M67</f>
        <v/>
      </c>
      <c r="I72" s="67"/>
      <c r="J72" s="69" t="str">
        <f>графік!N67</f>
        <v/>
      </c>
      <c r="K72" s="67" t="str">
        <f>графік!I67</f>
        <v/>
      </c>
      <c r="L72" s="67" t="str">
        <f>графік!J67</f>
        <v/>
      </c>
      <c r="M72" s="69">
        <f>графік!K67</f>
        <v>0</v>
      </c>
      <c r="N72" s="67" t="str">
        <f>графік!L67</f>
        <v/>
      </c>
      <c r="O72" s="74" t="str">
        <f>графік!P67</f>
        <v/>
      </c>
      <c r="P72" s="230" t="str">
        <f>графік!Q67</f>
        <v/>
      </c>
    </row>
    <row r="73" spans="1:16" x14ac:dyDescent="0.35">
      <c r="A73" s="63">
        <f>графік!A68</f>
        <v>44</v>
      </c>
      <c r="B73" s="68">
        <f ca="1">графік!C68</f>
        <v>45728</v>
      </c>
      <c r="C73" s="65">
        <f ca="1">графік!D68</f>
        <v>28</v>
      </c>
      <c r="D73" s="66">
        <f>графік!E68</f>
        <v>3266666.5233333367</v>
      </c>
      <c r="E73" s="67">
        <f ca="1">графік!H68</f>
        <v>51903.58</v>
      </c>
      <c r="F73" s="66">
        <f>графік!F68</f>
        <v>16666.669999999998</v>
      </c>
      <c r="G73" s="67">
        <f ca="1">графік!G68</f>
        <v>35236.910000000003</v>
      </c>
      <c r="H73" s="67" t="str">
        <f>графік!M68</f>
        <v/>
      </c>
      <c r="I73" s="67"/>
      <c r="J73" s="69" t="str">
        <f>графік!N68</f>
        <v/>
      </c>
      <c r="K73" s="67" t="str">
        <f>графік!I68</f>
        <v/>
      </c>
      <c r="L73" s="67" t="str">
        <f>графік!J68</f>
        <v/>
      </c>
      <c r="M73" s="69">
        <f>графік!K68</f>
        <v>0</v>
      </c>
      <c r="N73" s="67" t="str">
        <f>графік!L68</f>
        <v/>
      </c>
      <c r="O73" s="74" t="str">
        <f>графік!P68</f>
        <v/>
      </c>
      <c r="P73" s="230" t="str">
        <f>графік!Q68</f>
        <v/>
      </c>
    </row>
    <row r="74" spans="1:16" x14ac:dyDescent="0.35">
      <c r="A74" s="63">
        <f>графік!A69</f>
        <v>45</v>
      </c>
      <c r="B74" s="68">
        <f ca="1">графік!C69</f>
        <v>45759</v>
      </c>
      <c r="C74" s="65">
        <f ca="1">графік!D69</f>
        <v>31</v>
      </c>
      <c r="D74" s="66">
        <f>графік!E69</f>
        <v>3249999.8533333368</v>
      </c>
      <c r="E74" s="67">
        <f ca="1">графік!H69</f>
        <v>55480.93</v>
      </c>
      <c r="F74" s="66">
        <f>графік!F69</f>
        <v>16666.669999999998</v>
      </c>
      <c r="G74" s="67">
        <f ca="1">графік!G69</f>
        <v>38814.26</v>
      </c>
      <c r="H74" s="67" t="str">
        <f>графік!M69</f>
        <v/>
      </c>
      <c r="I74" s="67"/>
      <c r="J74" s="69" t="str">
        <f>графік!N69</f>
        <v/>
      </c>
      <c r="K74" s="67" t="str">
        <f>графік!I69</f>
        <v/>
      </c>
      <c r="L74" s="67" t="str">
        <f>графік!J69</f>
        <v/>
      </c>
      <c r="M74" s="69">
        <f>графік!K69</f>
        <v>0</v>
      </c>
      <c r="N74" s="67" t="str">
        <f>графік!L69</f>
        <v/>
      </c>
      <c r="O74" s="74" t="str">
        <f>графік!P69</f>
        <v/>
      </c>
      <c r="P74" s="230" t="str">
        <f>графік!Q69</f>
        <v/>
      </c>
    </row>
    <row r="75" spans="1:16" x14ac:dyDescent="0.35">
      <c r="A75" s="63">
        <f>графік!A70</f>
        <v>46</v>
      </c>
      <c r="B75" s="68">
        <f ca="1">графік!C70</f>
        <v>45789</v>
      </c>
      <c r="C75" s="65">
        <f ca="1">графік!D70</f>
        <v>30</v>
      </c>
      <c r="D75" s="66">
        <f>графік!E70</f>
        <v>3233333.1833333368</v>
      </c>
      <c r="E75" s="67">
        <f ca="1">графік!H70</f>
        <v>54037.22</v>
      </c>
      <c r="F75" s="66">
        <f>графік!F70</f>
        <v>16666.669999999998</v>
      </c>
      <c r="G75" s="67">
        <f ca="1">графік!G70</f>
        <v>37370.550000000003</v>
      </c>
      <c r="H75" s="67" t="str">
        <f>графік!M70</f>
        <v/>
      </c>
      <c r="I75" s="67"/>
      <c r="J75" s="69" t="str">
        <f>графік!N70</f>
        <v/>
      </c>
      <c r="K75" s="67" t="str">
        <f>графік!I70</f>
        <v/>
      </c>
      <c r="L75" s="67" t="str">
        <f>графік!J70</f>
        <v/>
      </c>
      <c r="M75" s="69">
        <f>графік!K70</f>
        <v>0</v>
      </c>
      <c r="N75" s="67" t="str">
        <f>графік!L70</f>
        <v/>
      </c>
      <c r="O75" s="74" t="str">
        <f>графік!P70</f>
        <v/>
      </c>
      <c r="P75" s="230" t="str">
        <f>графік!Q70</f>
        <v/>
      </c>
    </row>
    <row r="76" spans="1:16" x14ac:dyDescent="0.35">
      <c r="A76" s="63">
        <f>графік!A71</f>
        <v>47</v>
      </c>
      <c r="B76" s="68">
        <f ca="1">графік!C71</f>
        <v>45820</v>
      </c>
      <c r="C76" s="65">
        <f ca="1">графік!D71</f>
        <v>31</v>
      </c>
      <c r="D76" s="66">
        <f>графік!E71</f>
        <v>3216666.5133333369</v>
      </c>
      <c r="E76" s="67">
        <f ca="1">графік!H71</f>
        <v>55084.869999999995</v>
      </c>
      <c r="F76" s="66">
        <f>графік!F71</f>
        <v>16666.669999999998</v>
      </c>
      <c r="G76" s="67">
        <f ca="1">графік!G71</f>
        <v>38418.199999999997</v>
      </c>
      <c r="H76" s="67" t="str">
        <f>графік!M71</f>
        <v/>
      </c>
      <c r="I76" s="67"/>
      <c r="J76" s="69" t="str">
        <f>графік!N71</f>
        <v/>
      </c>
      <c r="K76" s="67" t="str">
        <f>графік!I71</f>
        <v/>
      </c>
      <c r="L76" s="67" t="str">
        <f>графік!J71</f>
        <v/>
      </c>
      <c r="M76" s="69">
        <f>графік!K71</f>
        <v>0</v>
      </c>
      <c r="N76" s="67" t="str">
        <f>графік!L71</f>
        <v/>
      </c>
      <c r="O76" s="74" t="str">
        <f>графік!P71</f>
        <v/>
      </c>
      <c r="P76" s="230" t="str">
        <f>графік!Q71</f>
        <v/>
      </c>
    </row>
    <row r="77" spans="1:16" x14ac:dyDescent="0.35">
      <c r="A77" s="63">
        <f>графік!A72</f>
        <v>48</v>
      </c>
      <c r="B77" s="68">
        <f ca="1">графік!C72</f>
        <v>45850</v>
      </c>
      <c r="C77" s="65">
        <f ca="1">графік!D72</f>
        <v>30</v>
      </c>
      <c r="D77" s="66">
        <f>графік!E72</f>
        <v>3199999.843333337</v>
      </c>
      <c r="E77" s="67">
        <f ca="1">графік!H72</f>
        <v>53653.93</v>
      </c>
      <c r="F77" s="66">
        <f>графік!F72</f>
        <v>16666.669999999998</v>
      </c>
      <c r="G77" s="67">
        <f ca="1">графік!G72</f>
        <v>36987.26</v>
      </c>
      <c r="H77" s="67" t="str">
        <f>графік!M72</f>
        <v/>
      </c>
      <c r="I77" s="67"/>
      <c r="J77" s="69" t="str">
        <f>графік!N72</f>
        <v/>
      </c>
      <c r="K77" s="67" t="str">
        <f>графік!I72</f>
        <v/>
      </c>
      <c r="L77" s="67" t="str">
        <f>графік!J72</f>
        <v/>
      </c>
      <c r="M77" s="69">
        <f>графік!K72</f>
        <v>0</v>
      </c>
      <c r="N77" s="67" t="str">
        <f>графік!L72</f>
        <v/>
      </c>
      <c r="O77" s="74" t="str">
        <f>графік!P72</f>
        <v/>
      </c>
      <c r="P77" s="230" t="str">
        <f>графік!Q72</f>
        <v/>
      </c>
    </row>
    <row r="78" spans="1:16" x14ac:dyDescent="0.35">
      <c r="A78" s="63">
        <f>графік!A73</f>
        <v>49</v>
      </c>
      <c r="B78" s="68">
        <f ca="1">графік!C73</f>
        <v>45881</v>
      </c>
      <c r="C78" s="65">
        <f ca="1">графік!D73</f>
        <v>31</v>
      </c>
      <c r="D78" s="66">
        <f>графік!E73</f>
        <v>3183333.1733333371</v>
      </c>
      <c r="E78" s="67">
        <f ca="1">графік!H73</f>
        <v>54688.81</v>
      </c>
      <c r="F78" s="66">
        <f>графік!F73</f>
        <v>16666.669999999998</v>
      </c>
      <c r="G78" s="67">
        <f ca="1">графік!G73</f>
        <v>38022.14</v>
      </c>
      <c r="H78" s="67" t="str">
        <f>графік!M73</f>
        <v/>
      </c>
      <c r="I78" s="67"/>
      <c r="J78" s="69" t="str">
        <f>графік!N73</f>
        <v/>
      </c>
      <c r="K78" s="67" t="str">
        <f>графік!I73</f>
        <v/>
      </c>
      <c r="L78" s="67" t="str">
        <f>графік!J73</f>
        <v/>
      </c>
      <c r="M78" s="67">
        <f>графік!K73</f>
        <v>17100</v>
      </c>
      <c r="N78" s="67" t="str">
        <f>графік!L73</f>
        <v/>
      </c>
      <c r="O78" s="74" t="str">
        <f>графік!P73</f>
        <v/>
      </c>
      <c r="P78" s="230" t="str">
        <f>графік!Q73</f>
        <v/>
      </c>
    </row>
    <row r="79" spans="1:16" x14ac:dyDescent="0.35">
      <c r="A79" s="63">
        <f>графік!A74</f>
        <v>50</v>
      </c>
      <c r="B79" s="68">
        <f ca="1">графік!C74</f>
        <v>45912</v>
      </c>
      <c r="C79" s="65">
        <f ca="1">графік!D74</f>
        <v>31</v>
      </c>
      <c r="D79" s="66">
        <f>графік!E74</f>
        <v>3166666.5033333371</v>
      </c>
      <c r="E79" s="67">
        <f ca="1">графік!H74</f>
        <v>54490.77</v>
      </c>
      <c r="F79" s="66">
        <f>графік!F74</f>
        <v>16666.669999999998</v>
      </c>
      <c r="G79" s="67">
        <f ca="1">графік!G74</f>
        <v>37824.1</v>
      </c>
      <c r="H79" s="67" t="str">
        <f>графік!M74</f>
        <v/>
      </c>
      <c r="I79" s="67"/>
      <c r="J79" s="69" t="str">
        <f>графік!N74</f>
        <v/>
      </c>
      <c r="K79" s="67" t="str">
        <f>графік!I74</f>
        <v/>
      </c>
      <c r="L79" s="67" t="str">
        <f>графік!J74</f>
        <v/>
      </c>
      <c r="M79" s="69">
        <f>графік!K74</f>
        <v>0</v>
      </c>
      <c r="N79" s="67" t="str">
        <f>графік!L74</f>
        <v/>
      </c>
      <c r="O79" s="74" t="str">
        <f>графік!P74</f>
        <v/>
      </c>
      <c r="P79" s="230" t="str">
        <f>графік!Q74</f>
        <v/>
      </c>
    </row>
    <row r="80" spans="1:16" x14ac:dyDescent="0.35">
      <c r="A80" s="63">
        <f>графік!A75</f>
        <v>51</v>
      </c>
      <c r="B80" s="68">
        <f ca="1">графік!C75</f>
        <v>45942</v>
      </c>
      <c r="C80" s="65">
        <f ca="1">графік!D75</f>
        <v>30</v>
      </c>
      <c r="D80" s="66">
        <f>графік!E75</f>
        <v>3149999.8333333372</v>
      </c>
      <c r="E80" s="67">
        <f ca="1">графік!H75</f>
        <v>53079</v>
      </c>
      <c r="F80" s="66">
        <f>графік!F75</f>
        <v>16666.669999999998</v>
      </c>
      <c r="G80" s="67">
        <f ca="1">графік!G75</f>
        <v>36412.33</v>
      </c>
      <c r="H80" s="67" t="str">
        <f>графік!M75</f>
        <v/>
      </c>
      <c r="I80" s="67"/>
      <c r="J80" s="69" t="str">
        <f>графік!N75</f>
        <v/>
      </c>
      <c r="K80" s="67" t="str">
        <f>графік!I75</f>
        <v/>
      </c>
      <c r="L80" s="67" t="str">
        <f>графік!J75</f>
        <v/>
      </c>
      <c r="M80" s="69">
        <f>графік!K75</f>
        <v>0</v>
      </c>
      <c r="N80" s="67" t="str">
        <f>графік!L75</f>
        <v/>
      </c>
      <c r="O80" s="74" t="str">
        <f>графік!P75</f>
        <v/>
      </c>
      <c r="P80" s="230" t="str">
        <f>графік!Q75</f>
        <v/>
      </c>
    </row>
    <row r="81" spans="1:16" x14ac:dyDescent="0.35">
      <c r="A81" s="63">
        <f>графік!A76</f>
        <v>52</v>
      </c>
      <c r="B81" s="68">
        <f ca="1">графік!C76</f>
        <v>45973</v>
      </c>
      <c r="C81" s="65">
        <f ca="1">графік!D76</f>
        <v>31</v>
      </c>
      <c r="D81" s="66">
        <f>графік!E76</f>
        <v>3133333.1633333373</v>
      </c>
      <c r="E81" s="67">
        <f ca="1">графік!H76</f>
        <v>54094.71</v>
      </c>
      <c r="F81" s="66">
        <f>графік!F76</f>
        <v>16666.669999999998</v>
      </c>
      <c r="G81" s="67">
        <f ca="1">графік!G76</f>
        <v>37428.04</v>
      </c>
      <c r="H81" s="67" t="str">
        <f>графік!M76</f>
        <v/>
      </c>
      <c r="I81" s="67"/>
      <c r="J81" s="69" t="str">
        <f>графік!N76</f>
        <v/>
      </c>
      <c r="K81" s="67" t="str">
        <f>графік!I76</f>
        <v/>
      </c>
      <c r="L81" s="67" t="str">
        <f>графік!J76</f>
        <v/>
      </c>
      <c r="M81" s="69">
        <f>графік!K76</f>
        <v>0</v>
      </c>
      <c r="N81" s="67" t="str">
        <f>графік!L76</f>
        <v/>
      </c>
      <c r="O81" s="74" t="str">
        <f>графік!P76</f>
        <v/>
      </c>
      <c r="P81" s="230" t="str">
        <f>графік!Q76</f>
        <v/>
      </c>
    </row>
    <row r="82" spans="1:16" x14ac:dyDescent="0.35">
      <c r="A82" s="63">
        <f>графік!A77</f>
        <v>53</v>
      </c>
      <c r="B82" s="68">
        <f ca="1">графік!C77</f>
        <v>46003</v>
      </c>
      <c r="C82" s="65">
        <f ca="1">графік!D77</f>
        <v>30</v>
      </c>
      <c r="D82" s="66">
        <f>графік!E77</f>
        <v>3116666.4933333374</v>
      </c>
      <c r="E82" s="67">
        <f ca="1">графік!H77</f>
        <v>52695.71</v>
      </c>
      <c r="F82" s="66">
        <f>графік!F77</f>
        <v>16666.669999999998</v>
      </c>
      <c r="G82" s="67">
        <f ca="1">графік!G77</f>
        <v>36029.040000000001</v>
      </c>
      <c r="H82" s="67" t="str">
        <f>графік!M77</f>
        <v/>
      </c>
      <c r="I82" s="67"/>
      <c r="J82" s="69" t="str">
        <f>графік!N77</f>
        <v/>
      </c>
      <c r="K82" s="67" t="str">
        <f>графік!I77</f>
        <v/>
      </c>
      <c r="L82" s="67" t="str">
        <f>графік!J77</f>
        <v/>
      </c>
      <c r="M82" s="69">
        <f>графік!K77</f>
        <v>0</v>
      </c>
      <c r="N82" s="67" t="str">
        <f>графік!L77</f>
        <v/>
      </c>
      <c r="O82" s="74" t="str">
        <f>графік!P77</f>
        <v/>
      </c>
      <c r="P82" s="230" t="str">
        <f>графік!Q77</f>
        <v/>
      </c>
    </row>
    <row r="83" spans="1:16" x14ac:dyDescent="0.35">
      <c r="A83" s="63">
        <f>графік!A78</f>
        <v>54</v>
      </c>
      <c r="B83" s="68">
        <f ca="1">графік!C78</f>
        <v>46034</v>
      </c>
      <c r="C83" s="65">
        <f ca="1">графік!D78</f>
        <v>31</v>
      </c>
      <c r="D83" s="66">
        <f>графік!E78</f>
        <v>3099999.8233333374</v>
      </c>
      <c r="E83" s="67">
        <f ca="1">графік!H78</f>
        <v>53698.65</v>
      </c>
      <c r="F83" s="66">
        <f>графік!F78</f>
        <v>16666.669999999998</v>
      </c>
      <c r="G83" s="67">
        <f ca="1">графік!G78</f>
        <v>37031.980000000003</v>
      </c>
      <c r="H83" s="67" t="str">
        <f>графік!M78</f>
        <v/>
      </c>
      <c r="I83" s="67"/>
      <c r="J83" s="69" t="str">
        <f>графік!N78</f>
        <v/>
      </c>
      <c r="K83" s="67" t="str">
        <f>графік!I78</f>
        <v/>
      </c>
      <c r="L83" s="67" t="str">
        <f>графік!J78</f>
        <v/>
      </c>
      <c r="M83" s="69">
        <f>графік!K78</f>
        <v>0</v>
      </c>
      <c r="N83" s="67" t="str">
        <f>графік!L78</f>
        <v/>
      </c>
      <c r="O83" s="74" t="str">
        <f>графік!P78</f>
        <v/>
      </c>
      <c r="P83" s="230" t="str">
        <f>графік!Q78</f>
        <v/>
      </c>
    </row>
    <row r="84" spans="1:16" x14ac:dyDescent="0.35">
      <c r="A84" s="63">
        <f>графік!A79</f>
        <v>55</v>
      </c>
      <c r="B84" s="68">
        <f ca="1">графік!C79</f>
        <v>46065</v>
      </c>
      <c r="C84" s="65">
        <f ca="1">графік!D79</f>
        <v>31</v>
      </c>
      <c r="D84" s="66">
        <f>графік!E79</f>
        <v>3083333.1533333375</v>
      </c>
      <c r="E84" s="67">
        <f ca="1">графік!H79</f>
        <v>53500.61</v>
      </c>
      <c r="F84" s="66">
        <f>графік!F79</f>
        <v>16666.669999999998</v>
      </c>
      <c r="G84" s="67">
        <f ca="1">графік!G79</f>
        <v>36833.94</v>
      </c>
      <c r="H84" s="67" t="str">
        <f>графік!M79</f>
        <v/>
      </c>
      <c r="I84" s="67"/>
      <c r="J84" s="69" t="str">
        <f>графік!N79</f>
        <v/>
      </c>
      <c r="K84" s="67" t="str">
        <f>графік!I79</f>
        <v/>
      </c>
      <c r="L84" s="67" t="str">
        <f>графік!J79</f>
        <v/>
      </c>
      <c r="M84" s="69">
        <f>графік!K79</f>
        <v>0</v>
      </c>
      <c r="N84" s="67" t="str">
        <f>графік!L79</f>
        <v/>
      </c>
      <c r="O84" s="74" t="str">
        <f>графік!P79</f>
        <v/>
      </c>
      <c r="P84" s="230" t="str">
        <f>графік!Q79</f>
        <v/>
      </c>
    </row>
    <row r="85" spans="1:16" x14ac:dyDescent="0.35">
      <c r="A85" s="63">
        <f>графік!A80</f>
        <v>56</v>
      </c>
      <c r="B85" s="68">
        <f ca="1">графік!C80</f>
        <v>46093</v>
      </c>
      <c r="C85" s="65">
        <f ca="1">графік!D80</f>
        <v>28</v>
      </c>
      <c r="D85" s="66">
        <f>графік!E80</f>
        <v>3066666.4833333376</v>
      </c>
      <c r="E85" s="67">
        <f ca="1">графік!H80</f>
        <v>49757.17</v>
      </c>
      <c r="F85" s="66">
        <f>графік!F80</f>
        <v>16666.669999999998</v>
      </c>
      <c r="G85" s="67">
        <f ca="1">графік!G80</f>
        <v>33090.5</v>
      </c>
      <c r="H85" s="67" t="str">
        <f>графік!M80</f>
        <v/>
      </c>
      <c r="I85" s="67"/>
      <c r="J85" s="69" t="str">
        <f>графік!N80</f>
        <v/>
      </c>
      <c r="K85" s="67" t="str">
        <f>графік!I80</f>
        <v/>
      </c>
      <c r="L85" s="67" t="str">
        <f>графік!J80</f>
        <v/>
      </c>
      <c r="M85" s="69">
        <f>графік!K80</f>
        <v>0</v>
      </c>
      <c r="N85" s="67" t="str">
        <f>графік!L80</f>
        <v/>
      </c>
      <c r="O85" s="74" t="str">
        <f>графік!P80</f>
        <v/>
      </c>
      <c r="P85" s="230" t="str">
        <f>графік!Q80</f>
        <v/>
      </c>
    </row>
    <row r="86" spans="1:16" x14ac:dyDescent="0.35">
      <c r="A86" s="63">
        <f>графік!A81</f>
        <v>57</v>
      </c>
      <c r="B86" s="68">
        <f ca="1">графік!C81</f>
        <v>46124</v>
      </c>
      <c r="C86" s="65">
        <f ca="1">графік!D81</f>
        <v>31</v>
      </c>
      <c r="D86" s="66">
        <f>графік!E81</f>
        <v>3049999.8133333377</v>
      </c>
      <c r="E86" s="67">
        <f ca="1">графік!H81</f>
        <v>53104.549999999996</v>
      </c>
      <c r="F86" s="66">
        <f>графік!F81</f>
        <v>16666.669999999998</v>
      </c>
      <c r="G86" s="67">
        <f ca="1">графік!G81</f>
        <v>36437.879999999997</v>
      </c>
      <c r="H86" s="67" t="str">
        <f>графік!M81</f>
        <v/>
      </c>
      <c r="I86" s="67"/>
      <c r="J86" s="69" t="str">
        <f>графік!N81</f>
        <v/>
      </c>
      <c r="K86" s="67" t="str">
        <f>графік!I81</f>
        <v/>
      </c>
      <c r="L86" s="67" t="str">
        <f>графік!J81</f>
        <v/>
      </c>
      <c r="M86" s="69">
        <f>графік!K81</f>
        <v>0</v>
      </c>
      <c r="N86" s="67" t="str">
        <f>графік!L81</f>
        <v/>
      </c>
      <c r="O86" s="74" t="str">
        <f>графік!P81</f>
        <v/>
      </c>
      <c r="P86" s="230" t="str">
        <f>графік!Q81</f>
        <v/>
      </c>
    </row>
    <row r="87" spans="1:16" x14ac:dyDescent="0.35">
      <c r="A87" s="63">
        <f>графік!A82</f>
        <v>58</v>
      </c>
      <c r="B87" s="68">
        <f ca="1">графік!C82</f>
        <v>46154</v>
      </c>
      <c r="C87" s="65">
        <f ca="1">графік!D82</f>
        <v>30</v>
      </c>
      <c r="D87" s="66">
        <f>графік!E82</f>
        <v>3033333.1433333377</v>
      </c>
      <c r="E87" s="67">
        <f ca="1">графік!H82</f>
        <v>51737.49</v>
      </c>
      <c r="F87" s="66">
        <f>графік!F82</f>
        <v>16666.669999999998</v>
      </c>
      <c r="G87" s="67">
        <f ca="1">графік!G82</f>
        <v>35070.82</v>
      </c>
      <c r="H87" s="67" t="str">
        <f>графік!M82</f>
        <v/>
      </c>
      <c r="I87" s="67"/>
      <c r="J87" s="69" t="str">
        <f>графік!N82</f>
        <v/>
      </c>
      <c r="K87" s="67" t="str">
        <f>графік!I82</f>
        <v/>
      </c>
      <c r="L87" s="67" t="str">
        <f>графік!J82</f>
        <v/>
      </c>
      <c r="M87" s="69">
        <f>графік!K82</f>
        <v>0</v>
      </c>
      <c r="N87" s="67" t="str">
        <f>графік!L82</f>
        <v/>
      </c>
      <c r="O87" s="74" t="str">
        <f>графік!P82</f>
        <v/>
      </c>
      <c r="P87" s="230" t="str">
        <f>графік!Q82</f>
        <v/>
      </c>
    </row>
    <row r="88" spans="1:16" x14ac:dyDescent="0.35">
      <c r="A88" s="63">
        <f>графік!A83</f>
        <v>59</v>
      </c>
      <c r="B88" s="68">
        <f ca="1">графік!C83</f>
        <v>46185</v>
      </c>
      <c r="C88" s="65">
        <f ca="1">графік!D83</f>
        <v>31</v>
      </c>
      <c r="D88" s="66">
        <f>графік!E83</f>
        <v>3016666.4733333378</v>
      </c>
      <c r="E88" s="67">
        <f ca="1">графік!H83</f>
        <v>52708.49</v>
      </c>
      <c r="F88" s="66">
        <f>графік!F83</f>
        <v>16666.669999999998</v>
      </c>
      <c r="G88" s="67">
        <f ca="1">графік!G83</f>
        <v>36041.82</v>
      </c>
      <c r="H88" s="67" t="str">
        <f>графік!M83</f>
        <v/>
      </c>
      <c r="I88" s="67"/>
      <c r="J88" s="69" t="str">
        <f>графік!N83</f>
        <v/>
      </c>
      <c r="K88" s="67" t="str">
        <f>графік!I83</f>
        <v/>
      </c>
      <c r="L88" s="67" t="str">
        <f>графік!J83</f>
        <v/>
      </c>
      <c r="M88" s="69">
        <f>графік!K83</f>
        <v>0</v>
      </c>
      <c r="N88" s="67" t="str">
        <f>графік!L83</f>
        <v/>
      </c>
      <c r="O88" s="74" t="str">
        <f>графік!P83</f>
        <v/>
      </c>
      <c r="P88" s="230" t="str">
        <f>графік!Q83</f>
        <v/>
      </c>
    </row>
    <row r="89" spans="1:16" x14ac:dyDescent="0.35">
      <c r="A89" s="63">
        <f>графік!A84</f>
        <v>60</v>
      </c>
      <c r="B89" s="68">
        <f ca="1">графік!C84</f>
        <v>46215</v>
      </c>
      <c r="C89" s="65">
        <f ca="1">графік!D84</f>
        <v>30</v>
      </c>
      <c r="D89" s="66">
        <f>графік!E84</f>
        <v>2999999.8033333379</v>
      </c>
      <c r="E89" s="67">
        <f ca="1">графік!H84</f>
        <v>51354.2</v>
      </c>
      <c r="F89" s="66">
        <f>графік!F84</f>
        <v>16666.669999999998</v>
      </c>
      <c r="G89" s="67">
        <f ca="1">графік!G84</f>
        <v>34687.53</v>
      </c>
      <c r="H89" s="67" t="str">
        <f>графік!M84</f>
        <v/>
      </c>
      <c r="I89" s="67"/>
      <c r="J89" s="69" t="str">
        <f>графік!N84</f>
        <v/>
      </c>
      <c r="K89" s="67" t="str">
        <f>графік!I84</f>
        <v/>
      </c>
      <c r="L89" s="67" t="str">
        <f>графік!J84</f>
        <v/>
      </c>
      <c r="M89" s="69">
        <f>графік!K84</f>
        <v>0</v>
      </c>
      <c r="N89" s="67" t="str">
        <f>графік!L84</f>
        <v/>
      </c>
      <c r="O89" s="74" t="str">
        <f>графік!P84</f>
        <v/>
      </c>
      <c r="P89" s="230" t="str">
        <f>графік!Q84</f>
        <v/>
      </c>
    </row>
    <row r="90" spans="1:16" x14ac:dyDescent="0.35">
      <c r="A90" s="63">
        <f>графік!A85</f>
        <v>61</v>
      </c>
      <c r="B90" s="68">
        <f ca="1">графік!C85</f>
        <v>46246</v>
      </c>
      <c r="C90" s="65">
        <f ca="1">графік!D85</f>
        <v>31</v>
      </c>
      <c r="D90" s="66">
        <f>графік!E85</f>
        <v>2983333.133333338</v>
      </c>
      <c r="E90" s="67">
        <f ca="1">графік!H85</f>
        <v>45891.6</v>
      </c>
      <c r="F90" s="66">
        <f>графік!F85</f>
        <v>16666.669999999998</v>
      </c>
      <c r="G90" s="67">
        <f ca="1">графік!G85</f>
        <v>29224.93</v>
      </c>
      <c r="H90" s="67" t="str">
        <f>графік!M85</f>
        <v/>
      </c>
      <c r="I90" s="67"/>
      <c r="J90" s="69" t="str">
        <f>графік!N85</f>
        <v/>
      </c>
      <c r="K90" s="67" t="str">
        <f>графік!I85</f>
        <v/>
      </c>
      <c r="L90" s="67" t="str">
        <f>графік!J85</f>
        <v/>
      </c>
      <c r="M90" s="67">
        <f>графік!K85</f>
        <v>17100</v>
      </c>
      <c r="N90" s="67" t="str">
        <f>графік!L85</f>
        <v/>
      </c>
      <c r="O90" s="74" t="str">
        <f>графік!P85</f>
        <v/>
      </c>
      <c r="P90" s="230" t="str">
        <f>графік!Q85</f>
        <v/>
      </c>
    </row>
    <row r="91" spans="1:16" x14ac:dyDescent="0.35">
      <c r="A91" s="63">
        <f>графік!A86</f>
        <v>62</v>
      </c>
      <c r="B91" s="68">
        <f ca="1">графік!C86</f>
        <v>46277</v>
      </c>
      <c r="C91" s="65">
        <f ca="1">графік!D86</f>
        <v>31</v>
      </c>
      <c r="D91" s="66">
        <f>графік!E86</f>
        <v>2966666.463333338</v>
      </c>
      <c r="E91" s="67">
        <f ca="1">графік!H86</f>
        <v>45729.24</v>
      </c>
      <c r="F91" s="66">
        <f>графік!F86</f>
        <v>16666.669999999998</v>
      </c>
      <c r="G91" s="67">
        <f ca="1">графік!G86</f>
        <v>29062.57</v>
      </c>
      <c r="H91" s="67" t="str">
        <f>графік!M86</f>
        <v/>
      </c>
      <c r="I91" s="67"/>
      <c r="J91" s="69" t="str">
        <f>графік!N86</f>
        <v/>
      </c>
      <c r="K91" s="67" t="str">
        <f>графік!I86</f>
        <v/>
      </c>
      <c r="L91" s="67" t="str">
        <f>графік!J86</f>
        <v/>
      </c>
      <c r="M91" s="69">
        <f>графік!K86</f>
        <v>0</v>
      </c>
      <c r="N91" s="67" t="str">
        <f>графік!L86</f>
        <v/>
      </c>
      <c r="O91" s="74" t="str">
        <f>графік!P86</f>
        <v/>
      </c>
      <c r="P91" s="230" t="str">
        <f>графік!Q86</f>
        <v/>
      </c>
    </row>
    <row r="92" spans="1:16" x14ac:dyDescent="0.35">
      <c r="A92" s="63">
        <f>графік!A87</f>
        <v>63</v>
      </c>
      <c r="B92" s="68">
        <f ca="1">графік!C87</f>
        <v>46307</v>
      </c>
      <c r="C92" s="65">
        <f ca="1">графік!D87</f>
        <v>30</v>
      </c>
      <c r="D92" s="66">
        <f>графік!E87</f>
        <v>2949999.7933333381</v>
      </c>
      <c r="E92" s="67">
        <f ca="1">графік!H87</f>
        <v>44634.61</v>
      </c>
      <c r="F92" s="66">
        <f>графік!F87</f>
        <v>16666.669999999998</v>
      </c>
      <c r="G92" s="67">
        <f ca="1">графік!G87</f>
        <v>27967.94</v>
      </c>
      <c r="H92" s="67" t="str">
        <f>графік!M87</f>
        <v/>
      </c>
      <c r="I92" s="67"/>
      <c r="J92" s="69" t="str">
        <f>графік!N87</f>
        <v/>
      </c>
      <c r="K92" s="67" t="str">
        <f>графік!I87</f>
        <v/>
      </c>
      <c r="L92" s="67" t="str">
        <f>графік!J87</f>
        <v/>
      </c>
      <c r="M92" s="69">
        <f>графік!K87</f>
        <v>0</v>
      </c>
      <c r="N92" s="67" t="str">
        <f>графік!L87</f>
        <v/>
      </c>
      <c r="O92" s="74" t="str">
        <f>графік!P87</f>
        <v/>
      </c>
      <c r="P92" s="230" t="str">
        <f>графік!Q87</f>
        <v/>
      </c>
    </row>
    <row r="93" spans="1:16" x14ac:dyDescent="0.35">
      <c r="A93" s="63">
        <f>графік!A88</f>
        <v>64</v>
      </c>
      <c r="B93" s="68">
        <f ca="1">графік!C88</f>
        <v>46338</v>
      </c>
      <c r="C93" s="65">
        <f ca="1">графік!D88</f>
        <v>31</v>
      </c>
      <c r="D93" s="66">
        <f>графік!E88</f>
        <v>2933333.1233333382</v>
      </c>
      <c r="E93" s="67">
        <f ca="1">графік!H88</f>
        <v>45404.52</v>
      </c>
      <c r="F93" s="66">
        <f>графік!F88</f>
        <v>16666.669999999998</v>
      </c>
      <c r="G93" s="67">
        <f ca="1">графік!G88</f>
        <v>28737.85</v>
      </c>
      <c r="H93" s="67" t="str">
        <f>графік!M88</f>
        <v/>
      </c>
      <c r="I93" s="67"/>
      <c r="J93" s="69" t="str">
        <f>графік!N88</f>
        <v/>
      </c>
      <c r="K93" s="67" t="str">
        <f>графік!I88</f>
        <v/>
      </c>
      <c r="L93" s="67" t="str">
        <f>графік!J88</f>
        <v/>
      </c>
      <c r="M93" s="69">
        <f>графік!K88</f>
        <v>0</v>
      </c>
      <c r="N93" s="67" t="str">
        <f>графік!L88</f>
        <v/>
      </c>
      <c r="O93" s="74" t="str">
        <f>графік!P88</f>
        <v/>
      </c>
      <c r="P93" s="230" t="str">
        <f>графік!Q88</f>
        <v/>
      </c>
    </row>
    <row r="94" spans="1:16" x14ac:dyDescent="0.35">
      <c r="A94" s="63">
        <f>графік!A89</f>
        <v>65</v>
      </c>
      <c r="B94" s="68">
        <f ca="1">графік!C89</f>
        <v>46368</v>
      </c>
      <c r="C94" s="65">
        <f ca="1">графік!D89</f>
        <v>30</v>
      </c>
      <c r="D94" s="66">
        <f>графік!E89</f>
        <v>2916666.4533333383</v>
      </c>
      <c r="E94" s="67">
        <f ca="1">графік!H89</f>
        <v>44320.369999999995</v>
      </c>
      <c r="F94" s="66">
        <f>графік!F89</f>
        <v>16666.669999999998</v>
      </c>
      <c r="G94" s="67">
        <f ca="1">графік!G89</f>
        <v>27653.7</v>
      </c>
      <c r="H94" s="67" t="str">
        <f>графік!M89</f>
        <v/>
      </c>
      <c r="I94" s="67"/>
      <c r="J94" s="69" t="str">
        <f>графік!N89</f>
        <v/>
      </c>
      <c r="K94" s="67" t="str">
        <f>графік!I89</f>
        <v/>
      </c>
      <c r="L94" s="67" t="str">
        <f>графік!J89</f>
        <v/>
      </c>
      <c r="M94" s="69">
        <f>графік!K89</f>
        <v>0</v>
      </c>
      <c r="N94" s="67" t="str">
        <f>графік!L89</f>
        <v/>
      </c>
      <c r="O94" s="74" t="str">
        <f>графік!P89</f>
        <v/>
      </c>
      <c r="P94" s="230" t="str">
        <f>графік!Q89</f>
        <v/>
      </c>
    </row>
    <row r="95" spans="1:16" x14ac:dyDescent="0.35">
      <c r="A95" s="63">
        <f>графік!A90</f>
        <v>66</v>
      </c>
      <c r="B95" s="68">
        <f ca="1">графік!C90</f>
        <v>46399</v>
      </c>
      <c r="C95" s="65">
        <f ca="1">графік!D90</f>
        <v>31</v>
      </c>
      <c r="D95" s="66">
        <f>графік!E90</f>
        <v>2899999.7833333383</v>
      </c>
      <c r="E95" s="67">
        <f ca="1">графік!H90</f>
        <v>45079.8</v>
      </c>
      <c r="F95" s="66">
        <f>графік!F90</f>
        <v>16666.669999999998</v>
      </c>
      <c r="G95" s="67">
        <f ca="1">графік!G90</f>
        <v>28413.13</v>
      </c>
      <c r="H95" s="67" t="str">
        <f>графік!M90</f>
        <v/>
      </c>
      <c r="I95" s="67"/>
      <c r="J95" s="69" t="str">
        <f>графік!N90</f>
        <v/>
      </c>
      <c r="K95" s="67" t="str">
        <f>графік!I90</f>
        <v/>
      </c>
      <c r="L95" s="67" t="str">
        <f>графік!J90</f>
        <v/>
      </c>
      <c r="M95" s="69">
        <f>графік!K90</f>
        <v>0</v>
      </c>
      <c r="N95" s="67" t="str">
        <f>графік!L90</f>
        <v/>
      </c>
      <c r="O95" s="74" t="str">
        <f>графік!P90</f>
        <v/>
      </c>
      <c r="P95" s="230" t="str">
        <f>графік!Q90</f>
        <v/>
      </c>
    </row>
    <row r="96" spans="1:16" x14ac:dyDescent="0.35">
      <c r="A96" s="63">
        <f>графік!A91</f>
        <v>67</v>
      </c>
      <c r="B96" s="68">
        <f ca="1">графік!C91</f>
        <v>46430</v>
      </c>
      <c r="C96" s="65">
        <f ca="1">графік!D91</f>
        <v>31</v>
      </c>
      <c r="D96" s="66">
        <f>графік!E91</f>
        <v>2883333.1133333384</v>
      </c>
      <c r="E96" s="67">
        <f ca="1">графік!H91</f>
        <v>44917.440000000002</v>
      </c>
      <c r="F96" s="66">
        <f>графік!F91</f>
        <v>16666.669999999998</v>
      </c>
      <c r="G96" s="67">
        <f ca="1">графік!G91</f>
        <v>28250.77</v>
      </c>
      <c r="H96" s="67" t="str">
        <f>графік!M91</f>
        <v/>
      </c>
      <c r="I96" s="67"/>
      <c r="J96" s="69" t="str">
        <f>графік!N91</f>
        <v/>
      </c>
      <c r="K96" s="67" t="str">
        <f>графік!I91</f>
        <v/>
      </c>
      <c r="L96" s="67" t="str">
        <f>графік!J91</f>
        <v/>
      </c>
      <c r="M96" s="69">
        <f>графік!K91</f>
        <v>0</v>
      </c>
      <c r="N96" s="67" t="str">
        <f>графік!L91</f>
        <v/>
      </c>
      <c r="O96" s="74" t="str">
        <f>графік!P91</f>
        <v/>
      </c>
      <c r="P96" s="230" t="str">
        <f>графік!Q91</f>
        <v/>
      </c>
    </row>
    <row r="97" spans="1:16" x14ac:dyDescent="0.35">
      <c r="A97" s="63">
        <f>графік!A92</f>
        <v>68</v>
      </c>
      <c r="B97" s="68">
        <f ca="1">графік!C92</f>
        <v>46458</v>
      </c>
      <c r="C97" s="65">
        <f ca="1">графік!D92</f>
        <v>28</v>
      </c>
      <c r="D97" s="66">
        <f>графік!E92</f>
        <v>2866666.4433333385</v>
      </c>
      <c r="E97" s="67">
        <f ca="1">графік!H92</f>
        <v>42036.84</v>
      </c>
      <c r="F97" s="66">
        <f>графік!F92</f>
        <v>16666.669999999998</v>
      </c>
      <c r="G97" s="67">
        <f ca="1">графік!G92</f>
        <v>25370.17</v>
      </c>
      <c r="H97" s="67" t="str">
        <f>графік!M92</f>
        <v/>
      </c>
      <c r="I97" s="67"/>
      <c r="J97" s="69" t="str">
        <f>графік!N92</f>
        <v/>
      </c>
      <c r="K97" s="67" t="str">
        <f>графік!I92</f>
        <v/>
      </c>
      <c r="L97" s="67" t="str">
        <f>графік!J92</f>
        <v/>
      </c>
      <c r="M97" s="69">
        <f>графік!K92</f>
        <v>0</v>
      </c>
      <c r="N97" s="67" t="str">
        <f>графік!L92</f>
        <v/>
      </c>
      <c r="O97" s="74" t="str">
        <f>графік!P92</f>
        <v/>
      </c>
      <c r="P97" s="230" t="str">
        <f>графік!Q92</f>
        <v/>
      </c>
    </row>
    <row r="98" spans="1:16" x14ac:dyDescent="0.35">
      <c r="A98" s="63">
        <f>графік!A93</f>
        <v>69</v>
      </c>
      <c r="B98" s="68">
        <f ca="1">графік!C93</f>
        <v>46489</v>
      </c>
      <c r="C98" s="65">
        <f ca="1">графік!D93</f>
        <v>31</v>
      </c>
      <c r="D98" s="66">
        <f>графік!E93</f>
        <v>2849999.7733333386</v>
      </c>
      <c r="E98" s="67">
        <f ca="1">графік!H93</f>
        <v>44592.71</v>
      </c>
      <c r="F98" s="66">
        <f>графік!F93</f>
        <v>16666.669999999998</v>
      </c>
      <c r="G98" s="67">
        <f ca="1">графік!G93</f>
        <v>27926.04</v>
      </c>
      <c r="H98" s="67" t="str">
        <f>графік!M93</f>
        <v/>
      </c>
      <c r="I98" s="67"/>
      <c r="J98" s="69" t="str">
        <f>графік!N93</f>
        <v/>
      </c>
      <c r="K98" s="67" t="str">
        <f>графік!I93</f>
        <v/>
      </c>
      <c r="L98" s="67" t="str">
        <f>графік!J93</f>
        <v/>
      </c>
      <c r="M98" s="69">
        <f>графік!K93</f>
        <v>0</v>
      </c>
      <c r="N98" s="67" t="str">
        <f>графік!L93</f>
        <v/>
      </c>
      <c r="O98" s="74" t="str">
        <f>графік!P93</f>
        <v/>
      </c>
      <c r="P98" s="230" t="str">
        <f>графік!Q93</f>
        <v/>
      </c>
    </row>
    <row r="99" spans="1:16" x14ac:dyDescent="0.35">
      <c r="A99" s="63">
        <f>графік!A94</f>
        <v>70</v>
      </c>
      <c r="B99" s="68">
        <f ca="1">графік!C94</f>
        <v>46519</v>
      </c>
      <c r="C99" s="65">
        <f ca="1">графік!D94</f>
        <v>30</v>
      </c>
      <c r="D99" s="66">
        <f>графік!E94</f>
        <v>2833333.1033333386</v>
      </c>
      <c r="E99" s="67">
        <f ca="1">графік!H94</f>
        <v>43534.75</v>
      </c>
      <c r="F99" s="66">
        <f>графік!F94</f>
        <v>16666.669999999998</v>
      </c>
      <c r="G99" s="67">
        <f ca="1">графік!G94</f>
        <v>26868.080000000002</v>
      </c>
      <c r="H99" s="67" t="str">
        <f>графік!M94</f>
        <v/>
      </c>
      <c r="I99" s="67"/>
      <c r="J99" s="69" t="str">
        <f>графік!N94</f>
        <v/>
      </c>
      <c r="K99" s="67" t="str">
        <f>графік!I94</f>
        <v/>
      </c>
      <c r="L99" s="67" t="str">
        <f>графік!J94</f>
        <v/>
      </c>
      <c r="M99" s="69">
        <f>графік!K94</f>
        <v>0</v>
      </c>
      <c r="N99" s="67" t="str">
        <f>графік!L94</f>
        <v/>
      </c>
      <c r="O99" s="74" t="str">
        <f>графік!P94</f>
        <v/>
      </c>
      <c r="P99" s="230" t="str">
        <f>графік!Q94</f>
        <v/>
      </c>
    </row>
    <row r="100" spans="1:16" x14ac:dyDescent="0.35">
      <c r="A100" s="63">
        <f>графік!A95</f>
        <v>71</v>
      </c>
      <c r="B100" s="68">
        <f ca="1">графік!C95</f>
        <v>46550</v>
      </c>
      <c r="C100" s="65">
        <f ca="1">графік!D95</f>
        <v>31</v>
      </c>
      <c r="D100" s="66">
        <f>графік!E95</f>
        <v>2816666.4333333387</v>
      </c>
      <c r="E100" s="67">
        <f ca="1">графік!H95</f>
        <v>44267.99</v>
      </c>
      <c r="F100" s="66">
        <f>графік!F95</f>
        <v>16666.669999999998</v>
      </c>
      <c r="G100" s="67">
        <f ca="1">графік!G95</f>
        <v>27601.32</v>
      </c>
      <c r="H100" s="67" t="str">
        <f>графік!M95</f>
        <v/>
      </c>
      <c r="I100" s="67"/>
      <c r="J100" s="69" t="str">
        <f>графік!N95</f>
        <v/>
      </c>
      <c r="K100" s="67" t="str">
        <f>графік!I95</f>
        <v/>
      </c>
      <c r="L100" s="67" t="str">
        <f>графік!J95</f>
        <v/>
      </c>
      <c r="M100" s="69">
        <f>графік!K95</f>
        <v>0</v>
      </c>
      <c r="N100" s="67" t="str">
        <f>графік!L95</f>
        <v/>
      </c>
      <c r="O100" s="74" t="str">
        <f>графік!P95</f>
        <v/>
      </c>
      <c r="P100" s="230" t="str">
        <f>графік!Q95</f>
        <v/>
      </c>
    </row>
    <row r="101" spans="1:16" x14ac:dyDescent="0.35">
      <c r="A101" s="63">
        <f>графік!A96</f>
        <v>72</v>
      </c>
      <c r="B101" s="68">
        <f ca="1">графік!C96</f>
        <v>46580</v>
      </c>
      <c r="C101" s="65">
        <f ca="1">графік!D96</f>
        <v>30</v>
      </c>
      <c r="D101" s="66">
        <f>графік!E96</f>
        <v>2799999.7633333388</v>
      </c>
      <c r="E101" s="67">
        <f ca="1">графік!H96</f>
        <v>43220.5</v>
      </c>
      <c r="F101" s="66">
        <f>графік!F96</f>
        <v>16666.669999999998</v>
      </c>
      <c r="G101" s="67">
        <f ca="1">графік!G96</f>
        <v>26553.83</v>
      </c>
      <c r="H101" s="67" t="str">
        <f>графік!M96</f>
        <v/>
      </c>
      <c r="I101" s="67"/>
      <c r="J101" s="69" t="str">
        <f>графік!N96</f>
        <v/>
      </c>
      <c r="K101" s="67" t="str">
        <f>графік!I96</f>
        <v/>
      </c>
      <c r="L101" s="67" t="str">
        <f>графік!J96</f>
        <v/>
      </c>
      <c r="M101" s="69">
        <f>графік!K96</f>
        <v>0</v>
      </c>
      <c r="N101" s="67" t="str">
        <f>графік!L96</f>
        <v/>
      </c>
      <c r="O101" s="74" t="str">
        <f>графік!P96</f>
        <v/>
      </c>
      <c r="P101" s="230" t="str">
        <f>графік!Q96</f>
        <v/>
      </c>
    </row>
    <row r="102" spans="1:16" x14ac:dyDescent="0.35">
      <c r="A102" s="63">
        <f>графік!A97</f>
        <v>73</v>
      </c>
      <c r="B102" s="68">
        <f ca="1">графік!C97</f>
        <v>46611</v>
      </c>
      <c r="C102" s="65">
        <f ca="1">графік!D97</f>
        <v>31</v>
      </c>
      <c r="D102" s="66">
        <f>графік!E97</f>
        <v>2783333.0933333389</v>
      </c>
      <c r="E102" s="67">
        <f ca="1">графік!H97</f>
        <v>43943.27</v>
      </c>
      <c r="F102" s="66">
        <f>графік!F97</f>
        <v>16666.669999999998</v>
      </c>
      <c r="G102" s="67">
        <f ca="1">графік!G97</f>
        <v>27276.6</v>
      </c>
      <c r="H102" s="67" t="str">
        <f>графік!M97</f>
        <v/>
      </c>
      <c r="I102" s="67"/>
      <c r="J102" s="69" t="str">
        <f>графік!N97</f>
        <v/>
      </c>
      <c r="K102" s="67" t="str">
        <f>графік!I97</f>
        <v/>
      </c>
      <c r="L102" s="67" t="str">
        <f>графік!J97</f>
        <v/>
      </c>
      <c r="M102" s="67">
        <f>графік!K97</f>
        <v>17100</v>
      </c>
      <c r="N102" s="67" t="str">
        <f>графік!L97</f>
        <v/>
      </c>
      <c r="O102" s="74" t="str">
        <f>графік!P97</f>
        <v/>
      </c>
      <c r="P102" s="230" t="str">
        <f>графік!Q97</f>
        <v/>
      </c>
    </row>
    <row r="103" spans="1:16" x14ac:dyDescent="0.35">
      <c r="A103" s="63">
        <f>графік!A98</f>
        <v>74</v>
      </c>
      <c r="B103" s="68">
        <f ca="1">графік!C98</f>
        <v>46642</v>
      </c>
      <c r="C103" s="65">
        <f ca="1">графік!D98</f>
        <v>31</v>
      </c>
      <c r="D103" s="66">
        <f>графік!E98</f>
        <v>2766666.4233333389</v>
      </c>
      <c r="E103" s="67">
        <f ca="1">графік!H98</f>
        <v>43780.91</v>
      </c>
      <c r="F103" s="66">
        <f>графік!F98</f>
        <v>16666.669999999998</v>
      </c>
      <c r="G103" s="67">
        <f ca="1">графік!G98</f>
        <v>27114.240000000002</v>
      </c>
      <c r="H103" s="67" t="str">
        <f>графік!M98</f>
        <v/>
      </c>
      <c r="I103" s="67"/>
      <c r="J103" s="69" t="str">
        <f>графік!N98</f>
        <v/>
      </c>
      <c r="K103" s="67" t="str">
        <f>графік!I98</f>
        <v/>
      </c>
      <c r="L103" s="67" t="str">
        <f>графік!J98</f>
        <v/>
      </c>
      <c r="M103" s="69">
        <f>графік!K98</f>
        <v>0</v>
      </c>
      <c r="N103" s="67" t="str">
        <f>графік!L98</f>
        <v/>
      </c>
      <c r="O103" s="74" t="str">
        <f>графік!P98</f>
        <v/>
      </c>
      <c r="P103" s="230" t="str">
        <f>графік!Q98</f>
        <v/>
      </c>
    </row>
    <row r="104" spans="1:16" x14ac:dyDescent="0.35">
      <c r="A104" s="63">
        <f>графік!A99</f>
        <v>75</v>
      </c>
      <c r="B104" s="68">
        <f ca="1">графік!C99</f>
        <v>46672</v>
      </c>
      <c r="C104" s="65">
        <f ca="1">графік!D99</f>
        <v>30</v>
      </c>
      <c r="D104" s="66">
        <f>графік!E99</f>
        <v>2749999.753333339</v>
      </c>
      <c r="E104" s="67">
        <f ca="1">графік!H99</f>
        <v>42749.13</v>
      </c>
      <c r="F104" s="66">
        <f>графік!F99</f>
        <v>16666.669999999998</v>
      </c>
      <c r="G104" s="67">
        <f ca="1">графік!G99</f>
        <v>26082.46</v>
      </c>
      <c r="H104" s="67" t="str">
        <f>графік!M99</f>
        <v/>
      </c>
      <c r="I104" s="67"/>
      <c r="J104" s="69" t="str">
        <f>графік!N99</f>
        <v/>
      </c>
      <c r="K104" s="67" t="str">
        <f>графік!I99</f>
        <v/>
      </c>
      <c r="L104" s="67" t="str">
        <f>графік!J99</f>
        <v/>
      </c>
      <c r="M104" s="69">
        <f>графік!K99</f>
        <v>0</v>
      </c>
      <c r="N104" s="67" t="str">
        <f>графік!L99</f>
        <v/>
      </c>
      <c r="O104" s="74" t="str">
        <f>графік!P99</f>
        <v/>
      </c>
      <c r="P104" s="230" t="str">
        <f>графік!Q99</f>
        <v/>
      </c>
    </row>
    <row r="105" spans="1:16" x14ac:dyDescent="0.35">
      <c r="A105" s="63">
        <f>графік!A100</f>
        <v>76</v>
      </c>
      <c r="B105" s="68">
        <f ca="1">графік!C100</f>
        <v>46703</v>
      </c>
      <c r="C105" s="65">
        <f ca="1">графік!D100</f>
        <v>31</v>
      </c>
      <c r="D105" s="66">
        <f>графік!E100</f>
        <v>2733333.0833333391</v>
      </c>
      <c r="E105" s="67">
        <f ca="1">графік!H100</f>
        <v>43456.19</v>
      </c>
      <c r="F105" s="66">
        <f>графік!F100</f>
        <v>16666.669999999998</v>
      </c>
      <c r="G105" s="67">
        <f ca="1">графік!G100</f>
        <v>26789.52</v>
      </c>
      <c r="H105" s="67" t="str">
        <f>графік!M100</f>
        <v/>
      </c>
      <c r="I105" s="67"/>
      <c r="J105" s="69" t="str">
        <f>графік!N100</f>
        <v/>
      </c>
      <c r="K105" s="67" t="str">
        <f>графік!I100</f>
        <v/>
      </c>
      <c r="L105" s="67" t="str">
        <f>графік!J100</f>
        <v/>
      </c>
      <c r="M105" s="69">
        <f>графік!K100</f>
        <v>0</v>
      </c>
      <c r="N105" s="67" t="str">
        <f>графік!L100</f>
        <v/>
      </c>
      <c r="O105" s="74" t="str">
        <f>графік!P100</f>
        <v/>
      </c>
      <c r="P105" s="230" t="str">
        <f>графік!Q100</f>
        <v/>
      </c>
    </row>
    <row r="106" spans="1:16" x14ac:dyDescent="0.35">
      <c r="A106" s="63">
        <f>графік!A101</f>
        <v>77</v>
      </c>
      <c r="B106" s="68">
        <f ca="1">графік!C101</f>
        <v>46733</v>
      </c>
      <c r="C106" s="65">
        <f ca="1">графік!D101</f>
        <v>30</v>
      </c>
      <c r="D106" s="66">
        <f>графік!E101</f>
        <v>2716666.4133333392</v>
      </c>
      <c r="E106" s="67">
        <f ca="1">графік!H101</f>
        <v>42434.89</v>
      </c>
      <c r="F106" s="66">
        <f>графік!F101</f>
        <v>16666.669999999998</v>
      </c>
      <c r="G106" s="67">
        <f ca="1">графік!G101</f>
        <v>25768.22</v>
      </c>
      <c r="H106" s="67" t="str">
        <f>графік!M101</f>
        <v/>
      </c>
      <c r="I106" s="67"/>
      <c r="J106" s="69" t="str">
        <f>графік!N101</f>
        <v/>
      </c>
      <c r="K106" s="67" t="str">
        <f>графік!I101</f>
        <v/>
      </c>
      <c r="L106" s="67" t="str">
        <f>графік!J101</f>
        <v/>
      </c>
      <c r="M106" s="69">
        <f>графік!K101</f>
        <v>0</v>
      </c>
      <c r="N106" s="67" t="str">
        <f>графік!L101</f>
        <v/>
      </c>
      <c r="O106" s="74" t="str">
        <f>графік!P101</f>
        <v/>
      </c>
      <c r="P106" s="230" t="str">
        <f>графік!Q101</f>
        <v/>
      </c>
    </row>
    <row r="107" spans="1:16" x14ac:dyDescent="0.35">
      <c r="A107" s="63">
        <f>графік!A102</f>
        <v>78</v>
      </c>
      <c r="B107" s="68">
        <f ca="1">графік!C102</f>
        <v>46764</v>
      </c>
      <c r="C107" s="65">
        <f ca="1">графік!D102</f>
        <v>31</v>
      </c>
      <c r="D107" s="66">
        <f>графік!E102</f>
        <v>2699999.7433333392</v>
      </c>
      <c r="E107" s="67">
        <f ca="1">графік!H102</f>
        <v>43105.81</v>
      </c>
      <c r="F107" s="66">
        <f>графік!F102</f>
        <v>16666.669999999998</v>
      </c>
      <c r="G107" s="67">
        <f ca="1">графік!G102</f>
        <v>26439.14</v>
      </c>
      <c r="H107" s="67" t="str">
        <f>графік!M102</f>
        <v/>
      </c>
      <c r="I107" s="67"/>
      <c r="J107" s="69" t="str">
        <f>графік!N102</f>
        <v/>
      </c>
      <c r="K107" s="67" t="str">
        <f>графік!I102</f>
        <v/>
      </c>
      <c r="L107" s="67" t="str">
        <f>графік!J102</f>
        <v/>
      </c>
      <c r="M107" s="69">
        <f>графік!K102</f>
        <v>0</v>
      </c>
      <c r="N107" s="67" t="str">
        <f>графік!L102</f>
        <v/>
      </c>
      <c r="O107" s="74" t="str">
        <f>графік!P102</f>
        <v/>
      </c>
      <c r="P107" s="230" t="str">
        <f>графік!Q102</f>
        <v/>
      </c>
    </row>
    <row r="108" spans="1:16" x14ac:dyDescent="0.35">
      <c r="A108" s="63">
        <f>графік!A103</f>
        <v>79</v>
      </c>
      <c r="B108" s="68">
        <f ca="1">графік!C103</f>
        <v>46795</v>
      </c>
      <c r="C108" s="65">
        <f ca="1">графік!D103</f>
        <v>31</v>
      </c>
      <c r="D108" s="66">
        <f>графік!E103</f>
        <v>2683333.0733333393</v>
      </c>
      <c r="E108" s="67">
        <f ca="1">графік!H103</f>
        <v>42897.24</v>
      </c>
      <c r="F108" s="66">
        <f>графік!F103</f>
        <v>16666.669999999998</v>
      </c>
      <c r="G108" s="67">
        <f ca="1">графік!G103</f>
        <v>26230.57</v>
      </c>
      <c r="H108" s="67" t="str">
        <f>графік!M103</f>
        <v/>
      </c>
      <c r="I108" s="67"/>
      <c r="J108" s="69" t="str">
        <f>графік!N103</f>
        <v/>
      </c>
      <c r="K108" s="67" t="str">
        <f>графік!I103</f>
        <v/>
      </c>
      <c r="L108" s="67" t="str">
        <f>графік!J103</f>
        <v/>
      </c>
      <c r="M108" s="69">
        <f>графік!K103</f>
        <v>0</v>
      </c>
      <c r="N108" s="67" t="str">
        <f>графік!L103</f>
        <v/>
      </c>
      <c r="O108" s="74" t="str">
        <f>графік!P103</f>
        <v/>
      </c>
      <c r="P108" s="230" t="str">
        <f>графік!Q103</f>
        <v/>
      </c>
    </row>
    <row r="109" spans="1:16" x14ac:dyDescent="0.35">
      <c r="A109" s="63">
        <f>графік!A104</f>
        <v>80</v>
      </c>
      <c r="B109" s="68">
        <f ca="1">графік!C104</f>
        <v>46824</v>
      </c>
      <c r="C109" s="65">
        <f ca="1">графік!D104</f>
        <v>29</v>
      </c>
      <c r="D109" s="66">
        <f>графік!E104</f>
        <v>2666666.4033333394</v>
      </c>
      <c r="E109" s="67">
        <f ca="1">графік!H104</f>
        <v>41053.479999999996</v>
      </c>
      <c r="F109" s="66">
        <f>графік!F104</f>
        <v>16666.669999999998</v>
      </c>
      <c r="G109" s="67">
        <f ca="1">графік!G104</f>
        <v>24386.81</v>
      </c>
      <c r="H109" s="67" t="str">
        <f>графік!M104</f>
        <v/>
      </c>
      <c r="I109" s="67"/>
      <c r="J109" s="69" t="str">
        <f>графік!N104</f>
        <v/>
      </c>
      <c r="K109" s="67" t="str">
        <f>графік!I104</f>
        <v/>
      </c>
      <c r="L109" s="67" t="str">
        <f>графік!J104</f>
        <v/>
      </c>
      <c r="M109" s="69">
        <f>графік!K104</f>
        <v>0</v>
      </c>
      <c r="N109" s="67" t="str">
        <f>графік!L104</f>
        <v/>
      </c>
      <c r="O109" s="74" t="str">
        <f>графік!P104</f>
        <v/>
      </c>
      <c r="P109" s="230" t="str">
        <f>графік!Q104</f>
        <v/>
      </c>
    </row>
    <row r="110" spans="1:16" x14ac:dyDescent="0.35">
      <c r="A110" s="63">
        <f>графік!A105</f>
        <v>81</v>
      </c>
      <c r="B110" s="68">
        <f ca="1">графік!C105</f>
        <v>46855</v>
      </c>
      <c r="C110" s="65">
        <f ca="1">графік!D105</f>
        <v>31</v>
      </c>
      <c r="D110" s="66">
        <f>графік!E105</f>
        <v>2649999.7333333394</v>
      </c>
      <c r="E110" s="67">
        <f ca="1">графік!H105</f>
        <v>42573.41</v>
      </c>
      <c r="F110" s="66">
        <f>графік!F105</f>
        <v>16666.669999999998</v>
      </c>
      <c r="G110" s="67">
        <f ca="1">графік!G105</f>
        <v>25906.74</v>
      </c>
      <c r="H110" s="67" t="str">
        <f>графік!M105</f>
        <v/>
      </c>
      <c r="I110" s="67"/>
      <c r="J110" s="69" t="str">
        <f>графік!N105</f>
        <v/>
      </c>
      <c r="K110" s="67" t="str">
        <f>графік!I105</f>
        <v/>
      </c>
      <c r="L110" s="67" t="str">
        <f>графік!J105</f>
        <v/>
      </c>
      <c r="M110" s="69">
        <f>графік!K105</f>
        <v>0</v>
      </c>
      <c r="N110" s="67" t="str">
        <f>графік!L105</f>
        <v/>
      </c>
      <c r="O110" s="74" t="str">
        <f>графік!P105</f>
        <v/>
      </c>
      <c r="P110" s="230" t="str">
        <f>графік!Q105</f>
        <v/>
      </c>
    </row>
    <row r="111" spans="1:16" x14ac:dyDescent="0.35">
      <c r="A111" s="63">
        <f>графік!A106</f>
        <v>82</v>
      </c>
      <c r="B111" s="68">
        <f ca="1">графік!C106</f>
        <v>46885</v>
      </c>
      <c r="C111" s="65">
        <f ca="1">графік!D106</f>
        <v>30</v>
      </c>
      <c r="D111" s="66">
        <f>графік!E106</f>
        <v>2633333.0633333395</v>
      </c>
      <c r="E111" s="67">
        <f ca="1">графік!H106</f>
        <v>41581.009999999995</v>
      </c>
      <c r="F111" s="66">
        <f>графік!F106</f>
        <v>16666.669999999998</v>
      </c>
      <c r="G111" s="67">
        <f ca="1">графік!G106</f>
        <v>24914.34</v>
      </c>
      <c r="H111" s="67" t="str">
        <f>графік!M106</f>
        <v/>
      </c>
      <c r="I111" s="67"/>
      <c r="J111" s="69" t="str">
        <f>графік!N106</f>
        <v/>
      </c>
      <c r="K111" s="67" t="str">
        <f>графік!I106</f>
        <v/>
      </c>
      <c r="L111" s="67" t="str">
        <f>графік!J106</f>
        <v/>
      </c>
      <c r="M111" s="69">
        <f>графік!K106</f>
        <v>0</v>
      </c>
      <c r="N111" s="67" t="str">
        <f>графік!L106</f>
        <v/>
      </c>
      <c r="O111" s="74" t="str">
        <f>графік!P106</f>
        <v/>
      </c>
      <c r="P111" s="230" t="str">
        <f>графік!Q106</f>
        <v/>
      </c>
    </row>
    <row r="112" spans="1:16" x14ac:dyDescent="0.35">
      <c r="A112" s="63">
        <f>графік!A107</f>
        <v>83</v>
      </c>
      <c r="B112" s="68">
        <f ca="1">графік!C107</f>
        <v>46916</v>
      </c>
      <c r="C112" s="65">
        <f ca="1">графік!D107</f>
        <v>31</v>
      </c>
      <c r="D112" s="66">
        <f>графік!E107</f>
        <v>2616666.3933333396</v>
      </c>
      <c r="E112" s="67">
        <f ca="1">графік!H107</f>
        <v>42249.57</v>
      </c>
      <c r="F112" s="66">
        <f>графік!F107</f>
        <v>16666.669999999998</v>
      </c>
      <c r="G112" s="67">
        <f ca="1">графік!G107</f>
        <v>25582.9</v>
      </c>
      <c r="H112" s="67" t="str">
        <f>графік!M107</f>
        <v/>
      </c>
      <c r="I112" s="67"/>
      <c r="J112" s="69" t="str">
        <f>графік!N107</f>
        <v/>
      </c>
      <c r="K112" s="67" t="str">
        <f>графік!I107</f>
        <v/>
      </c>
      <c r="L112" s="67" t="str">
        <f>графік!J107</f>
        <v/>
      </c>
      <c r="M112" s="69">
        <f>графік!K107</f>
        <v>0</v>
      </c>
      <c r="N112" s="67" t="str">
        <f>графік!L107</f>
        <v/>
      </c>
      <c r="O112" s="74" t="str">
        <f>графік!P107</f>
        <v/>
      </c>
      <c r="P112" s="230" t="str">
        <f>графік!Q107</f>
        <v/>
      </c>
    </row>
    <row r="113" spans="1:16" x14ac:dyDescent="0.35">
      <c r="A113" s="63">
        <f>графік!A108</f>
        <v>84</v>
      </c>
      <c r="B113" s="68">
        <f ca="1">графік!C108</f>
        <v>46946</v>
      </c>
      <c r="C113" s="65">
        <f ca="1">графік!D108</f>
        <v>30</v>
      </c>
      <c r="D113" s="66">
        <f>графік!E108</f>
        <v>2599999.7233333397</v>
      </c>
      <c r="E113" s="67">
        <f ca="1">графік!H108</f>
        <v>41267.619999999995</v>
      </c>
      <c r="F113" s="66">
        <f>графік!F108</f>
        <v>16666.669999999998</v>
      </c>
      <c r="G113" s="67">
        <f ca="1">графік!G108</f>
        <v>24600.95</v>
      </c>
      <c r="H113" s="67" t="str">
        <f>графік!M108</f>
        <v/>
      </c>
      <c r="I113" s="67"/>
      <c r="J113" s="69" t="str">
        <f>графік!N108</f>
        <v/>
      </c>
      <c r="K113" s="67" t="str">
        <f>графік!I108</f>
        <v/>
      </c>
      <c r="L113" s="67" t="str">
        <f>графік!J108</f>
        <v/>
      </c>
      <c r="M113" s="69">
        <f>графік!K108</f>
        <v>0</v>
      </c>
      <c r="N113" s="67" t="str">
        <f>графік!L108</f>
        <v/>
      </c>
      <c r="O113" s="74" t="str">
        <f>графік!P108</f>
        <v/>
      </c>
      <c r="P113" s="230" t="str">
        <f>графік!Q108</f>
        <v/>
      </c>
    </row>
    <row r="114" spans="1:16" x14ac:dyDescent="0.35">
      <c r="A114" s="63">
        <f>графік!A109</f>
        <v>85</v>
      </c>
      <c r="B114" s="68">
        <f ca="1">графік!C109</f>
        <v>46977</v>
      </c>
      <c r="C114" s="65">
        <f ca="1">графік!D109</f>
        <v>31</v>
      </c>
      <c r="D114" s="66">
        <f>графік!E109</f>
        <v>2583333.0533333397</v>
      </c>
      <c r="E114" s="67">
        <f ca="1">графік!H109</f>
        <v>41925.74</v>
      </c>
      <c r="F114" s="66">
        <f>графік!F109</f>
        <v>16666.669999999998</v>
      </c>
      <c r="G114" s="67">
        <f ca="1">графік!G109</f>
        <v>25259.07</v>
      </c>
      <c r="H114" s="67" t="str">
        <f>графік!M109</f>
        <v/>
      </c>
      <c r="I114" s="67"/>
      <c r="J114" s="69" t="str">
        <f>графік!N109</f>
        <v/>
      </c>
      <c r="K114" s="67" t="str">
        <f>графік!I109</f>
        <v/>
      </c>
      <c r="L114" s="67" t="str">
        <f>графік!J109</f>
        <v/>
      </c>
      <c r="M114" s="67">
        <f>графік!K109</f>
        <v>17100</v>
      </c>
      <c r="N114" s="67" t="str">
        <f>графік!L109</f>
        <v/>
      </c>
      <c r="O114" s="74" t="str">
        <f>графік!P109</f>
        <v/>
      </c>
      <c r="P114" s="230" t="str">
        <f>графік!Q109</f>
        <v/>
      </c>
    </row>
    <row r="115" spans="1:16" x14ac:dyDescent="0.35">
      <c r="A115" s="63">
        <f>графік!A110</f>
        <v>86</v>
      </c>
      <c r="B115" s="68">
        <f ca="1">графік!C110</f>
        <v>47008</v>
      </c>
      <c r="C115" s="65">
        <f ca="1">графік!D110</f>
        <v>31</v>
      </c>
      <c r="D115" s="66">
        <f>графік!E110</f>
        <v>2566666.3833333398</v>
      </c>
      <c r="E115" s="67">
        <f ca="1">графік!H110</f>
        <v>41763.82</v>
      </c>
      <c r="F115" s="66">
        <f>графік!F110</f>
        <v>16666.669999999998</v>
      </c>
      <c r="G115" s="67">
        <f ca="1">графік!G110</f>
        <v>25097.15</v>
      </c>
      <c r="H115" s="67" t="str">
        <f>графік!M110</f>
        <v/>
      </c>
      <c r="I115" s="67"/>
      <c r="J115" s="69" t="str">
        <f>графік!N110</f>
        <v/>
      </c>
      <c r="K115" s="67" t="str">
        <f>графік!I110</f>
        <v/>
      </c>
      <c r="L115" s="67" t="str">
        <f>графік!J110</f>
        <v/>
      </c>
      <c r="M115" s="69">
        <f>графік!K110</f>
        <v>0</v>
      </c>
      <c r="N115" s="67" t="str">
        <f>графік!L110</f>
        <v/>
      </c>
      <c r="O115" s="74" t="str">
        <f>графік!P110</f>
        <v/>
      </c>
      <c r="P115" s="230" t="str">
        <f>графік!Q110</f>
        <v/>
      </c>
    </row>
    <row r="116" spans="1:16" x14ac:dyDescent="0.35">
      <c r="A116" s="63">
        <f>графік!A111</f>
        <v>87</v>
      </c>
      <c r="B116" s="68">
        <f ca="1">графік!C111</f>
        <v>47038</v>
      </c>
      <c r="C116" s="65">
        <f ca="1">графік!D111</f>
        <v>30</v>
      </c>
      <c r="D116" s="66">
        <f>графік!E111</f>
        <v>2549999.7133333399</v>
      </c>
      <c r="E116" s="67">
        <f ca="1">графік!H111</f>
        <v>40797.539999999994</v>
      </c>
      <c r="F116" s="66">
        <f>графік!F111</f>
        <v>16666.669999999998</v>
      </c>
      <c r="G116" s="67">
        <f ca="1">графік!G111</f>
        <v>24130.87</v>
      </c>
      <c r="H116" s="67" t="str">
        <f>графік!M111</f>
        <v/>
      </c>
      <c r="I116" s="67"/>
      <c r="J116" s="69" t="str">
        <f>графік!N111</f>
        <v/>
      </c>
      <c r="K116" s="67" t="str">
        <f>графік!I111</f>
        <v/>
      </c>
      <c r="L116" s="67" t="str">
        <f>графік!J111</f>
        <v/>
      </c>
      <c r="M116" s="69">
        <f>графік!K111</f>
        <v>0</v>
      </c>
      <c r="N116" s="67" t="str">
        <f>графік!L111</f>
        <v/>
      </c>
      <c r="O116" s="74" t="str">
        <f>графік!P111</f>
        <v/>
      </c>
      <c r="P116" s="230" t="str">
        <f>графік!Q111</f>
        <v/>
      </c>
    </row>
    <row r="117" spans="1:16" x14ac:dyDescent="0.35">
      <c r="A117" s="63">
        <f>графік!A112</f>
        <v>88</v>
      </c>
      <c r="B117" s="68">
        <f ca="1">графік!C112</f>
        <v>47069</v>
      </c>
      <c r="C117" s="65">
        <f ca="1">графік!D112</f>
        <v>31</v>
      </c>
      <c r="D117" s="66">
        <f>графік!E112</f>
        <v>2533333.04333334</v>
      </c>
      <c r="E117" s="67">
        <f ca="1">графік!H112</f>
        <v>41439.99</v>
      </c>
      <c r="F117" s="66">
        <f>графік!F112</f>
        <v>16666.669999999998</v>
      </c>
      <c r="G117" s="67">
        <f ca="1">графік!G112</f>
        <v>24773.32</v>
      </c>
      <c r="H117" s="67" t="str">
        <f>графік!M112</f>
        <v/>
      </c>
      <c r="I117" s="67"/>
      <c r="J117" s="69" t="str">
        <f>графік!N112</f>
        <v/>
      </c>
      <c r="K117" s="67" t="str">
        <f>графік!I112</f>
        <v/>
      </c>
      <c r="L117" s="67" t="str">
        <f>графік!J112</f>
        <v/>
      </c>
      <c r="M117" s="69">
        <f>графік!K112</f>
        <v>0</v>
      </c>
      <c r="N117" s="67" t="str">
        <f>графік!L112</f>
        <v/>
      </c>
      <c r="O117" s="74" t="str">
        <f>графік!P112</f>
        <v/>
      </c>
      <c r="P117" s="230" t="str">
        <f>графік!Q112</f>
        <v/>
      </c>
    </row>
    <row r="118" spans="1:16" x14ac:dyDescent="0.35">
      <c r="A118" s="63">
        <f>графік!A113</f>
        <v>89</v>
      </c>
      <c r="B118" s="68">
        <f ca="1">графік!C113</f>
        <v>47099</v>
      </c>
      <c r="C118" s="65">
        <f ca="1">графік!D113</f>
        <v>30</v>
      </c>
      <c r="D118" s="66">
        <f>графік!E113</f>
        <v>2516666.37333334</v>
      </c>
      <c r="E118" s="67">
        <f ca="1">графік!H113</f>
        <v>40484.149999999994</v>
      </c>
      <c r="F118" s="66">
        <f>графік!F113</f>
        <v>16666.669999999998</v>
      </c>
      <c r="G118" s="67">
        <f ca="1">графік!G113</f>
        <v>23817.48</v>
      </c>
      <c r="H118" s="67" t="str">
        <f>графік!M113</f>
        <v/>
      </c>
      <c r="I118" s="67"/>
      <c r="J118" s="69" t="str">
        <f>графік!N113</f>
        <v/>
      </c>
      <c r="K118" s="67" t="str">
        <f>графік!I113</f>
        <v/>
      </c>
      <c r="L118" s="67" t="str">
        <f>графік!J113</f>
        <v/>
      </c>
      <c r="M118" s="69">
        <f>графік!K113</f>
        <v>0</v>
      </c>
      <c r="N118" s="67" t="str">
        <f>графік!L113</f>
        <v/>
      </c>
      <c r="O118" s="74" t="str">
        <f>графік!P113</f>
        <v/>
      </c>
      <c r="P118" s="230" t="str">
        <f>графік!Q113</f>
        <v/>
      </c>
    </row>
    <row r="119" spans="1:16" x14ac:dyDescent="0.35">
      <c r="A119" s="63">
        <f>графік!A114</f>
        <v>90</v>
      </c>
      <c r="B119" s="68">
        <f ca="1">графік!C114</f>
        <v>47130</v>
      </c>
      <c r="C119" s="65">
        <f ca="1">графік!D114</f>
        <v>31</v>
      </c>
      <c r="D119" s="66">
        <f>графік!E114</f>
        <v>2499999.7033333401</v>
      </c>
      <c r="E119" s="67">
        <f ca="1">графік!H114</f>
        <v>41139.919999999998</v>
      </c>
      <c r="F119" s="66">
        <f>графік!F114</f>
        <v>16666.669999999998</v>
      </c>
      <c r="G119" s="67">
        <f ca="1">графік!G114</f>
        <v>24473.25</v>
      </c>
      <c r="H119" s="67" t="str">
        <f>графік!M114</f>
        <v/>
      </c>
      <c r="I119" s="67"/>
      <c r="J119" s="69" t="str">
        <f>графік!N114</f>
        <v/>
      </c>
      <c r="K119" s="67" t="str">
        <f>графік!I114</f>
        <v/>
      </c>
      <c r="L119" s="67" t="str">
        <f>графік!J114</f>
        <v/>
      </c>
      <c r="M119" s="69">
        <f>графік!K114</f>
        <v>0</v>
      </c>
      <c r="N119" s="67" t="str">
        <f>графік!L114</f>
        <v/>
      </c>
      <c r="O119" s="74" t="str">
        <f>графік!P114</f>
        <v/>
      </c>
      <c r="P119" s="230" t="str">
        <f>графік!Q114</f>
        <v/>
      </c>
    </row>
    <row r="120" spans="1:16" x14ac:dyDescent="0.35">
      <c r="A120" s="63">
        <f>графік!A115</f>
        <v>91</v>
      </c>
      <c r="B120" s="68">
        <f ca="1">графік!C115</f>
        <v>47161</v>
      </c>
      <c r="C120" s="65">
        <f ca="1">графік!D115</f>
        <v>31</v>
      </c>
      <c r="D120" s="66">
        <f>графік!E115</f>
        <v>2483333.0333333402</v>
      </c>
      <c r="E120" s="67">
        <f ca="1">графік!H115</f>
        <v>41020.78</v>
      </c>
      <c r="F120" s="66">
        <f>графік!F115</f>
        <v>16666.669999999998</v>
      </c>
      <c r="G120" s="67">
        <f ca="1">графік!G115</f>
        <v>24354.11</v>
      </c>
      <c r="H120" s="67" t="str">
        <f>графік!M115</f>
        <v/>
      </c>
      <c r="I120" s="67"/>
      <c r="J120" s="69" t="str">
        <f>графік!N115</f>
        <v/>
      </c>
      <c r="K120" s="67" t="str">
        <f>графік!I115</f>
        <v/>
      </c>
      <c r="L120" s="67" t="str">
        <f>графік!J115</f>
        <v/>
      </c>
      <c r="M120" s="69">
        <f>графік!K115</f>
        <v>0</v>
      </c>
      <c r="N120" s="67" t="str">
        <f>графік!L115</f>
        <v/>
      </c>
      <c r="O120" s="74" t="str">
        <f>графік!P115</f>
        <v/>
      </c>
      <c r="P120" s="230" t="str">
        <f>графік!Q115</f>
        <v/>
      </c>
    </row>
    <row r="121" spans="1:16" x14ac:dyDescent="0.35">
      <c r="A121" s="63">
        <f>графік!A116</f>
        <v>92</v>
      </c>
      <c r="B121" s="68">
        <f ca="1">графік!C116</f>
        <v>47189</v>
      </c>
      <c r="C121" s="65">
        <f ca="1">графік!D116</f>
        <v>28</v>
      </c>
      <c r="D121" s="66">
        <f>графік!E116</f>
        <v>2466666.3633333403</v>
      </c>
      <c r="E121" s="67">
        <f ca="1">графік!H116</f>
        <v>38517.279999999999</v>
      </c>
      <c r="F121" s="66">
        <f>графік!F116</f>
        <v>16666.669999999998</v>
      </c>
      <c r="G121" s="67">
        <f ca="1">графік!G116</f>
        <v>21850.61</v>
      </c>
      <c r="H121" s="67" t="str">
        <f>графік!M116</f>
        <v/>
      </c>
      <c r="I121" s="67"/>
      <c r="J121" s="69" t="str">
        <f>графік!N116</f>
        <v/>
      </c>
      <c r="K121" s="67" t="str">
        <f>графік!I116</f>
        <v/>
      </c>
      <c r="L121" s="67" t="str">
        <f>графік!J116</f>
        <v/>
      </c>
      <c r="M121" s="69">
        <f>графік!K116</f>
        <v>0</v>
      </c>
      <c r="N121" s="67" t="str">
        <f>графік!L116</f>
        <v/>
      </c>
      <c r="O121" s="74" t="str">
        <f>графік!P116</f>
        <v/>
      </c>
      <c r="P121" s="230" t="str">
        <f>графік!Q116</f>
        <v/>
      </c>
    </row>
    <row r="122" spans="1:16" x14ac:dyDescent="0.35">
      <c r="A122" s="63">
        <f>графік!A117</f>
        <v>93</v>
      </c>
      <c r="B122" s="68">
        <f ca="1">графік!C117</f>
        <v>47220</v>
      </c>
      <c r="C122" s="65">
        <f ca="1">графік!D117</f>
        <v>31</v>
      </c>
      <c r="D122" s="66">
        <f>графік!E117</f>
        <v>2449999.6933333403</v>
      </c>
      <c r="E122" s="67">
        <f ca="1">графік!H117</f>
        <v>40696.06</v>
      </c>
      <c r="F122" s="66">
        <f>графік!F117</f>
        <v>16666.669999999998</v>
      </c>
      <c r="G122" s="67">
        <f ca="1">графік!G117</f>
        <v>24029.39</v>
      </c>
      <c r="H122" s="67" t="str">
        <f>графік!M117</f>
        <v/>
      </c>
      <c r="I122" s="67"/>
      <c r="J122" s="69" t="str">
        <f>графік!N117</f>
        <v/>
      </c>
      <c r="K122" s="67" t="str">
        <f>графік!I117</f>
        <v/>
      </c>
      <c r="L122" s="67" t="str">
        <f>графік!J117</f>
        <v/>
      </c>
      <c r="M122" s="69">
        <f>графік!K117</f>
        <v>0</v>
      </c>
      <c r="N122" s="67" t="str">
        <f>графік!L117</f>
        <v/>
      </c>
      <c r="O122" s="74" t="str">
        <f>графік!P117</f>
        <v/>
      </c>
      <c r="P122" s="230" t="str">
        <f>графік!Q117</f>
        <v/>
      </c>
    </row>
    <row r="123" spans="1:16" x14ac:dyDescent="0.35">
      <c r="A123" s="63">
        <f>графік!A118</f>
        <v>94</v>
      </c>
      <c r="B123" s="68">
        <f ca="1">графік!C118</f>
        <v>47250</v>
      </c>
      <c r="C123" s="65">
        <f ca="1">графік!D118</f>
        <v>30</v>
      </c>
      <c r="D123" s="66">
        <f>графік!E118</f>
        <v>2433333.0233333404</v>
      </c>
      <c r="E123" s="67">
        <f ca="1">графік!H118</f>
        <v>39763.789999999994</v>
      </c>
      <c r="F123" s="66">
        <f>графік!F118</f>
        <v>16666.669999999998</v>
      </c>
      <c r="G123" s="67">
        <f ca="1">графік!G118</f>
        <v>23097.119999999999</v>
      </c>
      <c r="H123" s="67" t="str">
        <f>графік!M118</f>
        <v/>
      </c>
      <c r="I123" s="67"/>
      <c r="J123" s="69" t="str">
        <f>графік!N118</f>
        <v/>
      </c>
      <c r="K123" s="67" t="str">
        <f>графік!I118</f>
        <v/>
      </c>
      <c r="L123" s="67" t="str">
        <f>графік!J118</f>
        <v/>
      </c>
      <c r="M123" s="69">
        <f>графік!K118</f>
        <v>0</v>
      </c>
      <c r="N123" s="67" t="str">
        <f>графік!L118</f>
        <v/>
      </c>
      <c r="O123" s="74" t="str">
        <f>графік!P118</f>
        <v/>
      </c>
      <c r="P123" s="230" t="str">
        <f>графік!Q118</f>
        <v/>
      </c>
    </row>
    <row r="124" spans="1:16" x14ac:dyDescent="0.35">
      <c r="A124" s="63">
        <f>графік!A119</f>
        <v>95</v>
      </c>
      <c r="B124" s="68">
        <f ca="1">графік!C119</f>
        <v>47281</v>
      </c>
      <c r="C124" s="65">
        <f ca="1">графік!D119</f>
        <v>31</v>
      </c>
      <c r="D124" s="66">
        <f>графік!E119</f>
        <v>2416666.3533333405</v>
      </c>
      <c r="E124" s="67">
        <f ca="1">графік!H119</f>
        <v>40371.33</v>
      </c>
      <c r="F124" s="66">
        <f>графік!F119</f>
        <v>16666.669999999998</v>
      </c>
      <c r="G124" s="67">
        <f ca="1">графік!G119</f>
        <v>23704.66</v>
      </c>
      <c r="H124" s="67" t="str">
        <f>графік!M119</f>
        <v/>
      </c>
      <c r="I124" s="67"/>
      <c r="J124" s="69" t="str">
        <f>графік!N119</f>
        <v/>
      </c>
      <c r="K124" s="67" t="str">
        <f>графік!I119</f>
        <v/>
      </c>
      <c r="L124" s="67" t="str">
        <f>графік!J119</f>
        <v/>
      </c>
      <c r="M124" s="69">
        <f>графік!K119</f>
        <v>0</v>
      </c>
      <c r="N124" s="67" t="str">
        <f>графік!L119</f>
        <v/>
      </c>
      <c r="O124" s="74" t="str">
        <f>графік!P119</f>
        <v/>
      </c>
      <c r="P124" s="230" t="str">
        <f>графік!Q119</f>
        <v/>
      </c>
    </row>
    <row r="125" spans="1:16" x14ac:dyDescent="0.35">
      <c r="A125" s="63">
        <f>графік!A120</f>
        <v>96</v>
      </c>
      <c r="B125" s="68">
        <f ca="1">графік!C120</f>
        <v>47311</v>
      </c>
      <c r="C125" s="65">
        <f ca="1">графік!D120</f>
        <v>30</v>
      </c>
      <c r="D125" s="66">
        <f>графік!E120</f>
        <v>2399999.6833333406</v>
      </c>
      <c r="E125" s="67">
        <f ca="1">графік!H120</f>
        <v>39449.539999999994</v>
      </c>
      <c r="F125" s="66">
        <f>графік!F120</f>
        <v>16666.669999999998</v>
      </c>
      <c r="G125" s="67">
        <f ca="1">графік!G120</f>
        <v>22782.87</v>
      </c>
      <c r="H125" s="67" t="str">
        <f>графік!M120</f>
        <v/>
      </c>
      <c r="I125" s="67"/>
      <c r="J125" s="69" t="str">
        <f>графік!N120</f>
        <v/>
      </c>
      <c r="K125" s="67" t="str">
        <f>графік!I120</f>
        <v/>
      </c>
      <c r="L125" s="67" t="str">
        <f>графік!J120</f>
        <v/>
      </c>
      <c r="M125" s="69">
        <f>графік!K120</f>
        <v>0</v>
      </c>
      <c r="N125" s="67" t="str">
        <f>графік!L120</f>
        <v/>
      </c>
      <c r="O125" s="74" t="str">
        <f>графік!P120</f>
        <v/>
      </c>
      <c r="P125" s="230" t="str">
        <f>графік!Q120</f>
        <v/>
      </c>
    </row>
    <row r="126" spans="1:16" x14ac:dyDescent="0.35">
      <c r="A126" s="63">
        <f>графік!A121</f>
        <v>97</v>
      </c>
      <c r="B126" s="68">
        <f ca="1">графік!C121</f>
        <v>47342</v>
      </c>
      <c r="C126" s="65">
        <f ca="1">графік!D121</f>
        <v>31</v>
      </c>
      <c r="D126" s="66">
        <f>графік!E121</f>
        <v>2383333.0133333406</v>
      </c>
      <c r="E126" s="67">
        <f ca="1">графік!H121</f>
        <v>40046.61</v>
      </c>
      <c r="F126" s="66">
        <f>графік!F121</f>
        <v>16666.669999999998</v>
      </c>
      <c r="G126" s="67">
        <f ca="1">графік!G121</f>
        <v>23379.94</v>
      </c>
      <c r="H126" s="67" t="str">
        <f>графік!M121</f>
        <v/>
      </c>
      <c r="I126" s="67"/>
      <c r="J126" s="69" t="str">
        <f>графік!N121</f>
        <v/>
      </c>
      <c r="K126" s="67" t="str">
        <f>графік!I121</f>
        <v/>
      </c>
      <c r="L126" s="67" t="str">
        <f>графік!J121</f>
        <v/>
      </c>
      <c r="M126" s="67">
        <f>графік!K121</f>
        <v>17100</v>
      </c>
      <c r="N126" s="67" t="str">
        <f>графік!L121</f>
        <v/>
      </c>
      <c r="O126" s="74" t="str">
        <f>графік!P121</f>
        <v/>
      </c>
      <c r="P126" s="230" t="str">
        <f>графік!Q121</f>
        <v/>
      </c>
    </row>
    <row r="127" spans="1:16" x14ac:dyDescent="0.35">
      <c r="A127" s="63">
        <f>графік!A122</f>
        <v>98</v>
      </c>
      <c r="B127" s="68">
        <f ca="1">графік!C122</f>
        <v>47373</v>
      </c>
      <c r="C127" s="65">
        <f ca="1">графік!D122</f>
        <v>31</v>
      </c>
      <c r="D127" s="66">
        <f>графік!E122</f>
        <v>2366666.3433333407</v>
      </c>
      <c r="E127" s="67">
        <f ca="1">графік!H122</f>
        <v>39884.25</v>
      </c>
      <c r="F127" s="66">
        <f>графік!F122</f>
        <v>16666.669999999998</v>
      </c>
      <c r="G127" s="67">
        <f ca="1">графік!G122</f>
        <v>23217.58</v>
      </c>
      <c r="H127" s="67" t="str">
        <f>графік!M122</f>
        <v/>
      </c>
      <c r="I127" s="67"/>
      <c r="J127" s="69" t="str">
        <f>графік!N122</f>
        <v/>
      </c>
      <c r="K127" s="67" t="str">
        <f>графік!I122</f>
        <v/>
      </c>
      <c r="L127" s="67" t="str">
        <f>графік!J122</f>
        <v/>
      </c>
      <c r="M127" s="69">
        <f>графік!K122</f>
        <v>0</v>
      </c>
      <c r="N127" s="67" t="str">
        <f>графік!L122</f>
        <v/>
      </c>
      <c r="O127" s="74" t="str">
        <f>графік!P122</f>
        <v/>
      </c>
      <c r="P127" s="230" t="str">
        <f>графік!Q122</f>
        <v/>
      </c>
    </row>
    <row r="128" spans="1:16" x14ac:dyDescent="0.35">
      <c r="A128" s="63">
        <f>графік!A123</f>
        <v>99</v>
      </c>
      <c r="B128" s="68">
        <f ca="1">графік!C123</f>
        <v>47403</v>
      </c>
      <c r="C128" s="65">
        <f ca="1">графік!D123</f>
        <v>30</v>
      </c>
      <c r="D128" s="66">
        <f>графік!E123</f>
        <v>2349999.6733333408</v>
      </c>
      <c r="E128" s="67">
        <f ca="1">графік!H123</f>
        <v>38978.17</v>
      </c>
      <c r="F128" s="66">
        <f>графік!F123</f>
        <v>16666.669999999998</v>
      </c>
      <c r="G128" s="67">
        <f ca="1">графік!G123</f>
        <v>22311.5</v>
      </c>
      <c r="H128" s="67" t="str">
        <f>графік!M123</f>
        <v/>
      </c>
      <c r="I128" s="67"/>
      <c r="J128" s="69" t="str">
        <f>графік!N123</f>
        <v/>
      </c>
      <c r="K128" s="67" t="str">
        <f>графік!I123</f>
        <v/>
      </c>
      <c r="L128" s="67" t="str">
        <f>графік!J123</f>
        <v/>
      </c>
      <c r="M128" s="69">
        <f>графік!K123</f>
        <v>0</v>
      </c>
      <c r="N128" s="67" t="str">
        <f>графік!L123</f>
        <v/>
      </c>
      <c r="O128" s="74" t="str">
        <f>графік!P123</f>
        <v/>
      </c>
      <c r="P128" s="230" t="str">
        <f>графік!Q123</f>
        <v/>
      </c>
    </row>
    <row r="129" spans="1:16" x14ac:dyDescent="0.35">
      <c r="A129" s="63">
        <f>графік!A124</f>
        <v>100</v>
      </c>
      <c r="B129" s="68">
        <f ca="1">графік!C124</f>
        <v>47434</v>
      </c>
      <c r="C129" s="65">
        <f ca="1">графік!D124</f>
        <v>31</v>
      </c>
      <c r="D129" s="66">
        <f>графік!E124</f>
        <v>2333333.0033333409</v>
      </c>
      <c r="E129" s="67">
        <f ca="1">графік!H124</f>
        <v>39559.53</v>
      </c>
      <c r="F129" s="66">
        <f>графік!F124</f>
        <v>16666.669999999998</v>
      </c>
      <c r="G129" s="67">
        <f ca="1">графік!G124</f>
        <v>22892.86</v>
      </c>
      <c r="H129" s="67" t="str">
        <f>графік!M124</f>
        <v/>
      </c>
      <c r="I129" s="67"/>
      <c r="J129" s="69" t="str">
        <f>графік!N124</f>
        <v/>
      </c>
      <c r="K129" s="67" t="str">
        <f>графік!I124</f>
        <v/>
      </c>
      <c r="L129" s="67" t="str">
        <f>графік!J124</f>
        <v/>
      </c>
      <c r="M129" s="69">
        <f>графік!K124</f>
        <v>0</v>
      </c>
      <c r="N129" s="67" t="str">
        <f>графік!L124</f>
        <v/>
      </c>
      <c r="O129" s="74" t="str">
        <f>графік!P124</f>
        <v/>
      </c>
      <c r="P129" s="230" t="str">
        <f>графік!Q124</f>
        <v/>
      </c>
    </row>
    <row r="130" spans="1:16" x14ac:dyDescent="0.35">
      <c r="A130" s="63">
        <f>графік!A125</f>
        <v>101</v>
      </c>
      <c r="B130" s="68">
        <f ca="1">графік!C125</f>
        <v>47464</v>
      </c>
      <c r="C130" s="65">
        <f ca="1">графік!D125</f>
        <v>30</v>
      </c>
      <c r="D130" s="66">
        <f>графік!E125</f>
        <v>2316666.3333333409</v>
      </c>
      <c r="E130" s="67">
        <f ca="1">графік!H125</f>
        <v>38663.929999999993</v>
      </c>
      <c r="F130" s="66">
        <f>графік!F125</f>
        <v>16666.669999999998</v>
      </c>
      <c r="G130" s="67">
        <f ca="1">графік!G125</f>
        <v>21997.26</v>
      </c>
      <c r="H130" s="67" t="str">
        <f>графік!M125</f>
        <v/>
      </c>
      <c r="I130" s="67"/>
      <c r="J130" s="69" t="str">
        <f>графік!N125</f>
        <v/>
      </c>
      <c r="K130" s="67" t="str">
        <f>графік!I125</f>
        <v/>
      </c>
      <c r="L130" s="67" t="str">
        <f>графік!J125</f>
        <v/>
      </c>
      <c r="M130" s="69">
        <f>графік!K125</f>
        <v>0</v>
      </c>
      <c r="N130" s="67" t="str">
        <f>графік!L125</f>
        <v/>
      </c>
      <c r="O130" s="74" t="str">
        <f>графік!P125</f>
        <v/>
      </c>
      <c r="P130" s="230" t="str">
        <f>графік!Q125</f>
        <v/>
      </c>
    </row>
    <row r="131" spans="1:16" x14ac:dyDescent="0.35">
      <c r="A131" s="63">
        <f>графік!A126</f>
        <v>102</v>
      </c>
      <c r="B131" s="68">
        <f ca="1">графік!C126</f>
        <v>47495</v>
      </c>
      <c r="C131" s="65">
        <f ca="1">графік!D126</f>
        <v>31</v>
      </c>
      <c r="D131" s="66">
        <f>графік!E126</f>
        <v>2299999.663333341</v>
      </c>
      <c r="E131" s="67">
        <f ca="1">графік!H126</f>
        <v>39234.81</v>
      </c>
      <c r="F131" s="66">
        <f>графік!F126</f>
        <v>16666.669999999998</v>
      </c>
      <c r="G131" s="67">
        <f ca="1">графік!G126</f>
        <v>22568.14</v>
      </c>
      <c r="H131" s="67" t="str">
        <f>графік!M126</f>
        <v/>
      </c>
      <c r="I131" s="67"/>
      <c r="J131" s="69" t="str">
        <f>графік!N126</f>
        <v/>
      </c>
      <c r="K131" s="67" t="str">
        <f>графік!I126</f>
        <v/>
      </c>
      <c r="L131" s="67" t="str">
        <f>графік!J126</f>
        <v/>
      </c>
      <c r="M131" s="69">
        <f>графік!K126</f>
        <v>0</v>
      </c>
      <c r="N131" s="67" t="str">
        <f>графік!L126</f>
        <v/>
      </c>
      <c r="O131" s="74" t="str">
        <f>графік!P126</f>
        <v/>
      </c>
      <c r="P131" s="230" t="str">
        <f>графік!Q126</f>
        <v/>
      </c>
    </row>
    <row r="132" spans="1:16" x14ac:dyDescent="0.35">
      <c r="A132" s="63">
        <f>графік!A127</f>
        <v>103</v>
      </c>
      <c r="B132" s="68">
        <f ca="1">графік!C127</f>
        <v>47526</v>
      </c>
      <c r="C132" s="65">
        <f ca="1">графік!D127</f>
        <v>31</v>
      </c>
      <c r="D132" s="66">
        <f>графік!E127</f>
        <v>2283332.9933333411</v>
      </c>
      <c r="E132" s="67">
        <f ca="1">графік!H127</f>
        <v>39072.449999999997</v>
      </c>
      <c r="F132" s="66">
        <f>графік!F127</f>
        <v>16666.669999999998</v>
      </c>
      <c r="G132" s="67">
        <f ca="1">графік!G127</f>
        <v>22405.78</v>
      </c>
      <c r="H132" s="67" t="str">
        <f>графік!M127</f>
        <v/>
      </c>
      <c r="I132" s="67"/>
      <c r="J132" s="69" t="str">
        <f>графік!N127</f>
        <v/>
      </c>
      <c r="K132" s="67" t="str">
        <f>графік!I127</f>
        <v/>
      </c>
      <c r="L132" s="67" t="str">
        <f>графік!J127</f>
        <v/>
      </c>
      <c r="M132" s="69">
        <f>графік!K127</f>
        <v>0</v>
      </c>
      <c r="N132" s="67" t="str">
        <f>графік!L127</f>
        <v/>
      </c>
      <c r="O132" s="74" t="str">
        <f>графік!P127</f>
        <v/>
      </c>
      <c r="P132" s="230" t="str">
        <f>графік!Q127</f>
        <v/>
      </c>
    </row>
    <row r="133" spans="1:16" x14ac:dyDescent="0.35">
      <c r="A133" s="63">
        <f>графік!A128</f>
        <v>104</v>
      </c>
      <c r="B133" s="68">
        <f ca="1">графік!C128</f>
        <v>47554</v>
      </c>
      <c r="C133" s="65">
        <f ca="1">графік!D128</f>
        <v>28</v>
      </c>
      <c r="D133" s="66">
        <f>графік!E128</f>
        <v>2266666.3233333412</v>
      </c>
      <c r="E133" s="67">
        <f ca="1">графік!H128</f>
        <v>36757.5</v>
      </c>
      <c r="F133" s="66">
        <f>графік!F128</f>
        <v>16666.669999999998</v>
      </c>
      <c r="G133" s="67">
        <f ca="1">графік!G128</f>
        <v>20090.830000000002</v>
      </c>
      <c r="H133" s="67" t="str">
        <f>графік!M128</f>
        <v/>
      </c>
      <c r="I133" s="67"/>
      <c r="J133" s="69" t="str">
        <f>графік!N128</f>
        <v/>
      </c>
      <c r="K133" s="67" t="str">
        <f>графік!I128</f>
        <v/>
      </c>
      <c r="L133" s="67" t="str">
        <f>графік!J128</f>
        <v/>
      </c>
      <c r="M133" s="69">
        <f>графік!K128</f>
        <v>0</v>
      </c>
      <c r="N133" s="67" t="str">
        <f>графік!L128</f>
        <v/>
      </c>
      <c r="O133" s="74" t="str">
        <f>графік!P128</f>
        <v/>
      </c>
      <c r="P133" s="230" t="str">
        <f>графік!Q128</f>
        <v/>
      </c>
    </row>
    <row r="134" spans="1:16" x14ac:dyDescent="0.35">
      <c r="A134" s="63">
        <f>графік!A129</f>
        <v>105</v>
      </c>
      <c r="B134" s="68">
        <f ca="1">графік!C129</f>
        <v>47585</v>
      </c>
      <c r="C134" s="65">
        <f ca="1">графік!D129</f>
        <v>31</v>
      </c>
      <c r="D134" s="66">
        <f>графік!E129</f>
        <v>2249999.6533333412</v>
      </c>
      <c r="E134" s="67">
        <f ca="1">графік!H129</f>
        <v>38747.729999999996</v>
      </c>
      <c r="F134" s="66">
        <f>графік!F129</f>
        <v>16666.669999999998</v>
      </c>
      <c r="G134" s="67">
        <f ca="1">графік!G129</f>
        <v>22081.06</v>
      </c>
      <c r="H134" s="67" t="str">
        <f>графік!M129</f>
        <v/>
      </c>
      <c r="I134" s="67"/>
      <c r="J134" s="69" t="str">
        <f>графік!N129</f>
        <v/>
      </c>
      <c r="K134" s="67" t="str">
        <f>графік!I129</f>
        <v/>
      </c>
      <c r="L134" s="67" t="str">
        <f>графік!J129</f>
        <v/>
      </c>
      <c r="M134" s="69">
        <f>графік!K129</f>
        <v>0</v>
      </c>
      <c r="N134" s="67" t="str">
        <f>графік!L129</f>
        <v/>
      </c>
      <c r="O134" s="74" t="str">
        <f>графік!P129</f>
        <v/>
      </c>
      <c r="P134" s="230" t="str">
        <f>графік!Q129</f>
        <v/>
      </c>
    </row>
    <row r="135" spans="1:16" x14ac:dyDescent="0.35">
      <c r="A135" s="63">
        <f>графік!A130</f>
        <v>106</v>
      </c>
      <c r="B135" s="68">
        <f ca="1">графік!C130</f>
        <v>47615</v>
      </c>
      <c r="C135" s="65">
        <f ca="1">графік!D130</f>
        <v>30</v>
      </c>
      <c r="D135" s="66">
        <f>графік!E130</f>
        <v>2233332.9833333413</v>
      </c>
      <c r="E135" s="67">
        <f ca="1">графік!H130</f>
        <v>37878.31</v>
      </c>
      <c r="F135" s="66">
        <f>графік!F130</f>
        <v>16666.669999999998</v>
      </c>
      <c r="G135" s="67">
        <f ca="1">графік!G130</f>
        <v>21211.64</v>
      </c>
      <c r="H135" s="67" t="str">
        <f>графік!M130</f>
        <v/>
      </c>
      <c r="I135" s="67"/>
      <c r="J135" s="69" t="str">
        <f>графік!N130</f>
        <v/>
      </c>
      <c r="K135" s="67" t="str">
        <f>графік!I130</f>
        <v/>
      </c>
      <c r="L135" s="67" t="str">
        <f>графік!J130</f>
        <v/>
      </c>
      <c r="M135" s="69">
        <f>графік!K130</f>
        <v>0</v>
      </c>
      <c r="N135" s="67" t="str">
        <f>графік!L130</f>
        <v/>
      </c>
      <c r="O135" s="74" t="str">
        <f>графік!P130</f>
        <v/>
      </c>
      <c r="P135" s="230" t="str">
        <f>графік!Q130</f>
        <v/>
      </c>
    </row>
    <row r="136" spans="1:16" x14ac:dyDescent="0.35">
      <c r="A136" s="63">
        <f>графік!A131</f>
        <v>107</v>
      </c>
      <c r="B136" s="68">
        <f ca="1">графік!C131</f>
        <v>47646</v>
      </c>
      <c r="C136" s="65">
        <f ca="1">графік!D131</f>
        <v>31</v>
      </c>
      <c r="D136" s="66">
        <f>графік!E131</f>
        <v>2216666.3133333414</v>
      </c>
      <c r="E136" s="67">
        <f ca="1">графік!H131</f>
        <v>38423</v>
      </c>
      <c r="F136" s="66">
        <f>графік!F131</f>
        <v>16666.669999999998</v>
      </c>
      <c r="G136" s="67">
        <f ca="1">графік!G131</f>
        <v>21756.33</v>
      </c>
      <c r="H136" s="67" t="str">
        <f>графік!M131</f>
        <v/>
      </c>
      <c r="I136" s="67"/>
      <c r="J136" s="69" t="str">
        <f>графік!N131</f>
        <v/>
      </c>
      <c r="K136" s="67" t="str">
        <f>графік!I131</f>
        <v/>
      </c>
      <c r="L136" s="67" t="str">
        <f>графік!J131</f>
        <v/>
      </c>
      <c r="M136" s="69">
        <f>графік!K131</f>
        <v>0</v>
      </c>
      <c r="N136" s="67" t="str">
        <f>графік!L131</f>
        <v/>
      </c>
      <c r="O136" s="74" t="str">
        <f>графік!P131</f>
        <v/>
      </c>
      <c r="P136" s="230" t="str">
        <f>графік!Q131</f>
        <v/>
      </c>
    </row>
    <row r="137" spans="1:16" x14ac:dyDescent="0.35">
      <c r="A137" s="63">
        <f>графік!A132</f>
        <v>108</v>
      </c>
      <c r="B137" s="68">
        <f ca="1">графік!C132</f>
        <v>47676</v>
      </c>
      <c r="C137" s="65">
        <f ca="1">графік!D132</f>
        <v>30</v>
      </c>
      <c r="D137" s="66">
        <f>графік!E132</f>
        <v>2199999.6433333415</v>
      </c>
      <c r="E137" s="67">
        <f ca="1">графік!H132</f>
        <v>37564.06</v>
      </c>
      <c r="F137" s="66">
        <f>графік!F132</f>
        <v>16666.669999999998</v>
      </c>
      <c r="G137" s="67">
        <f ca="1">графік!G132</f>
        <v>20897.39</v>
      </c>
      <c r="H137" s="67" t="str">
        <f>графік!M132</f>
        <v/>
      </c>
      <c r="I137" s="67"/>
      <c r="J137" s="69" t="str">
        <f>графік!N132</f>
        <v/>
      </c>
      <c r="K137" s="67" t="str">
        <f>графік!I132</f>
        <v/>
      </c>
      <c r="L137" s="67" t="str">
        <f>графік!J132</f>
        <v/>
      </c>
      <c r="M137" s="69">
        <f>графік!K132</f>
        <v>0</v>
      </c>
      <c r="N137" s="67" t="str">
        <f>графік!L132</f>
        <v/>
      </c>
      <c r="O137" s="74" t="str">
        <f>графік!P132</f>
        <v/>
      </c>
      <c r="P137" s="230" t="str">
        <f>графік!Q132</f>
        <v/>
      </c>
    </row>
    <row r="138" spans="1:16" x14ac:dyDescent="0.35">
      <c r="A138" s="63">
        <f>графік!A133</f>
        <v>109</v>
      </c>
      <c r="B138" s="68">
        <f ca="1">графік!C133</f>
        <v>47707</v>
      </c>
      <c r="C138" s="65">
        <f ca="1">графік!D133</f>
        <v>31</v>
      </c>
      <c r="D138" s="66">
        <f>графік!E133</f>
        <v>2183332.9733333415</v>
      </c>
      <c r="E138" s="67">
        <f ca="1">графік!H133</f>
        <v>38098.28</v>
      </c>
      <c r="F138" s="66">
        <f>графік!F133</f>
        <v>16666.669999999998</v>
      </c>
      <c r="G138" s="67">
        <f ca="1">графік!G133</f>
        <v>21431.61</v>
      </c>
      <c r="H138" s="67" t="str">
        <f>графік!M133</f>
        <v/>
      </c>
      <c r="I138" s="67"/>
      <c r="J138" s="69" t="str">
        <f>графік!N133</f>
        <v/>
      </c>
      <c r="K138" s="67" t="str">
        <f>графік!I133</f>
        <v/>
      </c>
      <c r="L138" s="67" t="str">
        <f>графік!J133</f>
        <v/>
      </c>
      <c r="M138" s="67">
        <f>графік!K133</f>
        <v>17100</v>
      </c>
      <c r="N138" s="67" t="str">
        <f>графік!L133</f>
        <v/>
      </c>
      <c r="O138" s="74" t="str">
        <f>графік!P133</f>
        <v/>
      </c>
      <c r="P138" s="230" t="str">
        <f>графік!Q133</f>
        <v/>
      </c>
    </row>
    <row r="139" spans="1:16" x14ac:dyDescent="0.35">
      <c r="A139" s="63">
        <f>графік!A134</f>
        <v>110</v>
      </c>
      <c r="B139" s="68">
        <f ca="1">графік!C134</f>
        <v>47738</v>
      </c>
      <c r="C139" s="65">
        <f ca="1">графік!D134</f>
        <v>31</v>
      </c>
      <c r="D139" s="66">
        <f>графік!E134</f>
        <v>2166666.3033333416</v>
      </c>
      <c r="E139" s="67">
        <f ca="1">графік!H134</f>
        <v>37935.919999999998</v>
      </c>
      <c r="F139" s="66">
        <f>графік!F134</f>
        <v>16666.669999999998</v>
      </c>
      <c r="G139" s="67">
        <f ca="1">графік!G134</f>
        <v>21269.25</v>
      </c>
      <c r="H139" s="67" t="str">
        <f>графік!M134</f>
        <v/>
      </c>
      <c r="I139" s="67"/>
      <c r="J139" s="69" t="str">
        <f>графік!N134</f>
        <v/>
      </c>
      <c r="K139" s="67" t="str">
        <f>графік!I134</f>
        <v/>
      </c>
      <c r="L139" s="67" t="str">
        <f>графік!J134</f>
        <v/>
      </c>
      <c r="M139" s="69">
        <f>графік!K134</f>
        <v>0</v>
      </c>
      <c r="N139" s="67" t="str">
        <f>графік!L134</f>
        <v/>
      </c>
      <c r="O139" s="74" t="str">
        <f>графік!P134</f>
        <v/>
      </c>
      <c r="P139" s="230" t="str">
        <f>графік!Q134</f>
        <v/>
      </c>
    </row>
    <row r="140" spans="1:16" x14ac:dyDescent="0.35">
      <c r="A140" s="63">
        <f>графік!A135</f>
        <v>111</v>
      </c>
      <c r="B140" s="68">
        <f ca="1">графік!C135</f>
        <v>47768</v>
      </c>
      <c r="C140" s="65">
        <f ca="1">графік!D135</f>
        <v>30</v>
      </c>
      <c r="D140" s="66">
        <f>графік!E135</f>
        <v>2149999.6333333417</v>
      </c>
      <c r="E140" s="67">
        <f ca="1">графік!H135</f>
        <v>37092.69</v>
      </c>
      <c r="F140" s="66">
        <f>графік!F135</f>
        <v>16666.669999999998</v>
      </c>
      <c r="G140" s="67">
        <f ca="1">графік!G135</f>
        <v>20426.02</v>
      </c>
      <c r="H140" s="67" t="str">
        <f>графік!M135</f>
        <v/>
      </c>
      <c r="I140" s="67"/>
      <c r="J140" s="69" t="str">
        <f>графік!N135</f>
        <v/>
      </c>
      <c r="K140" s="67" t="str">
        <f>графік!I135</f>
        <v/>
      </c>
      <c r="L140" s="67" t="str">
        <f>графік!J135</f>
        <v/>
      </c>
      <c r="M140" s="69">
        <f>графік!K135</f>
        <v>0</v>
      </c>
      <c r="N140" s="67" t="str">
        <f>графік!L135</f>
        <v/>
      </c>
      <c r="O140" s="74" t="str">
        <f>графік!P135</f>
        <v/>
      </c>
      <c r="P140" s="230" t="str">
        <f>графік!Q135</f>
        <v/>
      </c>
    </row>
    <row r="141" spans="1:16" x14ac:dyDescent="0.35">
      <c r="A141" s="63">
        <f>графік!A136</f>
        <v>112</v>
      </c>
      <c r="B141" s="68">
        <f ca="1">графік!C136</f>
        <v>47799</v>
      </c>
      <c r="C141" s="65">
        <f ca="1">графік!D136</f>
        <v>31</v>
      </c>
      <c r="D141" s="66">
        <f>графік!E136</f>
        <v>2133332.9633333418</v>
      </c>
      <c r="E141" s="67">
        <f ca="1">графік!H136</f>
        <v>37611.199999999997</v>
      </c>
      <c r="F141" s="66">
        <f>графік!F136</f>
        <v>16666.669999999998</v>
      </c>
      <c r="G141" s="67">
        <f ca="1">графік!G136</f>
        <v>20944.53</v>
      </c>
      <c r="H141" s="67" t="str">
        <f>графік!M136</f>
        <v/>
      </c>
      <c r="I141" s="67"/>
      <c r="J141" s="69" t="str">
        <f>графік!N136</f>
        <v/>
      </c>
      <c r="K141" s="67" t="str">
        <f>графік!I136</f>
        <v/>
      </c>
      <c r="L141" s="67" t="str">
        <f>графік!J136</f>
        <v/>
      </c>
      <c r="M141" s="69">
        <f>графік!K136</f>
        <v>0</v>
      </c>
      <c r="N141" s="67" t="str">
        <f>графік!L136</f>
        <v/>
      </c>
      <c r="O141" s="74" t="str">
        <f>графік!P136</f>
        <v/>
      </c>
      <c r="P141" s="230" t="str">
        <f>графік!Q136</f>
        <v/>
      </c>
    </row>
    <row r="142" spans="1:16" x14ac:dyDescent="0.35">
      <c r="A142" s="63">
        <f>графік!A137</f>
        <v>113</v>
      </c>
      <c r="B142" s="68">
        <f ca="1">графік!C137</f>
        <v>47829</v>
      </c>
      <c r="C142" s="65">
        <f ca="1">графік!D137</f>
        <v>30</v>
      </c>
      <c r="D142" s="66">
        <f>графік!E137</f>
        <v>2116666.2933333418</v>
      </c>
      <c r="E142" s="67">
        <f ca="1">графік!H137</f>
        <v>36778.449999999997</v>
      </c>
      <c r="F142" s="66">
        <f>графік!F137</f>
        <v>16666.669999999998</v>
      </c>
      <c r="G142" s="67">
        <f ca="1">графік!G137</f>
        <v>20111.78</v>
      </c>
      <c r="H142" s="67" t="str">
        <f>графік!M137</f>
        <v/>
      </c>
      <c r="I142" s="67"/>
      <c r="J142" s="69" t="str">
        <f>графік!N137</f>
        <v/>
      </c>
      <c r="K142" s="67" t="str">
        <f>графік!I137</f>
        <v/>
      </c>
      <c r="L142" s="67" t="str">
        <f>графік!J137</f>
        <v/>
      </c>
      <c r="M142" s="69">
        <f>графік!K137</f>
        <v>0</v>
      </c>
      <c r="N142" s="67" t="str">
        <f>графік!L137</f>
        <v/>
      </c>
      <c r="O142" s="74" t="str">
        <f>графік!P137</f>
        <v/>
      </c>
      <c r="P142" s="230" t="str">
        <f>графік!Q137</f>
        <v/>
      </c>
    </row>
    <row r="143" spans="1:16" x14ac:dyDescent="0.35">
      <c r="A143" s="63">
        <f>графік!A138</f>
        <v>114</v>
      </c>
      <c r="B143" s="68">
        <f ca="1">графік!C138</f>
        <v>47860</v>
      </c>
      <c r="C143" s="65">
        <f ca="1">графік!D138</f>
        <v>31</v>
      </c>
      <c r="D143" s="66">
        <f>графік!E138</f>
        <v>2099999.6233333419</v>
      </c>
      <c r="E143" s="67">
        <f ca="1">графік!H138</f>
        <v>37286.479999999996</v>
      </c>
      <c r="F143" s="66">
        <f>графік!F138</f>
        <v>16666.669999999998</v>
      </c>
      <c r="G143" s="67">
        <f ca="1">графік!G138</f>
        <v>20619.810000000001</v>
      </c>
      <c r="H143" s="67" t="str">
        <f>графік!M138</f>
        <v/>
      </c>
      <c r="I143" s="67"/>
      <c r="J143" s="69" t="str">
        <f>графік!N138</f>
        <v/>
      </c>
      <c r="K143" s="67" t="str">
        <f>графік!I138</f>
        <v/>
      </c>
      <c r="L143" s="67" t="str">
        <f>графік!J138</f>
        <v/>
      </c>
      <c r="M143" s="69">
        <f>графік!K138</f>
        <v>0</v>
      </c>
      <c r="N143" s="67" t="str">
        <f>графік!L138</f>
        <v/>
      </c>
      <c r="O143" s="74" t="str">
        <f>графік!P138</f>
        <v/>
      </c>
      <c r="P143" s="230" t="str">
        <f>графік!Q138</f>
        <v/>
      </c>
    </row>
    <row r="144" spans="1:16" x14ac:dyDescent="0.35">
      <c r="A144" s="63">
        <f>графік!A139</f>
        <v>115</v>
      </c>
      <c r="B144" s="68">
        <f ca="1">графік!C139</f>
        <v>47891</v>
      </c>
      <c r="C144" s="65">
        <f ca="1">графік!D139</f>
        <v>31</v>
      </c>
      <c r="D144" s="66">
        <f>графік!E139</f>
        <v>2083332.953333342</v>
      </c>
      <c r="E144" s="67">
        <f ca="1">графік!H139</f>
        <v>37124.119999999995</v>
      </c>
      <c r="F144" s="66">
        <f>графік!F139</f>
        <v>16666.669999999998</v>
      </c>
      <c r="G144" s="67">
        <f ca="1">графік!G139</f>
        <v>20457.45</v>
      </c>
      <c r="H144" s="67" t="str">
        <f>графік!M139</f>
        <v/>
      </c>
      <c r="I144" s="67"/>
      <c r="J144" s="69" t="str">
        <f>графік!N139</f>
        <v/>
      </c>
      <c r="K144" s="67" t="str">
        <f>графік!I139</f>
        <v/>
      </c>
      <c r="L144" s="67" t="str">
        <f>графік!J139</f>
        <v/>
      </c>
      <c r="M144" s="69">
        <f>графік!K139</f>
        <v>0</v>
      </c>
      <c r="N144" s="67" t="str">
        <f>графік!L139</f>
        <v/>
      </c>
      <c r="O144" s="74" t="str">
        <f>графік!P139</f>
        <v/>
      </c>
      <c r="P144" s="230" t="str">
        <f>графік!Q139</f>
        <v/>
      </c>
    </row>
    <row r="145" spans="1:16" x14ac:dyDescent="0.35">
      <c r="A145" s="63">
        <f>графік!A140</f>
        <v>116</v>
      </c>
      <c r="B145" s="68">
        <f ca="1">графік!C140</f>
        <v>47919</v>
      </c>
      <c r="C145" s="65">
        <f ca="1">графік!D140</f>
        <v>28</v>
      </c>
      <c r="D145" s="66">
        <f>графік!E140</f>
        <v>2066666.2833333421</v>
      </c>
      <c r="E145" s="67">
        <f ca="1">графік!H140</f>
        <v>34997.72</v>
      </c>
      <c r="F145" s="66">
        <f>графік!F140</f>
        <v>16666.669999999998</v>
      </c>
      <c r="G145" s="67">
        <f ca="1">графік!G140</f>
        <v>18331.05</v>
      </c>
      <c r="H145" s="67" t="str">
        <f>графік!M140</f>
        <v/>
      </c>
      <c r="I145" s="67"/>
      <c r="J145" s="69" t="str">
        <f>графік!N140</f>
        <v/>
      </c>
      <c r="K145" s="67" t="str">
        <f>графік!I140</f>
        <v/>
      </c>
      <c r="L145" s="67" t="str">
        <f>графік!J140</f>
        <v/>
      </c>
      <c r="M145" s="69">
        <f>графік!K140</f>
        <v>0</v>
      </c>
      <c r="N145" s="67" t="str">
        <f>графік!L140</f>
        <v/>
      </c>
      <c r="O145" s="74" t="str">
        <f>графік!P140</f>
        <v/>
      </c>
      <c r="P145" s="230" t="str">
        <f>графік!Q140</f>
        <v/>
      </c>
    </row>
    <row r="146" spans="1:16" x14ac:dyDescent="0.35">
      <c r="A146" s="63">
        <f>графік!A141</f>
        <v>117</v>
      </c>
      <c r="B146" s="68">
        <f ca="1">графік!C141</f>
        <v>47950</v>
      </c>
      <c r="C146" s="65">
        <f ca="1">графік!D141</f>
        <v>31</v>
      </c>
      <c r="D146" s="66">
        <f>графік!E141</f>
        <v>2049999.6133333421</v>
      </c>
      <c r="E146" s="67">
        <f ca="1">графік!H141</f>
        <v>36799.399999999994</v>
      </c>
      <c r="F146" s="66">
        <f>графік!F141</f>
        <v>16666.669999999998</v>
      </c>
      <c r="G146" s="67">
        <f ca="1">графік!G141</f>
        <v>20132.73</v>
      </c>
      <c r="H146" s="67" t="str">
        <f>графік!M141</f>
        <v/>
      </c>
      <c r="I146" s="67"/>
      <c r="J146" s="69" t="str">
        <f>графік!N141</f>
        <v/>
      </c>
      <c r="K146" s="67" t="str">
        <f>графік!I141</f>
        <v/>
      </c>
      <c r="L146" s="67" t="str">
        <f>графік!J141</f>
        <v/>
      </c>
      <c r="M146" s="69">
        <f>графік!K141</f>
        <v>0</v>
      </c>
      <c r="N146" s="67" t="str">
        <f>графік!L141</f>
        <v/>
      </c>
      <c r="O146" s="74" t="str">
        <f>графік!P141</f>
        <v/>
      </c>
      <c r="P146" s="230" t="str">
        <f>графік!Q141</f>
        <v/>
      </c>
    </row>
    <row r="147" spans="1:16" x14ac:dyDescent="0.35">
      <c r="A147" s="63">
        <f>графік!A142</f>
        <v>118</v>
      </c>
      <c r="B147" s="68">
        <f ca="1">графік!C142</f>
        <v>47980</v>
      </c>
      <c r="C147" s="65">
        <f ca="1">графік!D142</f>
        <v>30</v>
      </c>
      <c r="D147" s="66">
        <f>графік!E142</f>
        <v>2033332.9433333422</v>
      </c>
      <c r="E147" s="67">
        <f ca="1">графік!H142</f>
        <v>35992.83</v>
      </c>
      <c r="F147" s="66">
        <f>графік!F142</f>
        <v>16666.669999999998</v>
      </c>
      <c r="G147" s="67">
        <f ca="1">графік!G142</f>
        <v>19326.16</v>
      </c>
      <c r="H147" s="67" t="str">
        <f>графік!M142</f>
        <v/>
      </c>
      <c r="I147" s="67"/>
      <c r="J147" s="69" t="str">
        <f>графік!N142</f>
        <v/>
      </c>
      <c r="K147" s="67" t="str">
        <f>графік!I142</f>
        <v/>
      </c>
      <c r="L147" s="67" t="str">
        <f>графік!J142</f>
        <v/>
      </c>
      <c r="M147" s="69">
        <f>графік!K142</f>
        <v>0</v>
      </c>
      <c r="N147" s="67" t="str">
        <f>графік!L142</f>
        <v/>
      </c>
      <c r="O147" s="74" t="str">
        <f>графік!P142</f>
        <v/>
      </c>
      <c r="P147" s="230" t="str">
        <f>графік!Q142</f>
        <v/>
      </c>
    </row>
    <row r="148" spans="1:16" x14ac:dyDescent="0.35">
      <c r="A148" s="63">
        <f>графік!A143</f>
        <v>119</v>
      </c>
      <c r="B148" s="68">
        <f ca="1">графік!C143</f>
        <v>48011</v>
      </c>
      <c r="C148" s="65">
        <f ca="1">графік!D143</f>
        <v>31</v>
      </c>
      <c r="D148" s="66">
        <f>графік!E143</f>
        <v>2016666.2733333423</v>
      </c>
      <c r="E148" s="67">
        <f ca="1">графік!H143</f>
        <v>36474.679999999993</v>
      </c>
      <c r="F148" s="66">
        <f>графік!F143</f>
        <v>16666.669999999998</v>
      </c>
      <c r="G148" s="67">
        <f ca="1">графік!G143</f>
        <v>19808.009999999998</v>
      </c>
      <c r="H148" s="67" t="str">
        <f>графік!M143</f>
        <v/>
      </c>
      <c r="I148" s="67"/>
      <c r="J148" s="69" t="str">
        <f>графік!N143</f>
        <v/>
      </c>
      <c r="K148" s="67" t="str">
        <f>графік!I143</f>
        <v/>
      </c>
      <c r="L148" s="67" t="str">
        <f>графік!J143</f>
        <v/>
      </c>
      <c r="M148" s="69">
        <f>графік!K143</f>
        <v>0</v>
      </c>
      <c r="N148" s="67" t="str">
        <f>графік!L143</f>
        <v/>
      </c>
      <c r="O148" s="74" t="str">
        <f>графік!P143</f>
        <v/>
      </c>
      <c r="P148" s="230" t="str">
        <f>графік!Q143</f>
        <v/>
      </c>
    </row>
    <row r="149" spans="1:16" x14ac:dyDescent="0.35">
      <c r="A149" s="63">
        <f>графік!A144</f>
        <v>120</v>
      </c>
      <c r="B149" s="68">
        <f ca="1">графік!C144</f>
        <v>48041</v>
      </c>
      <c r="C149" s="65">
        <f ca="1">графік!D144</f>
        <v>30</v>
      </c>
      <c r="D149" s="66">
        <f>графік!E144</f>
        <v>1999999.6033333424</v>
      </c>
      <c r="E149" s="67">
        <f ca="1">графік!H144</f>
        <v>35678.58</v>
      </c>
      <c r="F149" s="66">
        <f>графік!F144</f>
        <v>16666.669999999998</v>
      </c>
      <c r="G149" s="67">
        <f ca="1">графік!G144</f>
        <v>19011.91</v>
      </c>
      <c r="H149" s="67" t="str">
        <f>графік!M144</f>
        <v/>
      </c>
      <c r="I149" s="67"/>
      <c r="J149" s="69" t="str">
        <f>графік!N144</f>
        <v/>
      </c>
      <c r="K149" s="67" t="str">
        <f>графік!I144</f>
        <v/>
      </c>
      <c r="L149" s="67" t="str">
        <f>графік!J144</f>
        <v/>
      </c>
      <c r="M149" s="69">
        <f>графік!K144</f>
        <v>0</v>
      </c>
      <c r="N149" s="67" t="str">
        <f>графік!L144</f>
        <v/>
      </c>
      <c r="O149" s="74" t="str">
        <f>графік!P144</f>
        <v/>
      </c>
      <c r="P149" s="230" t="str">
        <f>графік!Q144</f>
        <v/>
      </c>
    </row>
    <row r="150" spans="1:16" x14ac:dyDescent="0.35">
      <c r="A150" s="63">
        <f>графік!A145</f>
        <v>121</v>
      </c>
      <c r="B150" s="68">
        <f ca="1">графік!C145</f>
        <v>48072</v>
      </c>
      <c r="C150" s="65">
        <f ca="1">графік!D145</f>
        <v>31</v>
      </c>
      <c r="D150" s="66">
        <f>графік!E145</f>
        <v>1983332.9333333424</v>
      </c>
      <c r="E150" s="67">
        <f ca="1">графік!H145</f>
        <v>36149.949999999997</v>
      </c>
      <c r="F150" s="66">
        <f>графік!F145</f>
        <v>16666.669999999998</v>
      </c>
      <c r="G150" s="67">
        <f ca="1">графік!G145</f>
        <v>19483.28</v>
      </c>
      <c r="H150" s="67" t="str">
        <f>графік!M145</f>
        <v/>
      </c>
      <c r="I150" s="67"/>
      <c r="J150" s="69" t="str">
        <f>графік!N145</f>
        <v/>
      </c>
      <c r="K150" s="67" t="str">
        <f>графік!I145</f>
        <v/>
      </c>
      <c r="L150" s="67" t="str">
        <f>графік!J145</f>
        <v/>
      </c>
      <c r="M150" s="67">
        <f>графік!K145</f>
        <v>17100</v>
      </c>
      <c r="N150" s="67" t="str">
        <f>графік!L145</f>
        <v/>
      </c>
      <c r="O150" s="74" t="str">
        <f>графік!P145</f>
        <v/>
      </c>
      <c r="P150" s="230" t="str">
        <f>графік!Q145</f>
        <v/>
      </c>
    </row>
    <row r="151" spans="1:16" x14ac:dyDescent="0.35">
      <c r="A151" s="63">
        <f>графік!A146</f>
        <v>122</v>
      </c>
      <c r="B151" s="68">
        <f ca="1">графік!C146</f>
        <v>48103</v>
      </c>
      <c r="C151" s="65">
        <f ca="1">графік!D146</f>
        <v>31</v>
      </c>
      <c r="D151" s="66">
        <f>графік!E146</f>
        <v>1966666.2633333425</v>
      </c>
      <c r="E151" s="67">
        <f ca="1">графік!H146</f>
        <v>35987.589999999997</v>
      </c>
      <c r="F151" s="66">
        <f>графік!F146</f>
        <v>16666.669999999998</v>
      </c>
      <c r="G151" s="67">
        <f ca="1">графік!G146</f>
        <v>19320.919999999998</v>
      </c>
      <c r="H151" s="67" t="str">
        <f>графік!M146</f>
        <v/>
      </c>
      <c r="I151" s="67"/>
      <c r="J151" s="69" t="str">
        <f>графік!N146</f>
        <v/>
      </c>
      <c r="K151" s="67" t="str">
        <f>графік!I146</f>
        <v/>
      </c>
      <c r="L151" s="67" t="str">
        <f>графік!J146</f>
        <v/>
      </c>
      <c r="M151" s="69">
        <f>графік!K146</f>
        <v>0</v>
      </c>
      <c r="N151" s="67" t="str">
        <f>графік!L146</f>
        <v/>
      </c>
      <c r="O151" s="74" t="str">
        <f>графік!P146</f>
        <v/>
      </c>
      <c r="P151" s="230" t="str">
        <f>графік!Q146</f>
        <v/>
      </c>
    </row>
    <row r="152" spans="1:16" x14ac:dyDescent="0.35">
      <c r="A152" s="63">
        <f>графік!A147</f>
        <v>123</v>
      </c>
      <c r="B152" s="68">
        <f ca="1">графік!C147</f>
        <v>48133</v>
      </c>
      <c r="C152" s="65">
        <f ca="1">графік!D147</f>
        <v>30</v>
      </c>
      <c r="D152" s="66">
        <f>графік!E147</f>
        <v>1949999.5933333426</v>
      </c>
      <c r="E152" s="67">
        <f ca="1">графік!H147</f>
        <v>35207.21</v>
      </c>
      <c r="F152" s="66">
        <f>графік!F147</f>
        <v>16666.669999999998</v>
      </c>
      <c r="G152" s="67">
        <f ca="1">графік!G147</f>
        <v>18540.54</v>
      </c>
      <c r="H152" s="67" t="str">
        <f>графік!M147</f>
        <v/>
      </c>
      <c r="I152" s="67"/>
      <c r="J152" s="69" t="str">
        <f>графік!N147</f>
        <v/>
      </c>
      <c r="K152" s="67" t="str">
        <f>графік!I147</f>
        <v/>
      </c>
      <c r="L152" s="67" t="str">
        <f>графік!J147</f>
        <v/>
      </c>
      <c r="M152" s="69">
        <f>графік!K147</f>
        <v>0</v>
      </c>
      <c r="N152" s="67" t="str">
        <f>графік!L147</f>
        <v/>
      </c>
      <c r="O152" s="74" t="str">
        <f>графік!P147</f>
        <v/>
      </c>
      <c r="P152" s="230" t="str">
        <f>графік!Q147</f>
        <v/>
      </c>
    </row>
    <row r="153" spans="1:16" x14ac:dyDescent="0.35">
      <c r="A153" s="63">
        <f>графік!A148</f>
        <v>124</v>
      </c>
      <c r="B153" s="68">
        <f ca="1">графік!C148</f>
        <v>48164</v>
      </c>
      <c r="C153" s="65">
        <f ca="1">графік!D148</f>
        <v>31</v>
      </c>
      <c r="D153" s="66">
        <f>графік!E148</f>
        <v>1933332.9233333427</v>
      </c>
      <c r="E153" s="67">
        <f ca="1">графік!H148</f>
        <v>35662.869999999995</v>
      </c>
      <c r="F153" s="66">
        <f>графік!F148</f>
        <v>16666.669999999998</v>
      </c>
      <c r="G153" s="67">
        <f ca="1">графік!G148</f>
        <v>18996.2</v>
      </c>
      <c r="H153" s="67" t="str">
        <f>графік!M148</f>
        <v/>
      </c>
      <c r="I153" s="67"/>
      <c r="J153" s="69" t="str">
        <f>графік!N148</f>
        <v/>
      </c>
      <c r="K153" s="67" t="str">
        <f>графік!I148</f>
        <v/>
      </c>
      <c r="L153" s="67" t="str">
        <f>графік!J148</f>
        <v/>
      </c>
      <c r="M153" s="69">
        <f>графік!K148</f>
        <v>0</v>
      </c>
      <c r="N153" s="67" t="str">
        <f>графік!L148</f>
        <v/>
      </c>
      <c r="O153" s="74" t="str">
        <f>графік!P148</f>
        <v/>
      </c>
      <c r="P153" s="230" t="str">
        <f>графік!Q148</f>
        <v/>
      </c>
    </row>
    <row r="154" spans="1:16" x14ac:dyDescent="0.35">
      <c r="A154" s="63">
        <f>графік!A149</f>
        <v>125</v>
      </c>
      <c r="B154" s="68">
        <f ca="1">графік!C149</f>
        <v>48194</v>
      </c>
      <c r="C154" s="65">
        <f ca="1">графік!D149</f>
        <v>30</v>
      </c>
      <c r="D154" s="66">
        <f>графік!E149</f>
        <v>1916666.2533333427</v>
      </c>
      <c r="E154" s="67">
        <f ca="1">графік!H149</f>
        <v>34892.97</v>
      </c>
      <c r="F154" s="66">
        <f>графік!F149</f>
        <v>16666.669999999998</v>
      </c>
      <c r="G154" s="67">
        <f ca="1">графік!G149</f>
        <v>18226.3</v>
      </c>
      <c r="H154" s="67" t="str">
        <f>графік!M149</f>
        <v/>
      </c>
      <c r="I154" s="67"/>
      <c r="J154" s="69" t="str">
        <f>графік!N149</f>
        <v/>
      </c>
      <c r="K154" s="67" t="str">
        <f>графік!I149</f>
        <v/>
      </c>
      <c r="L154" s="67" t="str">
        <f>графік!J149</f>
        <v/>
      </c>
      <c r="M154" s="69">
        <f>графік!K149</f>
        <v>0</v>
      </c>
      <c r="N154" s="67" t="str">
        <f>графік!L149</f>
        <v/>
      </c>
      <c r="O154" s="74" t="str">
        <f>графік!P149</f>
        <v/>
      </c>
      <c r="P154" s="230" t="str">
        <f>графік!Q149</f>
        <v/>
      </c>
    </row>
    <row r="155" spans="1:16" x14ac:dyDescent="0.35">
      <c r="A155" s="63">
        <f>графік!A150</f>
        <v>126</v>
      </c>
      <c r="B155" s="68">
        <f ca="1">графік!C150</f>
        <v>48225</v>
      </c>
      <c r="C155" s="65">
        <f ca="1">графік!D150</f>
        <v>31</v>
      </c>
      <c r="D155" s="66">
        <f>графік!E150</f>
        <v>1899999.5833333428</v>
      </c>
      <c r="E155" s="67">
        <f ca="1">графік!H150</f>
        <v>35320.050000000003</v>
      </c>
      <c r="F155" s="66">
        <f>графік!F150</f>
        <v>16666.669999999998</v>
      </c>
      <c r="G155" s="67">
        <f ca="1">графік!G150</f>
        <v>18653.38</v>
      </c>
      <c r="H155" s="67" t="str">
        <f>графік!M150</f>
        <v/>
      </c>
      <c r="I155" s="67"/>
      <c r="J155" s="69" t="str">
        <f>графік!N150</f>
        <v/>
      </c>
      <c r="K155" s="67" t="str">
        <f>графік!I150</f>
        <v/>
      </c>
      <c r="L155" s="67" t="str">
        <f>графік!J150</f>
        <v/>
      </c>
      <c r="M155" s="69">
        <f>графік!K150</f>
        <v>0</v>
      </c>
      <c r="N155" s="67" t="str">
        <f>графік!L150</f>
        <v/>
      </c>
      <c r="O155" s="74" t="str">
        <f>графік!P150</f>
        <v/>
      </c>
      <c r="P155" s="230" t="str">
        <f>графік!Q150</f>
        <v/>
      </c>
    </row>
    <row r="156" spans="1:16" x14ac:dyDescent="0.35">
      <c r="A156" s="63">
        <f>графік!A151</f>
        <v>127</v>
      </c>
      <c r="B156" s="68">
        <f ca="1">графік!C151</f>
        <v>48256</v>
      </c>
      <c r="C156" s="65">
        <f ca="1">графік!D151</f>
        <v>31</v>
      </c>
      <c r="D156" s="66">
        <f>графік!E151</f>
        <v>1883332.9133333429</v>
      </c>
      <c r="E156" s="67">
        <f ca="1">графік!H151</f>
        <v>35125.22</v>
      </c>
      <c r="F156" s="66">
        <f>графік!F151</f>
        <v>16666.669999999998</v>
      </c>
      <c r="G156" s="67">
        <f ca="1">графік!G151</f>
        <v>18458.55</v>
      </c>
      <c r="H156" s="67" t="str">
        <f>графік!M151</f>
        <v/>
      </c>
      <c r="I156" s="67"/>
      <c r="J156" s="69" t="str">
        <f>графік!N151</f>
        <v/>
      </c>
      <c r="K156" s="67" t="str">
        <f>графік!I151</f>
        <v/>
      </c>
      <c r="L156" s="67" t="str">
        <f>графік!J151</f>
        <v/>
      </c>
      <c r="M156" s="69">
        <f>графік!K151</f>
        <v>0</v>
      </c>
      <c r="N156" s="67" t="str">
        <f>графік!L151</f>
        <v/>
      </c>
      <c r="O156" s="74" t="str">
        <f>графік!P151</f>
        <v/>
      </c>
      <c r="P156" s="230" t="str">
        <f>графік!Q151</f>
        <v/>
      </c>
    </row>
    <row r="157" spans="1:16" x14ac:dyDescent="0.35">
      <c r="A157" s="63">
        <f>графік!A152</f>
        <v>128</v>
      </c>
      <c r="B157" s="68">
        <f ca="1">графік!C152</f>
        <v>48285</v>
      </c>
      <c r="C157" s="65">
        <f ca="1">графік!D152</f>
        <v>29</v>
      </c>
      <c r="D157" s="66">
        <f>графік!E152</f>
        <v>1866666.243333343</v>
      </c>
      <c r="E157" s="67">
        <f ca="1">графік!H152</f>
        <v>33782.869999999995</v>
      </c>
      <c r="F157" s="66">
        <f>графік!F152</f>
        <v>16666.669999999998</v>
      </c>
      <c r="G157" s="67">
        <f ca="1">графік!G152</f>
        <v>17116.2</v>
      </c>
      <c r="H157" s="67" t="str">
        <f>графік!M152</f>
        <v/>
      </c>
      <c r="I157" s="67"/>
      <c r="J157" s="69" t="str">
        <f>графік!N152</f>
        <v/>
      </c>
      <c r="K157" s="67" t="str">
        <f>графік!I152</f>
        <v/>
      </c>
      <c r="L157" s="67" t="str">
        <f>графік!J152</f>
        <v/>
      </c>
      <c r="M157" s="69">
        <f>графік!K152</f>
        <v>0</v>
      </c>
      <c r="N157" s="67" t="str">
        <f>графік!L152</f>
        <v/>
      </c>
      <c r="O157" s="74" t="str">
        <f>графік!P152</f>
        <v/>
      </c>
      <c r="P157" s="230" t="str">
        <f>графік!Q152</f>
        <v/>
      </c>
    </row>
    <row r="158" spans="1:16" x14ac:dyDescent="0.35">
      <c r="A158" s="63">
        <f>графік!A153</f>
        <v>129</v>
      </c>
      <c r="B158" s="68">
        <f ca="1">графік!C153</f>
        <v>48316</v>
      </c>
      <c r="C158" s="65">
        <f ca="1">графік!D153</f>
        <v>31</v>
      </c>
      <c r="D158" s="66">
        <f>графік!E153</f>
        <v>1849999.573333343</v>
      </c>
      <c r="E158" s="67">
        <f ca="1">графік!H153</f>
        <v>34801.379999999997</v>
      </c>
      <c r="F158" s="66">
        <f>графік!F153</f>
        <v>16666.669999999998</v>
      </c>
      <c r="G158" s="67">
        <f ca="1">графік!G153</f>
        <v>18134.71</v>
      </c>
      <c r="H158" s="67" t="str">
        <f>графік!M153</f>
        <v/>
      </c>
      <c r="I158" s="67"/>
      <c r="J158" s="69" t="str">
        <f>графік!N153</f>
        <v/>
      </c>
      <c r="K158" s="67" t="str">
        <f>графік!I153</f>
        <v/>
      </c>
      <c r="L158" s="67" t="str">
        <f>графік!J153</f>
        <v/>
      </c>
      <c r="M158" s="69">
        <f>графік!K153</f>
        <v>0</v>
      </c>
      <c r="N158" s="67" t="str">
        <f>графік!L153</f>
        <v/>
      </c>
      <c r="O158" s="74" t="str">
        <f>графік!P153</f>
        <v/>
      </c>
      <c r="P158" s="230" t="str">
        <f>графік!Q153</f>
        <v/>
      </c>
    </row>
    <row r="159" spans="1:16" x14ac:dyDescent="0.35">
      <c r="A159" s="63">
        <f>графік!A154</f>
        <v>130</v>
      </c>
      <c r="B159" s="68">
        <f ca="1">графік!C154</f>
        <v>48346</v>
      </c>
      <c r="C159" s="65">
        <f ca="1">графік!D154</f>
        <v>30</v>
      </c>
      <c r="D159" s="66">
        <f>графік!E154</f>
        <v>1833332.9033333431</v>
      </c>
      <c r="E159" s="67">
        <f ca="1">графік!H154</f>
        <v>34059.699999999997</v>
      </c>
      <c r="F159" s="66">
        <f>графік!F154</f>
        <v>16666.669999999998</v>
      </c>
      <c r="G159" s="67">
        <f ca="1">графік!G154</f>
        <v>17393.03</v>
      </c>
      <c r="H159" s="67" t="str">
        <f>графік!M154</f>
        <v/>
      </c>
      <c r="I159" s="67"/>
      <c r="J159" s="69" t="str">
        <f>графік!N154</f>
        <v/>
      </c>
      <c r="K159" s="67" t="str">
        <f>графік!I154</f>
        <v/>
      </c>
      <c r="L159" s="67" t="str">
        <f>графік!J154</f>
        <v/>
      </c>
      <c r="M159" s="69">
        <f>графік!K154</f>
        <v>0</v>
      </c>
      <c r="N159" s="67" t="str">
        <f>графік!L154</f>
        <v/>
      </c>
      <c r="O159" s="74" t="str">
        <f>графік!P154</f>
        <v/>
      </c>
      <c r="P159" s="230" t="str">
        <f>графік!Q154</f>
        <v/>
      </c>
    </row>
    <row r="160" spans="1:16" x14ac:dyDescent="0.35">
      <c r="A160" s="63">
        <f>графік!A155</f>
        <v>131</v>
      </c>
      <c r="B160" s="68">
        <f ca="1">графік!C155</f>
        <v>48377</v>
      </c>
      <c r="C160" s="65">
        <f ca="1">графік!D155</f>
        <v>31</v>
      </c>
      <c r="D160" s="66">
        <f>графік!E155</f>
        <v>1816666.2333333432</v>
      </c>
      <c r="E160" s="67">
        <f ca="1">графік!H155</f>
        <v>34477.550000000003</v>
      </c>
      <c r="F160" s="66">
        <f>графік!F155</f>
        <v>16666.669999999998</v>
      </c>
      <c r="G160" s="67">
        <f ca="1">графік!G155</f>
        <v>17810.88</v>
      </c>
      <c r="H160" s="67" t="str">
        <f>графік!M155</f>
        <v/>
      </c>
      <c r="I160" s="67"/>
      <c r="J160" s="69" t="str">
        <f>графік!N155</f>
        <v/>
      </c>
      <c r="K160" s="67" t="str">
        <f>графік!I155</f>
        <v/>
      </c>
      <c r="L160" s="67" t="str">
        <f>графік!J155</f>
        <v/>
      </c>
      <c r="M160" s="69">
        <f>графік!K155</f>
        <v>0</v>
      </c>
      <c r="N160" s="67" t="str">
        <f>графік!L155</f>
        <v/>
      </c>
      <c r="O160" s="74" t="str">
        <f>графік!P155</f>
        <v/>
      </c>
      <c r="P160" s="230" t="str">
        <f>графік!Q155</f>
        <v/>
      </c>
    </row>
    <row r="161" spans="1:16" x14ac:dyDescent="0.35">
      <c r="A161" s="63">
        <f>графік!A156</f>
        <v>132</v>
      </c>
      <c r="B161" s="68">
        <f ca="1">графік!C156</f>
        <v>48407</v>
      </c>
      <c r="C161" s="65">
        <f ca="1">графік!D156</f>
        <v>30</v>
      </c>
      <c r="D161" s="66">
        <f>графік!E156</f>
        <v>1799999.5633333432</v>
      </c>
      <c r="E161" s="67">
        <f ca="1">графік!H156</f>
        <v>33746.31</v>
      </c>
      <c r="F161" s="66">
        <f>графік!F156</f>
        <v>16666.669999999998</v>
      </c>
      <c r="G161" s="67">
        <f ca="1">графік!G156</f>
        <v>17079.64</v>
      </c>
      <c r="H161" s="67" t="str">
        <f>графік!M156</f>
        <v/>
      </c>
      <c r="I161" s="67"/>
      <c r="J161" s="69" t="str">
        <f>графік!N156</f>
        <v/>
      </c>
      <c r="K161" s="67" t="str">
        <f>графік!I156</f>
        <v/>
      </c>
      <c r="L161" s="67" t="str">
        <f>графік!J156</f>
        <v/>
      </c>
      <c r="M161" s="69">
        <f>графік!K156</f>
        <v>0</v>
      </c>
      <c r="N161" s="67" t="str">
        <f>графік!L156</f>
        <v/>
      </c>
      <c r="O161" s="74" t="str">
        <f>графік!P156</f>
        <v/>
      </c>
      <c r="P161" s="230" t="str">
        <f>графік!Q156</f>
        <v/>
      </c>
    </row>
    <row r="162" spans="1:16" x14ac:dyDescent="0.35">
      <c r="A162" s="63">
        <f>графік!A157</f>
        <v>133</v>
      </c>
      <c r="B162" s="68">
        <f ca="1">графік!C157</f>
        <v>48438</v>
      </c>
      <c r="C162" s="65">
        <f ca="1">графік!D157</f>
        <v>31</v>
      </c>
      <c r="D162" s="66">
        <f>графік!E157</f>
        <v>1783332.8933333433</v>
      </c>
      <c r="E162" s="67">
        <f ca="1">графік!H157</f>
        <v>34153.71</v>
      </c>
      <c r="F162" s="66">
        <f>графік!F157</f>
        <v>16666.669999999998</v>
      </c>
      <c r="G162" s="67">
        <f ca="1">графік!G157</f>
        <v>17487.04</v>
      </c>
      <c r="H162" s="67" t="str">
        <f>графік!M157</f>
        <v/>
      </c>
      <c r="I162" s="67"/>
      <c r="J162" s="69" t="str">
        <f>графік!N157</f>
        <v/>
      </c>
      <c r="K162" s="67" t="str">
        <f>графік!I157</f>
        <v/>
      </c>
      <c r="L162" s="67" t="str">
        <f>графік!J157</f>
        <v/>
      </c>
      <c r="M162" s="67">
        <f>графік!K157</f>
        <v>17100</v>
      </c>
      <c r="N162" s="67" t="str">
        <f>графік!L157</f>
        <v/>
      </c>
      <c r="O162" s="74" t="str">
        <f>графік!P157</f>
        <v/>
      </c>
      <c r="P162" s="230" t="str">
        <f>графік!Q157</f>
        <v/>
      </c>
    </row>
    <row r="163" spans="1:16" x14ac:dyDescent="0.35">
      <c r="A163" s="63">
        <f>графік!A158</f>
        <v>134</v>
      </c>
      <c r="B163" s="68">
        <f ca="1">графік!C158</f>
        <v>48469</v>
      </c>
      <c r="C163" s="65">
        <f ca="1">графік!D158</f>
        <v>31</v>
      </c>
      <c r="D163" s="66">
        <f>графік!E158</f>
        <v>1766666.2233333434</v>
      </c>
      <c r="E163" s="67">
        <f ca="1">графік!H158</f>
        <v>33991.800000000003</v>
      </c>
      <c r="F163" s="66">
        <f>графік!F158</f>
        <v>16666.669999999998</v>
      </c>
      <c r="G163" s="67">
        <f ca="1">графік!G158</f>
        <v>17325.13</v>
      </c>
      <c r="H163" s="67" t="str">
        <f>графік!M158</f>
        <v/>
      </c>
      <c r="I163" s="67"/>
      <c r="J163" s="69" t="str">
        <f>графік!N158</f>
        <v/>
      </c>
      <c r="K163" s="67" t="str">
        <f>графік!I158</f>
        <v/>
      </c>
      <c r="L163" s="67" t="str">
        <f>графік!J158</f>
        <v/>
      </c>
      <c r="M163" s="69">
        <f>графік!K158</f>
        <v>0</v>
      </c>
      <c r="N163" s="67" t="str">
        <f>графік!L158</f>
        <v/>
      </c>
      <c r="O163" s="74" t="str">
        <f>графік!P158</f>
        <v/>
      </c>
      <c r="P163" s="230" t="str">
        <f>графік!Q158</f>
        <v/>
      </c>
    </row>
    <row r="164" spans="1:16" x14ac:dyDescent="0.35">
      <c r="A164" s="63">
        <f>графік!A159</f>
        <v>135</v>
      </c>
      <c r="B164" s="68">
        <f ca="1">графік!C159</f>
        <v>48499</v>
      </c>
      <c r="C164" s="65">
        <f ca="1">графік!D159</f>
        <v>30</v>
      </c>
      <c r="D164" s="66">
        <f>графік!E159</f>
        <v>1749999.5533333435</v>
      </c>
      <c r="E164" s="67">
        <f ca="1">графік!H159</f>
        <v>33276.229999999996</v>
      </c>
      <c r="F164" s="66">
        <f>графік!F159</f>
        <v>16666.669999999998</v>
      </c>
      <c r="G164" s="67">
        <f ca="1">графік!G159</f>
        <v>16609.560000000001</v>
      </c>
      <c r="H164" s="67" t="str">
        <f>графік!M159</f>
        <v/>
      </c>
      <c r="I164" s="67"/>
      <c r="J164" s="69" t="str">
        <f>графік!N159</f>
        <v/>
      </c>
      <c r="K164" s="67" t="str">
        <f>графік!I159</f>
        <v/>
      </c>
      <c r="L164" s="67" t="str">
        <f>графік!J159</f>
        <v/>
      </c>
      <c r="M164" s="69">
        <f>графік!K159</f>
        <v>0</v>
      </c>
      <c r="N164" s="67" t="str">
        <f>графік!L159</f>
        <v/>
      </c>
      <c r="O164" s="74" t="str">
        <f>графік!P159</f>
        <v/>
      </c>
      <c r="P164" s="230" t="str">
        <f>графік!Q159</f>
        <v/>
      </c>
    </row>
    <row r="165" spans="1:16" x14ac:dyDescent="0.35">
      <c r="A165" s="63">
        <f>графік!A160</f>
        <v>136</v>
      </c>
      <c r="B165" s="68">
        <f ca="1">графік!C160</f>
        <v>48530</v>
      </c>
      <c r="C165" s="65">
        <f ca="1">графік!D160</f>
        <v>31</v>
      </c>
      <c r="D165" s="66">
        <f>графік!E160</f>
        <v>1733332.8833333435</v>
      </c>
      <c r="E165" s="67">
        <f ca="1">графік!H160</f>
        <v>33667.96</v>
      </c>
      <c r="F165" s="66">
        <f>графік!F160</f>
        <v>16666.669999999998</v>
      </c>
      <c r="G165" s="67">
        <f ca="1">графік!G160</f>
        <v>17001.29</v>
      </c>
      <c r="H165" s="67" t="str">
        <f>графік!M160</f>
        <v/>
      </c>
      <c r="I165" s="67"/>
      <c r="J165" s="69" t="str">
        <f>графік!N160</f>
        <v/>
      </c>
      <c r="K165" s="67" t="str">
        <f>графік!I160</f>
        <v/>
      </c>
      <c r="L165" s="67" t="str">
        <f>графік!J160</f>
        <v/>
      </c>
      <c r="M165" s="69">
        <f>графік!K160</f>
        <v>0</v>
      </c>
      <c r="N165" s="67" t="str">
        <f>графік!L160</f>
        <v/>
      </c>
      <c r="O165" s="74" t="str">
        <f>графік!P160</f>
        <v/>
      </c>
      <c r="P165" s="230" t="str">
        <f>графік!Q160</f>
        <v/>
      </c>
    </row>
    <row r="166" spans="1:16" x14ac:dyDescent="0.35">
      <c r="A166" s="63">
        <f>графік!A161</f>
        <v>137</v>
      </c>
      <c r="B166" s="68">
        <f ca="1">графік!C161</f>
        <v>48560</v>
      </c>
      <c r="C166" s="65">
        <f ca="1">графік!D161</f>
        <v>30</v>
      </c>
      <c r="D166" s="66">
        <f>графік!E161</f>
        <v>1716666.2133333436</v>
      </c>
      <c r="E166" s="67">
        <f ca="1">графік!H161</f>
        <v>32962.839999999997</v>
      </c>
      <c r="F166" s="66">
        <f>графік!F161</f>
        <v>16666.669999999998</v>
      </c>
      <c r="G166" s="67">
        <f ca="1">графік!G161</f>
        <v>16296.17</v>
      </c>
      <c r="H166" s="67" t="str">
        <f>графік!M161</f>
        <v/>
      </c>
      <c r="I166" s="67"/>
      <c r="J166" s="69" t="str">
        <f>графік!N161</f>
        <v/>
      </c>
      <c r="K166" s="67" t="str">
        <f>графік!I161</f>
        <v/>
      </c>
      <c r="L166" s="67" t="str">
        <f>графік!J161</f>
        <v/>
      </c>
      <c r="M166" s="69">
        <f>графік!K161</f>
        <v>0</v>
      </c>
      <c r="N166" s="67" t="str">
        <f>графік!L161</f>
        <v/>
      </c>
      <c r="O166" s="74" t="str">
        <f>графік!P161</f>
        <v/>
      </c>
      <c r="P166" s="230" t="str">
        <f>графік!Q161</f>
        <v/>
      </c>
    </row>
    <row r="167" spans="1:16" x14ac:dyDescent="0.35">
      <c r="A167" s="63">
        <f>графік!A162</f>
        <v>138</v>
      </c>
      <c r="B167" s="68">
        <f ca="1">графік!C162</f>
        <v>48591</v>
      </c>
      <c r="C167" s="65">
        <f ca="1">графік!D162</f>
        <v>31</v>
      </c>
      <c r="D167" s="66">
        <f>графік!E162</f>
        <v>1699999.5433333437</v>
      </c>
      <c r="E167" s="67">
        <f ca="1">графік!H162</f>
        <v>33360.339999999997</v>
      </c>
      <c r="F167" s="66">
        <f>графік!F162</f>
        <v>16666.669999999998</v>
      </c>
      <c r="G167" s="67">
        <f ca="1">графік!G162</f>
        <v>16693.669999999998</v>
      </c>
      <c r="H167" s="67" t="str">
        <f>графік!M162</f>
        <v/>
      </c>
      <c r="I167" s="67"/>
      <c r="J167" s="69" t="str">
        <f>графік!N162</f>
        <v/>
      </c>
      <c r="K167" s="67" t="str">
        <f>графік!I162</f>
        <v/>
      </c>
      <c r="L167" s="67" t="str">
        <f>графік!J162</f>
        <v/>
      </c>
      <c r="M167" s="69">
        <f>графік!K162</f>
        <v>0</v>
      </c>
      <c r="N167" s="67" t="str">
        <f>графік!L162</f>
        <v/>
      </c>
      <c r="O167" s="74" t="str">
        <f>графік!P162</f>
        <v/>
      </c>
      <c r="P167" s="230" t="str">
        <f>графік!Q162</f>
        <v/>
      </c>
    </row>
    <row r="168" spans="1:16" x14ac:dyDescent="0.35">
      <c r="A168" s="63">
        <f>графік!A163</f>
        <v>139</v>
      </c>
      <c r="B168" s="68">
        <f ca="1">графік!C163</f>
        <v>48622</v>
      </c>
      <c r="C168" s="65">
        <f ca="1">графік!D163</f>
        <v>31</v>
      </c>
      <c r="D168" s="66">
        <f>графік!E163</f>
        <v>1683332.8733333438</v>
      </c>
      <c r="E168" s="67">
        <f ca="1">графік!H163</f>
        <v>33227.46</v>
      </c>
      <c r="F168" s="66">
        <f>графік!F163</f>
        <v>16666.669999999998</v>
      </c>
      <c r="G168" s="67">
        <f ca="1">графік!G163</f>
        <v>16560.79</v>
      </c>
      <c r="H168" s="67" t="str">
        <f>графік!M163</f>
        <v/>
      </c>
      <c r="I168" s="67"/>
      <c r="J168" s="69" t="str">
        <f>графік!N163</f>
        <v/>
      </c>
      <c r="K168" s="67" t="str">
        <f>графік!I163</f>
        <v/>
      </c>
      <c r="L168" s="67" t="str">
        <f>графік!J163</f>
        <v/>
      </c>
      <c r="M168" s="69">
        <f>графік!K163</f>
        <v>0</v>
      </c>
      <c r="N168" s="67" t="str">
        <f>графік!L163</f>
        <v/>
      </c>
      <c r="O168" s="74" t="str">
        <f>графік!P163</f>
        <v/>
      </c>
      <c r="P168" s="230" t="str">
        <f>графік!Q163</f>
        <v/>
      </c>
    </row>
    <row r="169" spans="1:16" x14ac:dyDescent="0.35">
      <c r="A169" s="63">
        <f>графік!A164</f>
        <v>140</v>
      </c>
      <c r="B169" s="68">
        <f ca="1">графік!C164</f>
        <v>48650</v>
      </c>
      <c r="C169" s="65">
        <f ca="1">графік!D164</f>
        <v>28</v>
      </c>
      <c r="D169" s="66">
        <f>графік!E164</f>
        <v>1666666.2033333438</v>
      </c>
      <c r="E169" s="67">
        <f ca="1">графік!H164</f>
        <v>31478.149999999998</v>
      </c>
      <c r="F169" s="66">
        <f>графік!F164</f>
        <v>16666.669999999998</v>
      </c>
      <c r="G169" s="67">
        <f ca="1">графік!G164</f>
        <v>14811.48</v>
      </c>
      <c r="H169" s="67" t="str">
        <f>графік!M164</f>
        <v/>
      </c>
      <c r="I169" s="67"/>
      <c r="J169" s="69" t="str">
        <f>графік!N164</f>
        <v/>
      </c>
      <c r="K169" s="67" t="str">
        <f>графік!I164</f>
        <v/>
      </c>
      <c r="L169" s="67" t="str">
        <f>графік!J164</f>
        <v/>
      </c>
      <c r="M169" s="69">
        <f>графік!K164</f>
        <v>0</v>
      </c>
      <c r="N169" s="67" t="str">
        <f>графік!L164</f>
        <v/>
      </c>
      <c r="O169" s="74" t="str">
        <f>графік!P164</f>
        <v/>
      </c>
      <c r="P169" s="230" t="str">
        <f>графік!Q164</f>
        <v/>
      </c>
    </row>
    <row r="170" spans="1:16" x14ac:dyDescent="0.35">
      <c r="A170" s="63">
        <f>графік!A165</f>
        <v>141</v>
      </c>
      <c r="B170" s="68">
        <f ca="1">графік!C165</f>
        <v>48681</v>
      </c>
      <c r="C170" s="65">
        <f ca="1">графік!D165</f>
        <v>31</v>
      </c>
      <c r="D170" s="66">
        <f>графік!E165</f>
        <v>1649999.5333333439</v>
      </c>
      <c r="E170" s="67">
        <f ca="1">графік!H165</f>
        <v>32902.74</v>
      </c>
      <c r="F170" s="66">
        <f>графік!F165</f>
        <v>16666.669999999998</v>
      </c>
      <c r="G170" s="67">
        <f ca="1">графік!G165</f>
        <v>16236.07</v>
      </c>
      <c r="H170" s="67" t="str">
        <f>графік!M165</f>
        <v/>
      </c>
      <c r="I170" s="67"/>
      <c r="J170" s="69" t="str">
        <f>графік!N165</f>
        <v/>
      </c>
      <c r="K170" s="67" t="str">
        <f>графік!I165</f>
        <v/>
      </c>
      <c r="L170" s="67" t="str">
        <f>графік!J165</f>
        <v/>
      </c>
      <c r="M170" s="69">
        <f>графік!K165</f>
        <v>0</v>
      </c>
      <c r="N170" s="67" t="str">
        <f>графік!L165</f>
        <v/>
      </c>
      <c r="O170" s="74" t="str">
        <f>графік!P165</f>
        <v/>
      </c>
      <c r="P170" s="230" t="str">
        <f>графік!Q165</f>
        <v/>
      </c>
    </row>
    <row r="171" spans="1:16" x14ac:dyDescent="0.35">
      <c r="A171" s="63">
        <f>графік!A166</f>
        <v>142</v>
      </c>
      <c r="B171" s="68">
        <f ca="1">графік!C166</f>
        <v>48711</v>
      </c>
      <c r="C171" s="65">
        <f ca="1">графік!D166</f>
        <v>30</v>
      </c>
      <c r="D171" s="66">
        <f>графік!E166</f>
        <v>1633332.863333344</v>
      </c>
      <c r="E171" s="67">
        <f ca="1">графік!H166</f>
        <v>32221.87</v>
      </c>
      <c r="F171" s="66">
        <f>графік!F166</f>
        <v>16666.669999999998</v>
      </c>
      <c r="G171" s="67">
        <f ca="1">графік!G166</f>
        <v>15555.2</v>
      </c>
      <c r="H171" s="67" t="str">
        <f>графік!M166</f>
        <v/>
      </c>
      <c r="I171" s="67"/>
      <c r="J171" s="69" t="str">
        <f>графік!N166</f>
        <v/>
      </c>
      <c r="K171" s="67" t="str">
        <f>графік!I166</f>
        <v/>
      </c>
      <c r="L171" s="67" t="str">
        <f>графік!J166</f>
        <v/>
      </c>
      <c r="M171" s="69">
        <f>графік!K166</f>
        <v>0</v>
      </c>
      <c r="N171" s="67" t="str">
        <f>графік!L166</f>
        <v/>
      </c>
      <c r="O171" s="74" t="str">
        <f>графік!P166</f>
        <v/>
      </c>
      <c r="P171" s="230" t="str">
        <f>графік!Q166</f>
        <v/>
      </c>
    </row>
    <row r="172" spans="1:16" x14ac:dyDescent="0.35">
      <c r="A172" s="63">
        <f>графік!A167</f>
        <v>143</v>
      </c>
      <c r="B172" s="68">
        <f ca="1">графік!C167</f>
        <v>48742</v>
      </c>
      <c r="C172" s="65">
        <f ca="1">графік!D167</f>
        <v>31</v>
      </c>
      <c r="D172" s="66">
        <f>графік!E167</f>
        <v>1616666.1933333441</v>
      </c>
      <c r="E172" s="67">
        <f ca="1">графік!H167</f>
        <v>32578.019999999997</v>
      </c>
      <c r="F172" s="66">
        <f>графік!F167</f>
        <v>16666.669999999998</v>
      </c>
      <c r="G172" s="67">
        <f ca="1">графік!G167</f>
        <v>15911.35</v>
      </c>
      <c r="H172" s="67" t="str">
        <f>графік!M167</f>
        <v/>
      </c>
      <c r="I172" s="67"/>
      <c r="J172" s="69" t="str">
        <f>графік!N167</f>
        <v/>
      </c>
      <c r="K172" s="67" t="str">
        <f>графік!I167</f>
        <v/>
      </c>
      <c r="L172" s="67" t="str">
        <f>графік!J167</f>
        <v/>
      </c>
      <c r="M172" s="69">
        <f>графік!K167</f>
        <v>0</v>
      </c>
      <c r="N172" s="67" t="str">
        <f>графік!L167</f>
        <v/>
      </c>
      <c r="O172" s="74" t="str">
        <f>графік!P167</f>
        <v/>
      </c>
      <c r="P172" s="230" t="str">
        <f>графік!Q167</f>
        <v/>
      </c>
    </row>
    <row r="173" spans="1:16" x14ac:dyDescent="0.35">
      <c r="A173" s="63">
        <f>графік!A168</f>
        <v>144</v>
      </c>
      <c r="B173" s="68">
        <f ca="1">графік!C168</f>
        <v>48772</v>
      </c>
      <c r="C173" s="65">
        <f ca="1">графік!D168</f>
        <v>30</v>
      </c>
      <c r="D173" s="66">
        <f>графік!E168</f>
        <v>1599999.5233333441</v>
      </c>
      <c r="E173" s="67">
        <f ca="1">графік!H168</f>
        <v>31907.62</v>
      </c>
      <c r="F173" s="66">
        <f>графік!F168</f>
        <v>16666.669999999998</v>
      </c>
      <c r="G173" s="67">
        <f ca="1">графік!G168</f>
        <v>15240.95</v>
      </c>
      <c r="H173" s="67" t="str">
        <f>графік!M168</f>
        <v/>
      </c>
      <c r="I173" s="67"/>
      <c r="J173" s="69" t="str">
        <f>графік!N168</f>
        <v/>
      </c>
      <c r="K173" s="67" t="str">
        <f>графік!I168</f>
        <v/>
      </c>
      <c r="L173" s="67" t="str">
        <f>графік!J168</f>
        <v/>
      </c>
      <c r="M173" s="69">
        <f>графік!K168</f>
        <v>0</v>
      </c>
      <c r="N173" s="67" t="str">
        <f>графік!L168</f>
        <v/>
      </c>
      <c r="O173" s="74" t="str">
        <f>графік!P168</f>
        <v/>
      </c>
      <c r="P173" s="230" t="str">
        <f>графік!Q168</f>
        <v/>
      </c>
    </row>
    <row r="174" spans="1:16" x14ac:dyDescent="0.35">
      <c r="A174" s="63">
        <f>графік!A169</f>
        <v>145</v>
      </c>
      <c r="B174" s="68">
        <f ca="1">графік!C169</f>
        <v>48803</v>
      </c>
      <c r="C174" s="65">
        <f ca="1">графік!D169</f>
        <v>31</v>
      </c>
      <c r="D174" s="66">
        <f>графік!E169</f>
        <v>1583332.8533333442</v>
      </c>
      <c r="E174" s="67">
        <f ca="1">графік!H169</f>
        <v>32253.299999999996</v>
      </c>
      <c r="F174" s="66">
        <f>графік!F169</f>
        <v>16666.669999999998</v>
      </c>
      <c r="G174" s="67">
        <f ca="1">графік!G169</f>
        <v>15586.63</v>
      </c>
      <c r="H174" s="67" t="str">
        <f>графік!M169</f>
        <v/>
      </c>
      <c r="I174" s="67"/>
      <c r="J174" s="69" t="str">
        <f>графік!N169</f>
        <v/>
      </c>
      <c r="K174" s="67" t="str">
        <f>графік!I169</f>
        <v/>
      </c>
      <c r="L174" s="67" t="str">
        <f>графік!J169</f>
        <v/>
      </c>
      <c r="M174" s="67">
        <f>графік!K169</f>
        <v>17100</v>
      </c>
      <c r="N174" s="67" t="str">
        <f>графік!L169</f>
        <v/>
      </c>
      <c r="O174" s="74" t="str">
        <f>графік!P169</f>
        <v/>
      </c>
      <c r="P174" s="230" t="str">
        <f>графік!Q169</f>
        <v/>
      </c>
    </row>
    <row r="175" spans="1:16" x14ac:dyDescent="0.35">
      <c r="A175" s="63">
        <f>графік!A170</f>
        <v>146</v>
      </c>
      <c r="B175" s="68">
        <f ca="1">графік!C170</f>
        <v>48834</v>
      </c>
      <c r="C175" s="65">
        <f ca="1">графік!D170</f>
        <v>31</v>
      </c>
      <c r="D175" s="66">
        <f>графік!E170</f>
        <v>1566666.1833333443</v>
      </c>
      <c r="E175" s="67">
        <f ca="1">графік!H170</f>
        <v>32090.93</v>
      </c>
      <c r="F175" s="66">
        <f>графік!F170</f>
        <v>16666.669999999998</v>
      </c>
      <c r="G175" s="67">
        <f ca="1">графік!G170</f>
        <v>15424.26</v>
      </c>
      <c r="H175" s="67" t="str">
        <f>графік!M170</f>
        <v/>
      </c>
      <c r="I175" s="67"/>
      <c r="J175" s="69" t="str">
        <f>графік!N170</f>
        <v/>
      </c>
      <c r="K175" s="67" t="str">
        <f>графік!I170</f>
        <v/>
      </c>
      <c r="L175" s="67" t="str">
        <f>графік!J170</f>
        <v/>
      </c>
      <c r="M175" s="69">
        <f>графік!K170</f>
        <v>0</v>
      </c>
      <c r="N175" s="67" t="str">
        <f>графік!L170</f>
        <v/>
      </c>
      <c r="O175" s="74" t="str">
        <f>графік!P170</f>
        <v/>
      </c>
      <c r="P175" s="230" t="str">
        <f>графік!Q170</f>
        <v/>
      </c>
    </row>
    <row r="176" spans="1:16" x14ac:dyDescent="0.35">
      <c r="A176" s="63">
        <f>графік!A171</f>
        <v>147</v>
      </c>
      <c r="B176" s="68">
        <f ca="1">графік!C171</f>
        <v>48864</v>
      </c>
      <c r="C176" s="65">
        <f ca="1">графік!D171</f>
        <v>30</v>
      </c>
      <c r="D176" s="66">
        <f>графік!E171</f>
        <v>1549999.5133333444</v>
      </c>
      <c r="E176" s="67">
        <f ca="1">графік!H171</f>
        <v>31436.25</v>
      </c>
      <c r="F176" s="66">
        <f>графік!F171</f>
        <v>16666.669999999998</v>
      </c>
      <c r="G176" s="67">
        <f ca="1">графік!G171</f>
        <v>14769.58</v>
      </c>
      <c r="H176" s="67" t="str">
        <f>графік!M171</f>
        <v/>
      </c>
      <c r="I176" s="67"/>
      <c r="J176" s="69" t="str">
        <f>графік!N171</f>
        <v/>
      </c>
      <c r="K176" s="67" t="str">
        <f>графік!I171</f>
        <v/>
      </c>
      <c r="L176" s="67" t="str">
        <f>графік!J171</f>
        <v/>
      </c>
      <c r="M176" s="69">
        <f>графік!K171</f>
        <v>0</v>
      </c>
      <c r="N176" s="67" t="str">
        <f>графік!L171</f>
        <v/>
      </c>
      <c r="O176" s="74" t="str">
        <f>графік!P171</f>
        <v/>
      </c>
      <c r="P176" s="230" t="str">
        <f>графік!Q171</f>
        <v/>
      </c>
    </row>
    <row r="177" spans="1:16" x14ac:dyDescent="0.35">
      <c r="A177" s="63">
        <f>графік!A172</f>
        <v>148</v>
      </c>
      <c r="B177" s="68">
        <f ca="1">графік!C172</f>
        <v>48895</v>
      </c>
      <c r="C177" s="65">
        <f ca="1">графік!D172</f>
        <v>31</v>
      </c>
      <c r="D177" s="66">
        <f>графік!E172</f>
        <v>1533332.8433333444</v>
      </c>
      <c r="E177" s="67">
        <f ca="1">графік!H172</f>
        <v>31766.21</v>
      </c>
      <c r="F177" s="66">
        <f>графік!F172</f>
        <v>16666.669999999998</v>
      </c>
      <c r="G177" s="67">
        <f ca="1">графік!G172</f>
        <v>15099.54</v>
      </c>
      <c r="H177" s="67" t="str">
        <f>графік!M172</f>
        <v/>
      </c>
      <c r="I177" s="67"/>
      <c r="J177" s="69" t="str">
        <f>графік!N172</f>
        <v/>
      </c>
      <c r="K177" s="67" t="str">
        <f>графік!I172</f>
        <v/>
      </c>
      <c r="L177" s="67" t="str">
        <f>графік!J172</f>
        <v/>
      </c>
      <c r="M177" s="69">
        <f>графік!K172</f>
        <v>0</v>
      </c>
      <c r="N177" s="67" t="str">
        <f>графік!L172</f>
        <v/>
      </c>
      <c r="O177" s="74" t="str">
        <f>графік!P172</f>
        <v/>
      </c>
      <c r="P177" s="230" t="str">
        <f>графік!Q172</f>
        <v/>
      </c>
    </row>
    <row r="178" spans="1:16" x14ac:dyDescent="0.35">
      <c r="A178" s="63">
        <f>графік!A173</f>
        <v>149</v>
      </c>
      <c r="B178" s="68">
        <f ca="1">графік!C173</f>
        <v>48925</v>
      </c>
      <c r="C178" s="65">
        <f ca="1">графік!D173</f>
        <v>30</v>
      </c>
      <c r="D178" s="66">
        <f>графік!E173</f>
        <v>1516666.1733333445</v>
      </c>
      <c r="E178" s="67">
        <f ca="1">графік!H173</f>
        <v>31122.01</v>
      </c>
      <c r="F178" s="66">
        <f>графік!F173</f>
        <v>16666.669999999998</v>
      </c>
      <c r="G178" s="67">
        <f ca="1">графік!G173</f>
        <v>14455.34</v>
      </c>
      <c r="H178" s="67" t="str">
        <f>графік!M173</f>
        <v/>
      </c>
      <c r="I178" s="67"/>
      <c r="J178" s="69" t="str">
        <f>графік!N173</f>
        <v/>
      </c>
      <c r="K178" s="67" t="str">
        <f>графік!I173</f>
        <v/>
      </c>
      <c r="L178" s="67" t="str">
        <f>графік!J173</f>
        <v/>
      </c>
      <c r="M178" s="69">
        <f>графік!K173</f>
        <v>0</v>
      </c>
      <c r="N178" s="67" t="str">
        <f>графік!L173</f>
        <v/>
      </c>
      <c r="O178" s="74" t="str">
        <f>графік!P173</f>
        <v/>
      </c>
      <c r="P178" s="230" t="str">
        <f>графік!Q173</f>
        <v/>
      </c>
    </row>
    <row r="179" spans="1:16" x14ac:dyDescent="0.35">
      <c r="A179" s="63">
        <f>графік!A174</f>
        <v>150</v>
      </c>
      <c r="B179" s="68">
        <f ca="1">графік!C174</f>
        <v>48956</v>
      </c>
      <c r="C179" s="65">
        <f ca="1">графік!D174</f>
        <v>31</v>
      </c>
      <c r="D179" s="66">
        <f>графік!E174</f>
        <v>1499999.5033333446</v>
      </c>
      <c r="E179" s="67">
        <f ca="1">графік!H174</f>
        <v>31441.489999999998</v>
      </c>
      <c r="F179" s="66">
        <f>графік!F174</f>
        <v>16666.669999999998</v>
      </c>
      <c r="G179" s="67">
        <f ca="1">графік!G174</f>
        <v>14774.82</v>
      </c>
      <c r="H179" s="67" t="str">
        <f>графік!M174</f>
        <v/>
      </c>
      <c r="I179" s="67"/>
      <c r="J179" s="69" t="str">
        <f>графік!N174</f>
        <v/>
      </c>
      <c r="K179" s="67" t="str">
        <f>графік!I174</f>
        <v/>
      </c>
      <c r="L179" s="67" t="str">
        <f>графік!J174</f>
        <v/>
      </c>
      <c r="M179" s="69">
        <f>графік!K174</f>
        <v>0</v>
      </c>
      <c r="N179" s="67" t="str">
        <f>графік!L174</f>
        <v/>
      </c>
      <c r="O179" s="74" t="str">
        <f>графік!P174</f>
        <v/>
      </c>
      <c r="P179" s="230" t="str">
        <f>графік!Q174</f>
        <v/>
      </c>
    </row>
    <row r="180" spans="1:16" x14ac:dyDescent="0.35">
      <c r="A180" s="63">
        <f>графік!A175</f>
        <v>151</v>
      </c>
      <c r="B180" s="68">
        <f ca="1">графік!C175</f>
        <v>48987</v>
      </c>
      <c r="C180" s="65">
        <f ca="1">графік!D175</f>
        <v>31</v>
      </c>
      <c r="D180" s="66">
        <f>графік!E175</f>
        <v>1483332.8333333447</v>
      </c>
      <c r="E180" s="67">
        <f ca="1">графік!H175</f>
        <v>31279.129999999997</v>
      </c>
      <c r="F180" s="66">
        <f>графік!F175</f>
        <v>16666.669999999998</v>
      </c>
      <c r="G180" s="67">
        <f ca="1">графік!G175</f>
        <v>14612.46</v>
      </c>
      <c r="H180" s="67" t="str">
        <f>графік!M175</f>
        <v/>
      </c>
      <c r="I180" s="67"/>
      <c r="J180" s="69" t="str">
        <f>графік!N175</f>
        <v/>
      </c>
      <c r="K180" s="67" t="str">
        <f>графік!I175</f>
        <v/>
      </c>
      <c r="L180" s="67" t="str">
        <f>графік!J175</f>
        <v/>
      </c>
      <c r="M180" s="69">
        <f>графік!K175</f>
        <v>0</v>
      </c>
      <c r="N180" s="67" t="str">
        <f>графік!L175</f>
        <v/>
      </c>
      <c r="O180" s="74" t="str">
        <f>графік!P175</f>
        <v/>
      </c>
      <c r="P180" s="230" t="str">
        <f>графік!Q175</f>
        <v/>
      </c>
    </row>
    <row r="181" spans="1:16" x14ac:dyDescent="0.35">
      <c r="A181" s="63">
        <f>графік!A176</f>
        <v>152</v>
      </c>
      <c r="B181" s="68">
        <f ca="1">графік!C176</f>
        <v>49015</v>
      </c>
      <c r="C181" s="65">
        <f ca="1">графік!D176</f>
        <v>28</v>
      </c>
      <c r="D181" s="66">
        <f>графік!E176</f>
        <v>1466666.1633333447</v>
      </c>
      <c r="E181" s="67">
        <f ca="1">графік!H176</f>
        <v>29718.37</v>
      </c>
      <c r="F181" s="66">
        <f>графік!F176</f>
        <v>16666.669999999998</v>
      </c>
      <c r="G181" s="67">
        <f ca="1">графік!G176</f>
        <v>13051.7</v>
      </c>
      <c r="H181" s="67" t="str">
        <f>графік!M176</f>
        <v/>
      </c>
      <c r="I181" s="67"/>
      <c r="J181" s="69" t="str">
        <f>графік!N176</f>
        <v/>
      </c>
      <c r="K181" s="67" t="str">
        <f>графік!I176</f>
        <v/>
      </c>
      <c r="L181" s="67" t="str">
        <f>графік!J176</f>
        <v/>
      </c>
      <c r="M181" s="69">
        <f>графік!K176</f>
        <v>0</v>
      </c>
      <c r="N181" s="67" t="str">
        <f>графік!L176</f>
        <v/>
      </c>
      <c r="O181" s="74" t="str">
        <f>графік!P176</f>
        <v/>
      </c>
      <c r="P181" s="230" t="str">
        <f>графік!Q176</f>
        <v/>
      </c>
    </row>
    <row r="182" spans="1:16" x14ac:dyDescent="0.35">
      <c r="A182" s="63">
        <f>графік!A177</f>
        <v>153</v>
      </c>
      <c r="B182" s="68">
        <f ca="1">графік!C177</f>
        <v>49046</v>
      </c>
      <c r="C182" s="65">
        <f ca="1">графік!D177</f>
        <v>31</v>
      </c>
      <c r="D182" s="66">
        <f>графік!E177</f>
        <v>1449999.4933333448</v>
      </c>
      <c r="E182" s="67">
        <f ca="1">графік!H177</f>
        <v>30954.409999999996</v>
      </c>
      <c r="F182" s="66">
        <f>графік!F177</f>
        <v>16666.669999999998</v>
      </c>
      <c r="G182" s="67">
        <f ca="1">графік!G177</f>
        <v>14287.74</v>
      </c>
      <c r="H182" s="67" t="str">
        <f>графік!M177</f>
        <v/>
      </c>
      <c r="I182" s="67"/>
      <c r="J182" s="69" t="str">
        <f>графік!N177</f>
        <v/>
      </c>
      <c r="K182" s="67" t="str">
        <f>графік!I177</f>
        <v/>
      </c>
      <c r="L182" s="67" t="str">
        <f>графік!J177</f>
        <v/>
      </c>
      <c r="M182" s="69">
        <f>графік!K177</f>
        <v>0</v>
      </c>
      <c r="N182" s="67" t="str">
        <f>графік!L177</f>
        <v/>
      </c>
      <c r="O182" s="74" t="str">
        <f>графік!P177</f>
        <v/>
      </c>
      <c r="P182" s="230" t="str">
        <f>графік!Q177</f>
        <v/>
      </c>
    </row>
    <row r="183" spans="1:16" x14ac:dyDescent="0.35">
      <c r="A183" s="63">
        <f>графік!A178</f>
        <v>154</v>
      </c>
      <c r="B183" s="68">
        <f ca="1">графік!C178</f>
        <v>49076</v>
      </c>
      <c r="C183" s="65">
        <f ca="1">графік!D178</f>
        <v>30</v>
      </c>
      <c r="D183" s="66">
        <f>графік!E178</f>
        <v>1433332.8233333449</v>
      </c>
      <c r="E183" s="67">
        <f ca="1">графік!H178</f>
        <v>30336.39</v>
      </c>
      <c r="F183" s="66">
        <f>графік!F178</f>
        <v>16666.669999999998</v>
      </c>
      <c r="G183" s="67">
        <f ca="1">графік!G178</f>
        <v>13669.72</v>
      </c>
      <c r="H183" s="67" t="str">
        <f>графік!M178</f>
        <v/>
      </c>
      <c r="I183" s="67"/>
      <c r="J183" s="69" t="str">
        <f>графік!N178</f>
        <v/>
      </c>
      <c r="K183" s="67" t="str">
        <f>графік!I178</f>
        <v/>
      </c>
      <c r="L183" s="67" t="str">
        <f>графік!J178</f>
        <v/>
      </c>
      <c r="M183" s="69">
        <f>графік!K178</f>
        <v>0</v>
      </c>
      <c r="N183" s="67" t="str">
        <f>графік!L178</f>
        <v/>
      </c>
      <c r="O183" s="74" t="str">
        <f>графік!P178</f>
        <v/>
      </c>
      <c r="P183" s="230" t="str">
        <f>графік!Q178</f>
        <v/>
      </c>
    </row>
    <row r="184" spans="1:16" x14ac:dyDescent="0.35">
      <c r="A184" s="63">
        <f>графік!A179</f>
        <v>155</v>
      </c>
      <c r="B184" s="68">
        <f ca="1">графік!C179</f>
        <v>49107</v>
      </c>
      <c r="C184" s="65">
        <f ca="1">графік!D179</f>
        <v>31</v>
      </c>
      <c r="D184" s="66">
        <f>графік!E179</f>
        <v>1416666.153333345</v>
      </c>
      <c r="E184" s="67">
        <f ca="1">графік!H179</f>
        <v>30629.69</v>
      </c>
      <c r="F184" s="66">
        <f>графік!F179</f>
        <v>16666.669999999998</v>
      </c>
      <c r="G184" s="67">
        <f ca="1">графік!G179</f>
        <v>13963.02</v>
      </c>
      <c r="H184" s="67" t="str">
        <f>графік!M179</f>
        <v/>
      </c>
      <c r="I184" s="67"/>
      <c r="J184" s="69" t="str">
        <f>графік!N179</f>
        <v/>
      </c>
      <c r="K184" s="67" t="str">
        <f>графік!I179</f>
        <v/>
      </c>
      <c r="L184" s="67" t="str">
        <f>графік!J179</f>
        <v/>
      </c>
      <c r="M184" s="69">
        <f>графік!K179</f>
        <v>0</v>
      </c>
      <c r="N184" s="67" t="str">
        <f>графік!L179</f>
        <v/>
      </c>
      <c r="O184" s="74" t="str">
        <f>графік!P179</f>
        <v/>
      </c>
      <c r="P184" s="230" t="str">
        <f>графік!Q179</f>
        <v/>
      </c>
    </row>
    <row r="185" spans="1:16" x14ac:dyDescent="0.35">
      <c r="A185" s="63">
        <f>графік!A180</f>
        <v>156</v>
      </c>
      <c r="B185" s="68">
        <f ca="1">графік!C180</f>
        <v>49137</v>
      </c>
      <c r="C185" s="65">
        <f ca="1">графік!D180</f>
        <v>30</v>
      </c>
      <c r="D185" s="66">
        <f>графік!E180</f>
        <v>1399999.483333345</v>
      </c>
      <c r="E185" s="67">
        <f ca="1">графік!H180</f>
        <v>30022.14</v>
      </c>
      <c r="F185" s="66">
        <f>графік!F180</f>
        <v>16666.669999999998</v>
      </c>
      <c r="G185" s="67">
        <f ca="1">графік!G180</f>
        <v>13355.47</v>
      </c>
      <c r="H185" s="67" t="str">
        <f>графік!M180</f>
        <v/>
      </c>
      <c r="I185" s="67"/>
      <c r="J185" s="69" t="str">
        <f>графік!N180</f>
        <v/>
      </c>
      <c r="K185" s="67" t="str">
        <f>графік!I180</f>
        <v/>
      </c>
      <c r="L185" s="67" t="str">
        <f>графік!J180</f>
        <v/>
      </c>
      <c r="M185" s="69">
        <f>графік!K180</f>
        <v>0</v>
      </c>
      <c r="N185" s="67" t="str">
        <f>графік!L180</f>
        <v/>
      </c>
      <c r="O185" s="74" t="str">
        <f>графік!P180</f>
        <v/>
      </c>
      <c r="P185" s="230" t="str">
        <f>графік!Q180</f>
        <v/>
      </c>
    </row>
    <row r="186" spans="1:16" x14ac:dyDescent="0.35">
      <c r="A186" s="63">
        <f>графік!A181</f>
        <v>157</v>
      </c>
      <c r="B186" s="68">
        <f ca="1">графік!C181</f>
        <v>49168</v>
      </c>
      <c r="C186" s="65">
        <f ca="1">графік!D181</f>
        <v>31</v>
      </c>
      <c r="D186" s="66">
        <f>графік!E181</f>
        <v>1383332.8133333451</v>
      </c>
      <c r="E186" s="67">
        <f ca="1">графік!H181</f>
        <v>30304.969999999998</v>
      </c>
      <c r="F186" s="66">
        <f>графік!F181</f>
        <v>16666.669999999998</v>
      </c>
      <c r="G186" s="67">
        <f ca="1">графік!G181</f>
        <v>13638.3</v>
      </c>
      <c r="H186" s="67" t="str">
        <f>графік!M181</f>
        <v/>
      </c>
      <c r="I186" s="67"/>
      <c r="J186" s="69" t="str">
        <f>графік!N181</f>
        <v/>
      </c>
      <c r="K186" s="67" t="str">
        <f>графік!I181</f>
        <v/>
      </c>
      <c r="L186" s="67" t="str">
        <f>графік!J181</f>
        <v/>
      </c>
      <c r="M186" s="67">
        <f>графік!K181</f>
        <v>17100</v>
      </c>
      <c r="N186" s="67" t="str">
        <f>графік!L181</f>
        <v/>
      </c>
      <c r="O186" s="74" t="str">
        <f>графік!P181</f>
        <v/>
      </c>
      <c r="P186" s="230" t="str">
        <f>графік!Q181</f>
        <v/>
      </c>
    </row>
    <row r="187" spans="1:16" x14ac:dyDescent="0.35">
      <c r="A187" s="63">
        <f>графік!A182</f>
        <v>158</v>
      </c>
      <c r="B187" s="68">
        <f ca="1">графік!C182</f>
        <v>49199</v>
      </c>
      <c r="C187" s="65">
        <f ca="1">графік!D182</f>
        <v>31</v>
      </c>
      <c r="D187" s="66">
        <f>графік!E182</f>
        <v>1366666.1433333452</v>
      </c>
      <c r="E187" s="67">
        <f ca="1">графік!H182</f>
        <v>30142.61</v>
      </c>
      <c r="F187" s="66">
        <f>графік!F182</f>
        <v>16666.669999999998</v>
      </c>
      <c r="G187" s="67">
        <f ca="1">графік!G182</f>
        <v>13475.94</v>
      </c>
      <c r="H187" s="67" t="str">
        <f>графік!M182</f>
        <v/>
      </c>
      <c r="I187" s="67"/>
      <c r="J187" s="69" t="str">
        <f>графік!N182</f>
        <v/>
      </c>
      <c r="K187" s="67" t="str">
        <f>графік!I182</f>
        <v/>
      </c>
      <c r="L187" s="67" t="str">
        <f>графік!J182</f>
        <v/>
      </c>
      <c r="M187" s="69">
        <f>графік!K182</f>
        <v>0</v>
      </c>
      <c r="N187" s="67" t="str">
        <f>графік!L182</f>
        <v/>
      </c>
      <c r="O187" s="74" t="str">
        <f>графік!P182</f>
        <v/>
      </c>
      <c r="P187" s="230" t="str">
        <f>графік!Q182</f>
        <v/>
      </c>
    </row>
    <row r="188" spans="1:16" x14ac:dyDescent="0.35">
      <c r="A188" s="63">
        <f>графік!A183</f>
        <v>159</v>
      </c>
      <c r="B188" s="68">
        <f ca="1">графік!C183</f>
        <v>49229</v>
      </c>
      <c r="C188" s="65">
        <f ca="1">графік!D183</f>
        <v>30</v>
      </c>
      <c r="D188" s="66">
        <f>графік!E183</f>
        <v>1349999.4733333453</v>
      </c>
      <c r="E188" s="67">
        <f ca="1">графік!H183</f>
        <v>29550.769999999997</v>
      </c>
      <c r="F188" s="66">
        <f>графік!F183</f>
        <v>16666.669999999998</v>
      </c>
      <c r="G188" s="67">
        <f ca="1">графік!G183</f>
        <v>12884.1</v>
      </c>
      <c r="H188" s="67" t="str">
        <f>графік!M183</f>
        <v/>
      </c>
      <c r="I188" s="67"/>
      <c r="J188" s="69" t="str">
        <f>графік!N183</f>
        <v/>
      </c>
      <c r="K188" s="67" t="str">
        <f>графік!I183</f>
        <v/>
      </c>
      <c r="L188" s="67" t="str">
        <f>графік!J183</f>
        <v/>
      </c>
      <c r="M188" s="69">
        <f>графік!K183</f>
        <v>0</v>
      </c>
      <c r="N188" s="67" t="str">
        <f>графік!L183</f>
        <v/>
      </c>
      <c r="O188" s="74" t="str">
        <f>графік!P183</f>
        <v/>
      </c>
      <c r="P188" s="230" t="str">
        <f>графік!Q183</f>
        <v/>
      </c>
    </row>
    <row r="189" spans="1:16" x14ac:dyDescent="0.35">
      <c r="A189" s="63">
        <f>графік!A184</f>
        <v>160</v>
      </c>
      <c r="B189" s="68">
        <f ca="1">графік!C184</f>
        <v>49260</v>
      </c>
      <c r="C189" s="65">
        <f ca="1">графік!D184</f>
        <v>31</v>
      </c>
      <c r="D189" s="66">
        <f>графік!E184</f>
        <v>1333332.8033333453</v>
      </c>
      <c r="E189" s="67">
        <f ca="1">графік!H184</f>
        <v>29817.879999999997</v>
      </c>
      <c r="F189" s="66">
        <f>графік!F184</f>
        <v>16666.669999999998</v>
      </c>
      <c r="G189" s="67">
        <f ca="1">графік!G184</f>
        <v>13151.21</v>
      </c>
      <c r="H189" s="67" t="str">
        <f>графік!M184</f>
        <v/>
      </c>
      <c r="I189" s="67"/>
      <c r="J189" s="69" t="str">
        <f>графік!N184</f>
        <v/>
      </c>
      <c r="K189" s="67" t="str">
        <f>графік!I184</f>
        <v/>
      </c>
      <c r="L189" s="67" t="str">
        <f>графік!J184</f>
        <v/>
      </c>
      <c r="M189" s="69">
        <f>графік!K184</f>
        <v>0</v>
      </c>
      <c r="N189" s="67" t="str">
        <f>графік!L184</f>
        <v/>
      </c>
      <c r="O189" s="74" t="str">
        <f>графік!P184</f>
        <v/>
      </c>
      <c r="P189" s="230" t="str">
        <f>графік!Q184</f>
        <v/>
      </c>
    </row>
    <row r="190" spans="1:16" x14ac:dyDescent="0.35">
      <c r="A190" s="63">
        <f>графік!A185</f>
        <v>161</v>
      </c>
      <c r="B190" s="68">
        <f ca="1">графік!C185</f>
        <v>49290</v>
      </c>
      <c r="C190" s="65">
        <f ca="1">графік!D185</f>
        <v>30</v>
      </c>
      <c r="D190" s="66">
        <f>графік!E185</f>
        <v>1316666.1333333454</v>
      </c>
      <c r="E190" s="67">
        <f ca="1">графік!H185</f>
        <v>29236.53</v>
      </c>
      <c r="F190" s="66">
        <f>графік!F185</f>
        <v>16666.669999999998</v>
      </c>
      <c r="G190" s="67">
        <f ca="1">графік!G185</f>
        <v>12569.86</v>
      </c>
      <c r="H190" s="67" t="str">
        <f>графік!M185</f>
        <v/>
      </c>
      <c r="I190" s="67"/>
      <c r="J190" s="69" t="str">
        <f>графік!N185</f>
        <v/>
      </c>
      <c r="K190" s="67" t="str">
        <f>графік!I185</f>
        <v/>
      </c>
      <c r="L190" s="67" t="str">
        <f>графік!J185</f>
        <v/>
      </c>
      <c r="M190" s="69">
        <f>графік!K185</f>
        <v>0</v>
      </c>
      <c r="N190" s="67" t="str">
        <f>графік!L185</f>
        <v/>
      </c>
      <c r="O190" s="74" t="str">
        <f>графік!P185</f>
        <v/>
      </c>
      <c r="P190" s="230" t="str">
        <f>графік!Q185</f>
        <v/>
      </c>
    </row>
    <row r="191" spans="1:16" x14ac:dyDescent="0.35">
      <c r="A191" s="63">
        <f>графік!A186</f>
        <v>162</v>
      </c>
      <c r="B191" s="68">
        <f ca="1">графік!C186</f>
        <v>49321</v>
      </c>
      <c r="C191" s="65">
        <f ca="1">графік!D186</f>
        <v>31</v>
      </c>
      <c r="D191" s="66">
        <f>графік!E186</f>
        <v>1299999.4633333455</v>
      </c>
      <c r="E191" s="67">
        <f ca="1">графік!H186</f>
        <v>29493.159999999996</v>
      </c>
      <c r="F191" s="66">
        <f>графік!F186</f>
        <v>16666.669999999998</v>
      </c>
      <c r="G191" s="67">
        <f ca="1">графік!G186</f>
        <v>12826.49</v>
      </c>
      <c r="H191" s="67" t="str">
        <f>графік!M186</f>
        <v/>
      </c>
      <c r="I191" s="67"/>
      <c r="J191" s="69" t="str">
        <f>графік!N186</f>
        <v/>
      </c>
      <c r="K191" s="67" t="str">
        <f>графік!I186</f>
        <v/>
      </c>
      <c r="L191" s="67" t="str">
        <f>графік!J186</f>
        <v/>
      </c>
      <c r="M191" s="69">
        <f>графік!K186</f>
        <v>0</v>
      </c>
      <c r="N191" s="67" t="str">
        <f>графік!L186</f>
        <v/>
      </c>
      <c r="O191" s="74" t="str">
        <f>графік!P186</f>
        <v/>
      </c>
      <c r="P191" s="230" t="str">
        <f>графік!Q186</f>
        <v/>
      </c>
    </row>
    <row r="192" spans="1:16" x14ac:dyDescent="0.35">
      <c r="A192" s="63">
        <f>графік!A187</f>
        <v>163</v>
      </c>
      <c r="B192" s="68">
        <f ca="1">графік!C187</f>
        <v>49352</v>
      </c>
      <c r="C192" s="65">
        <f ca="1">графік!D187</f>
        <v>31</v>
      </c>
      <c r="D192" s="66">
        <f>графік!E187</f>
        <v>1283332.7933333456</v>
      </c>
      <c r="E192" s="67">
        <f ca="1">графік!H187</f>
        <v>29330.799999999996</v>
      </c>
      <c r="F192" s="66">
        <f>графік!F187</f>
        <v>16666.669999999998</v>
      </c>
      <c r="G192" s="67">
        <f ca="1">графік!G187</f>
        <v>12664.13</v>
      </c>
      <c r="H192" s="67" t="str">
        <f>графік!M187</f>
        <v/>
      </c>
      <c r="I192" s="67"/>
      <c r="J192" s="69" t="str">
        <f>графік!N187</f>
        <v/>
      </c>
      <c r="K192" s="67" t="str">
        <f>графік!I187</f>
        <v/>
      </c>
      <c r="L192" s="67" t="str">
        <f>графік!J187</f>
        <v/>
      </c>
      <c r="M192" s="69">
        <f>графік!K187</f>
        <v>0</v>
      </c>
      <c r="N192" s="67" t="str">
        <f>графік!L187</f>
        <v/>
      </c>
      <c r="O192" s="74" t="str">
        <f>графік!P187</f>
        <v/>
      </c>
      <c r="P192" s="230" t="str">
        <f>графік!Q187</f>
        <v/>
      </c>
    </row>
    <row r="193" spans="1:16" x14ac:dyDescent="0.35">
      <c r="A193" s="63">
        <f>графік!A188</f>
        <v>164</v>
      </c>
      <c r="B193" s="68">
        <f ca="1">графік!C188</f>
        <v>49380</v>
      </c>
      <c r="C193" s="65">
        <f ca="1">графік!D188</f>
        <v>28</v>
      </c>
      <c r="D193" s="66">
        <f>графік!E188</f>
        <v>1266666.1233333456</v>
      </c>
      <c r="E193" s="67">
        <f ca="1">графік!H188</f>
        <v>27958.589999999997</v>
      </c>
      <c r="F193" s="66">
        <f>графік!F188</f>
        <v>16666.669999999998</v>
      </c>
      <c r="G193" s="67">
        <f ca="1">графік!G188</f>
        <v>11291.92</v>
      </c>
      <c r="H193" s="67" t="str">
        <f>графік!M188</f>
        <v/>
      </c>
      <c r="I193" s="67"/>
      <c r="J193" s="69" t="str">
        <f>графік!N188</f>
        <v/>
      </c>
      <c r="K193" s="67" t="str">
        <f>графік!I188</f>
        <v/>
      </c>
      <c r="L193" s="67" t="str">
        <f>графік!J188</f>
        <v/>
      </c>
      <c r="M193" s="69">
        <f>графік!K188</f>
        <v>0</v>
      </c>
      <c r="N193" s="67" t="str">
        <f>графік!L188</f>
        <v/>
      </c>
      <c r="O193" s="74" t="str">
        <f>графік!P188</f>
        <v/>
      </c>
      <c r="P193" s="230" t="str">
        <f>графік!Q188</f>
        <v/>
      </c>
    </row>
    <row r="194" spans="1:16" x14ac:dyDescent="0.35">
      <c r="A194" s="63">
        <f>графік!A189</f>
        <v>165</v>
      </c>
      <c r="B194" s="68">
        <f ca="1">графік!C189</f>
        <v>49411</v>
      </c>
      <c r="C194" s="65">
        <f ca="1">графік!D189</f>
        <v>31</v>
      </c>
      <c r="D194" s="66">
        <f>графік!E189</f>
        <v>1249999.4533333457</v>
      </c>
      <c r="E194" s="67">
        <f ca="1">графік!H189</f>
        <v>29006.079999999998</v>
      </c>
      <c r="F194" s="66">
        <f>графік!F189</f>
        <v>16666.669999999998</v>
      </c>
      <c r="G194" s="67">
        <f ca="1">графік!G189</f>
        <v>12339.41</v>
      </c>
      <c r="H194" s="67" t="str">
        <f>графік!M189</f>
        <v/>
      </c>
      <c r="I194" s="67"/>
      <c r="J194" s="69" t="str">
        <f>графік!N189</f>
        <v/>
      </c>
      <c r="K194" s="67" t="str">
        <f>графік!I189</f>
        <v/>
      </c>
      <c r="L194" s="67" t="str">
        <f>графік!J189</f>
        <v/>
      </c>
      <c r="M194" s="69">
        <f>графік!K189</f>
        <v>0</v>
      </c>
      <c r="N194" s="67" t="str">
        <f>графік!L189</f>
        <v/>
      </c>
      <c r="O194" s="74" t="str">
        <f>графік!P189</f>
        <v/>
      </c>
      <c r="P194" s="230" t="str">
        <f>графік!Q189</f>
        <v/>
      </c>
    </row>
    <row r="195" spans="1:16" x14ac:dyDescent="0.35">
      <c r="A195" s="63">
        <f>графік!A190</f>
        <v>166</v>
      </c>
      <c r="B195" s="68">
        <f ca="1">графік!C190</f>
        <v>49441</v>
      </c>
      <c r="C195" s="65">
        <f ca="1">графік!D190</f>
        <v>30</v>
      </c>
      <c r="D195" s="66">
        <f>графік!E190</f>
        <v>1233332.7833333458</v>
      </c>
      <c r="E195" s="67">
        <f ca="1">графік!H190</f>
        <v>28450.909999999996</v>
      </c>
      <c r="F195" s="66">
        <f>графік!F190</f>
        <v>16666.669999999998</v>
      </c>
      <c r="G195" s="67">
        <f ca="1">графік!G190</f>
        <v>11784.24</v>
      </c>
      <c r="H195" s="67" t="str">
        <f>графік!M190</f>
        <v/>
      </c>
      <c r="I195" s="67"/>
      <c r="J195" s="69" t="str">
        <f>графік!N190</f>
        <v/>
      </c>
      <c r="K195" s="67" t="str">
        <f>графік!I190</f>
        <v/>
      </c>
      <c r="L195" s="67" t="str">
        <f>графік!J190</f>
        <v/>
      </c>
      <c r="M195" s="69">
        <f>графік!K190</f>
        <v>0</v>
      </c>
      <c r="N195" s="67" t="str">
        <f>графік!L190</f>
        <v/>
      </c>
      <c r="O195" s="74" t="str">
        <f>графік!P190</f>
        <v/>
      </c>
      <c r="P195" s="230" t="str">
        <f>графік!Q190</f>
        <v/>
      </c>
    </row>
    <row r="196" spans="1:16" x14ac:dyDescent="0.35">
      <c r="A196" s="63">
        <f>графік!A191</f>
        <v>167</v>
      </c>
      <c r="B196" s="68">
        <f ca="1">графік!C191</f>
        <v>49472</v>
      </c>
      <c r="C196" s="65">
        <f ca="1">графік!D191</f>
        <v>31</v>
      </c>
      <c r="D196" s="66">
        <f>графік!E191</f>
        <v>1216666.1133333459</v>
      </c>
      <c r="E196" s="67">
        <f ca="1">графік!H191</f>
        <v>28681.360000000001</v>
      </c>
      <c r="F196" s="66">
        <f>графік!F191</f>
        <v>16666.669999999998</v>
      </c>
      <c r="G196" s="67">
        <f ca="1">графік!G191</f>
        <v>12014.69</v>
      </c>
      <c r="H196" s="67" t="str">
        <f>графік!M191</f>
        <v/>
      </c>
      <c r="I196" s="67"/>
      <c r="J196" s="69" t="str">
        <f>графік!N191</f>
        <v/>
      </c>
      <c r="K196" s="67" t="str">
        <f>графік!I191</f>
        <v/>
      </c>
      <c r="L196" s="67" t="str">
        <f>графік!J191</f>
        <v/>
      </c>
      <c r="M196" s="69">
        <f>графік!K191</f>
        <v>0</v>
      </c>
      <c r="N196" s="67" t="str">
        <f>графік!L191</f>
        <v/>
      </c>
      <c r="O196" s="74" t="str">
        <f>графік!P191</f>
        <v/>
      </c>
      <c r="P196" s="230" t="str">
        <f>графік!Q191</f>
        <v/>
      </c>
    </row>
    <row r="197" spans="1:16" x14ac:dyDescent="0.35">
      <c r="A197" s="63">
        <f>графік!A192</f>
        <v>168</v>
      </c>
      <c r="B197" s="68">
        <f ca="1">графік!C192</f>
        <v>49502</v>
      </c>
      <c r="C197" s="65">
        <f ca="1">графік!D192</f>
        <v>30</v>
      </c>
      <c r="D197" s="66">
        <f>графік!E192</f>
        <v>1199999.4433333459</v>
      </c>
      <c r="E197" s="67">
        <f ca="1">графік!H192</f>
        <v>28136.659999999996</v>
      </c>
      <c r="F197" s="66">
        <f>графік!F192</f>
        <v>16666.669999999998</v>
      </c>
      <c r="G197" s="67">
        <f ca="1">графік!G192</f>
        <v>11469.99</v>
      </c>
      <c r="H197" s="67" t="str">
        <f>графік!M192</f>
        <v/>
      </c>
      <c r="I197" s="67"/>
      <c r="J197" s="69" t="str">
        <f>графік!N192</f>
        <v/>
      </c>
      <c r="K197" s="67" t="str">
        <f>графік!I192</f>
        <v/>
      </c>
      <c r="L197" s="67" t="str">
        <f>графік!J192</f>
        <v/>
      </c>
      <c r="M197" s="69">
        <f>графік!K192</f>
        <v>0</v>
      </c>
      <c r="N197" s="67" t="str">
        <f>графік!L192</f>
        <v/>
      </c>
      <c r="O197" s="74" t="str">
        <f>графік!P192</f>
        <v/>
      </c>
      <c r="P197" s="230" t="str">
        <f>графік!Q192</f>
        <v/>
      </c>
    </row>
    <row r="198" spans="1:16" x14ac:dyDescent="0.35">
      <c r="A198" s="63">
        <f>графік!A193</f>
        <v>169</v>
      </c>
      <c r="B198" s="68">
        <f ca="1">графік!C193</f>
        <v>49533</v>
      </c>
      <c r="C198" s="65">
        <f ca="1">графік!D193</f>
        <v>31</v>
      </c>
      <c r="D198" s="66">
        <f>графік!E193</f>
        <v>1183332.773333346</v>
      </c>
      <c r="E198" s="67">
        <f ca="1">графік!H193</f>
        <v>28356.639999999999</v>
      </c>
      <c r="F198" s="66">
        <f>графік!F193</f>
        <v>16666.669999999998</v>
      </c>
      <c r="G198" s="67">
        <f ca="1">графік!G193</f>
        <v>11689.97</v>
      </c>
      <c r="H198" s="67" t="str">
        <f>графік!M193</f>
        <v/>
      </c>
      <c r="I198" s="67"/>
      <c r="J198" s="69" t="str">
        <f>графік!N193</f>
        <v/>
      </c>
      <c r="K198" s="67" t="str">
        <f>графік!I193</f>
        <v/>
      </c>
      <c r="L198" s="67" t="str">
        <f>графік!J193</f>
        <v/>
      </c>
      <c r="M198" s="67">
        <f>графік!K193</f>
        <v>17100</v>
      </c>
      <c r="N198" s="67" t="str">
        <f>графік!L193</f>
        <v/>
      </c>
      <c r="O198" s="74" t="str">
        <f>графік!P193</f>
        <v/>
      </c>
      <c r="P198" s="230" t="str">
        <f>графік!Q193</f>
        <v/>
      </c>
    </row>
    <row r="199" spans="1:16" x14ac:dyDescent="0.35">
      <c r="A199" s="63">
        <f>графік!A194</f>
        <v>170</v>
      </c>
      <c r="B199" s="68">
        <f ca="1">графік!C194</f>
        <v>49564</v>
      </c>
      <c r="C199" s="65">
        <f ca="1">графік!D194</f>
        <v>31</v>
      </c>
      <c r="D199" s="66">
        <f>графік!E194</f>
        <v>1166666.1033333461</v>
      </c>
      <c r="E199" s="67">
        <f ca="1">графік!H194</f>
        <v>28194.28</v>
      </c>
      <c r="F199" s="66">
        <f>графік!F194</f>
        <v>16666.669999999998</v>
      </c>
      <c r="G199" s="67">
        <f ca="1">графік!G194</f>
        <v>11527.61</v>
      </c>
      <c r="H199" s="67" t="str">
        <f>графік!M194</f>
        <v/>
      </c>
      <c r="I199" s="67"/>
      <c r="J199" s="69" t="str">
        <f>графік!N194</f>
        <v/>
      </c>
      <c r="K199" s="67" t="str">
        <f>графік!I194</f>
        <v/>
      </c>
      <c r="L199" s="67" t="str">
        <f>графік!J194</f>
        <v/>
      </c>
      <c r="M199" s="69">
        <f>графік!K194</f>
        <v>0</v>
      </c>
      <c r="N199" s="67" t="str">
        <f>графік!L194</f>
        <v/>
      </c>
      <c r="O199" s="74" t="str">
        <f>графік!P194</f>
        <v/>
      </c>
      <c r="P199" s="230" t="str">
        <f>графік!Q194</f>
        <v/>
      </c>
    </row>
    <row r="200" spans="1:16" x14ac:dyDescent="0.35">
      <c r="A200" s="63">
        <f>графік!A195</f>
        <v>171</v>
      </c>
      <c r="B200" s="68">
        <f ca="1">графік!C195</f>
        <v>49594</v>
      </c>
      <c r="C200" s="65">
        <f ca="1">графік!D195</f>
        <v>30</v>
      </c>
      <c r="D200" s="66">
        <f>графік!E195</f>
        <v>1149999.4333333462</v>
      </c>
      <c r="E200" s="67">
        <f ca="1">графік!H195</f>
        <v>27665.29</v>
      </c>
      <c r="F200" s="66">
        <f>графік!F195</f>
        <v>16666.669999999998</v>
      </c>
      <c r="G200" s="67">
        <f ca="1">графік!G195</f>
        <v>10998.62</v>
      </c>
      <c r="H200" s="67" t="str">
        <f>графік!M195</f>
        <v/>
      </c>
      <c r="I200" s="67"/>
      <c r="J200" s="69" t="str">
        <f>графік!N195</f>
        <v/>
      </c>
      <c r="K200" s="67" t="str">
        <f>графік!I195</f>
        <v/>
      </c>
      <c r="L200" s="67" t="str">
        <f>графік!J195</f>
        <v/>
      </c>
      <c r="M200" s="69">
        <f>графік!K195</f>
        <v>0</v>
      </c>
      <c r="N200" s="67" t="str">
        <f>графік!L195</f>
        <v/>
      </c>
      <c r="O200" s="74" t="str">
        <f>графік!P195</f>
        <v/>
      </c>
      <c r="P200" s="230" t="str">
        <f>графік!Q195</f>
        <v/>
      </c>
    </row>
    <row r="201" spans="1:16" x14ac:dyDescent="0.35">
      <c r="A201" s="63">
        <f>графік!A196</f>
        <v>172</v>
      </c>
      <c r="B201" s="68">
        <f ca="1">графік!C196</f>
        <v>49625</v>
      </c>
      <c r="C201" s="65">
        <f ca="1">графік!D196</f>
        <v>31</v>
      </c>
      <c r="D201" s="66">
        <f>графік!E196</f>
        <v>1133332.7633333462</v>
      </c>
      <c r="E201" s="67">
        <f ca="1">графік!H196</f>
        <v>27869.549999999996</v>
      </c>
      <c r="F201" s="66">
        <f>графік!F196</f>
        <v>16666.669999999998</v>
      </c>
      <c r="G201" s="67">
        <f ca="1">графік!G196</f>
        <v>11202.88</v>
      </c>
      <c r="H201" s="67" t="str">
        <f>графік!M196</f>
        <v/>
      </c>
      <c r="I201" s="67"/>
      <c r="J201" s="69" t="str">
        <f>графік!N196</f>
        <v/>
      </c>
      <c r="K201" s="67" t="str">
        <f>графік!I196</f>
        <v/>
      </c>
      <c r="L201" s="67" t="str">
        <f>графік!J196</f>
        <v/>
      </c>
      <c r="M201" s="69">
        <f>графік!K196</f>
        <v>0</v>
      </c>
      <c r="N201" s="67" t="str">
        <f>графік!L196</f>
        <v/>
      </c>
      <c r="O201" s="74" t="str">
        <f>графік!P196</f>
        <v/>
      </c>
      <c r="P201" s="230" t="str">
        <f>графік!Q196</f>
        <v/>
      </c>
    </row>
    <row r="202" spans="1:16" x14ac:dyDescent="0.35">
      <c r="A202" s="63">
        <f>графік!A197</f>
        <v>173</v>
      </c>
      <c r="B202" s="68">
        <f ca="1">графік!C197</f>
        <v>49655</v>
      </c>
      <c r="C202" s="65">
        <f ca="1">графік!D197</f>
        <v>30</v>
      </c>
      <c r="D202" s="66">
        <f>графік!E197</f>
        <v>1116666.0933333463</v>
      </c>
      <c r="E202" s="67">
        <f ca="1">графік!H197</f>
        <v>27351.049999999996</v>
      </c>
      <c r="F202" s="66">
        <f>графік!F197</f>
        <v>16666.669999999998</v>
      </c>
      <c r="G202" s="67">
        <f ca="1">графік!G197</f>
        <v>10684.38</v>
      </c>
      <c r="H202" s="67" t="str">
        <f>графік!M197</f>
        <v/>
      </c>
      <c r="I202" s="67"/>
      <c r="J202" s="69" t="str">
        <f>графік!N197</f>
        <v/>
      </c>
      <c r="K202" s="67" t="str">
        <f>графік!I197</f>
        <v/>
      </c>
      <c r="L202" s="67" t="str">
        <f>графік!J197</f>
        <v/>
      </c>
      <c r="M202" s="69">
        <f>графік!K197</f>
        <v>0</v>
      </c>
      <c r="N202" s="67" t="str">
        <f>графік!L197</f>
        <v/>
      </c>
      <c r="O202" s="74" t="str">
        <f>графік!P197</f>
        <v/>
      </c>
      <c r="P202" s="230" t="str">
        <f>графік!Q197</f>
        <v/>
      </c>
    </row>
    <row r="203" spans="1:16" x14ac:dyDescent="0.35">
      <c r="A203" s="63">
        <f>графік!A198</f>
        <v>174</v>
      </c>
      <c r="B203" s="68">
        <f ca="1">графік!C198</f>
        <v>49686</v>
      </c>
      <c r="C203" s="65">
        <f ca="1">графік!D198</f>
        <v>31</v>
      </c>
      <c r="D203" s="66">
        <f>графік!E198</f>
        <v>1099999.4233333464</v>
      </c>
      <c r="E203" s="67">
        <f ca="1">графік!H198</f>
        <v>27534.29</v>
      </c>
      <c r="F203" s="66">
        <f>графік!F198</f>
        <v>16666.669999999998</v>
      </c>
      <c r="G203" s="67">
        <f ca="1">графік!G198</f>
        <v>10867.62</v>
      </c>
      <c r="H203" s="67" t="str">
        <f>графік!M198</f>
        <v/>
      </c>
      <c r="I203" s="67"/>
      <c r="J203" s="69" t="str">
        <f>графік!N198</f>
        <v/>
      </c>
      <c r="K203" s="67" t="str">
        <f>графік!I198</f>
        <v/>
      </c>
      <c r="L203" s="67" t="str">
        <f>графік!J198</f>
        <v/>
      </c>
      <c r="M203" s="69">
        <f>графік!K198</f>
        <v>0</v>
      </c>
      <c r="N203" s="67" t="str">
        <f>графік!L198</f>
        <v/>
      </c>
      <c r="O203" s="74" t="str">
        <f>графік!P198</f>
        <v/>
      </c>
      <c r="P203" s="230" t="str">
        <f>графік!Q198</f>
        <v/>
      </c>
    </row>
    <row r="204" spans="1:16" x14ac:dyDescent="0.35">
      <c r="A204" s="63">
        <f>графік!A199</f>
        <v>175</v>
      </c>
      <c r="B204" s="68">
        <f ca="1">графік!C199</f>
        <v>49717</v>
      </c>
      <c r="C204" s="65">
        <f ca="1">графік!D199</f>
        <v>31</v>
      </c>
      <c r="D204" s="66">
        <f>графік!E199</f>
        <v>1083332.7533333465</v>
      </c>
      <c r="E204" s="67">
        <f ca="1">графік!H199</f>
        <v>27353.19</v>
      </c>
      <c r="F204" s="66">
        <f>графік!F199</f>
        <v>16666.669999999998</v>
      </c>
      <c r="G204" s="67">
        <f ca="1">графік!G199</f>
        <v>10686.52</v>
      </c>
      <c r="H204" s="67" t="str">
        <f>графік!M199</f>
        <v/>
      </c>
      <c r="I204" s="67"/>
      <c r="J204" s="69" t="str">
        <f>графік!N199</f>
        <v/>
      </c>
      <c r="K204" s="67" t="str">
        <f>графік!I199</f>
        <v/>
      </c>
      <c r="L204" s="67" t="str">
        <f>графік!J199</f>
        <v/>
      </c>
      <c r="M204" s="69">
        <f>графік!K199</f>
        <v>0</v>
      </c>
      <c r="N204" s="67" t="str">
        <f>графік!L199</f>
        <v/>
      </c>
      <c r="O204" s="74" t="str">
        <f>графік!P199</f>
        <v/>
      </c>
      <c r="P204" s="230" t="str">
        <f>графік!Q199</f>
        <v/>
      </c>
    </row>
    <row r="205" spans="1:16" x14ac:dyDescent="0.35">
      <c r="A205" s="63">
        <f>графік!A200</f>
        <v>176</v>
      </c>
      <c r="B205" s="68">
        <f ca="1">графік!C200</f>
        <v>49746</v>
      </c>
      <c r="C205" s="65">
        <f ca="1">графік!D200</f>
        <v>29</v>
      </c>
      <c r="D205" s="66">
        <f>графік!E200</f>
        <v>1066666.0833333465</v>
      </c>
      <c r="E205" s="67">
        <f ca="1">графік!H200</f>
        <v>26512.269999999997</v>
      </c>
      <c r="F205" s="66">
        <f>графік!F200</f>
        <v>16666.669999999998</v>
      </c>
      <c r="G205" s="67">
        <f ca="1">графік!G200</f>
        <v>9845.6</v>
      </c>
      <c r="H205" s="67" t="str">
        <f>графік!M200</f>
        <v/>
      </c>
      <c r="I205" s="67"/>
      <c r="J205" s="69" t="str">
        <f>графік!N200</f>
        <v/>
      </c>
      <c r="K205" s="67" t="str">
        <f>графік!I200</f>
        <v/>
      </c>
      <c r="L205" s="67" t="str">
        <f>графік!J200</f>
        <v/>
      </c>
      <c r="M205" s="69">
        <f>графік!K200</f>
        <v>0</v>
      </c>
      <c r="N205" s="67" t="str">
        <f>графік!L200</f>
        <v/>
      </c>
      <c r="O205" s="74" t="str">
        <f>графік!P200</f>
        <v/>
      </c>
      <c r="P205" s="230" t="str">
        <f>графік!Q200</f>
        <v/>
      </c>
    </row>
    <row r="206" spans="1:16" x14ac:dyDescent="0.35">
      <c r="A206" s="63">
        <f>графік!A201</f>
        <v>177</v>
      </c>
      <c r="B206" s="68">
        <f ca="1">графік!C201</f>
        <v>49777</v>
      </c>
      <c r="C206" s="65">
        <f ca="1">графік!D201</f>
        <v>31</v>
      </c>
      <c r="D206" s="66">
        <f>графік!E201</f>
        <v>1049999.4133333466</v>
      </c>
      <c r="E206" s="67">
        <f ca="1">графік!H201</f>
        <v>27029.360000000001</v>
      </c>
      <c r="F206" s="66">
        <f>графік!F201</f>
        <v>16666.669999999998</v>
      </c>
      <c r="G206" s="67">
        <f ca="1">графік!G201</f>
        <v>10362.69</v>
      </c>
      <c r="H206" s="67" t="str">
        <f>графік!M201</f>
        <v/>
      </c>
      <c r="I206" s="67"/>
      <c r="J206" s="69" t="str">
        <f>графік!N201</f>
        <v/>
      </c>
      <c r="K206" s="67" t="str">
        <f>графік!I201</f>
        <v/>
      </c>
      <c r="L206" s="67" t="str">
        <f>графік!J201</f>
        <v/>
      </c>
      <c r="M206" s="69">
        <f>графік!K201</f>
        <v>0</v>
      </c>
      <c r="N206" s="67" t="str">
        <f>графік!L201</f>
        <v/>
      </c>
      <c r="O206" s="74" t="str">
        <f>графік!P201</f>
        <v/>
      </c>
      <c r="P206" s="230" t="str">
        <f>графік!Q201</f>
        <v/>
      </c>
    </row>
    <row r="207" spans="1:16" x14ac:dyDescent="0.35">
      <c r="A207" s="63">
        <f>графік!A202</f>
        <v>178</v>
      </c>
      <c r="B207" s="68">
        <f ca="1">графік!C202</f>
        <v>49807</v>
      </c>
      <c r="C207" s="65">
        <f ca="1">графік!D202</f>
        <v>30</v>
      </c>
      <c r="D207" s="66">
        <f>графік!E202</f>
        <v>1033332.7433333466</v>
      </c>
      <c r="E207" s="67">
        <f ca="1">графік!H202</f>
        <v>26538.39</v>
      </c>
      <c r="F207" s="66">
        <f>графік!F202</f>
        <v>16666.669999999998</v>
      </c>
      <c r="G207" s="67">
        <f ca="1">графік!G202</f>
        <v>9871.7199999999993</v>
      </c>
      <c r="H207" s="67" t="str">
        <f>графік!M202</f>
        <v/>
      </c>
      <c r="I207" s="67"/>
      <c r="J207" s="69" t="str">
        <f>графік!N202</f>
        <v/>
      </c>
      <c r="K207" s="67" t="str">
        <f>графік!I202</f>
        <v/>
      </c>
      <c r="L207" s="67" t="str">
        <f>графік!J202</f>
        <v/>
      </c>
      <c r="M207" s="69">
        <f>графік!K202</f>
        <v>0</v>
      </c>
      <c r="N207" s="67" t="str">
        <f>графік!L202</f>
        <v/>
      </c>
      <c r="O207" s="74" t="str">
        <f>графік!P202</f>
        <v/>
      </c>
      <c r="P207" s="230" t="str">
        <f>графік!Q202</f>
        <v/>
      </c>
    </row>
    <row r="208" spans="1:16" x14ac:dyDescent="0.35">
      <c r="A208" s="63">
        <f>графік!A203</f>
        <v>179</v>
      </c>
      <c r="B208" s="68">
        <f ca="1">графік!C203</f>
        <v>49838</v>
      </c>
      <c r="C208" s="65">
        <f ca="1">графік!D203</f>
        <v>31</v>
      </c>
      <c r="D208" s="66">
        <f>графік!E203</f>
        <v>1016666.0733333465</v>
      </c>
      <c r="E208" s="67">
        <f ca="1">графік!H203</f>
        <v>26705.53</v>
      </c>
      <c r="F208" s="66">
        <f>графік!F203</f>
        <v>16666.669999999998</v>
      </c>
      <c r="G208" s="67">
        <f ca="1">графік!G203</f>
        <v>10038.86</v>
      </c>
      <c r="H208" s="67" t="str">
        <f>графік!M203</f>
        <v/>
      </c>
      <c r="I208" s="67"/>
      <c r="J208" s="69" t="str">
        <f>графік!N203</f>
        <v/>
      </c>
      <c r="K208" s="67" t="str">
        <f>графік!I203</f>
        <v/>
      </c>
      <c r="L208" s="67" t="str">
        <f>графік!J203</f>
        <v/>
      </c>
      <c r="M208" s="69">
        <f>графік!K203</f>
        <v>0</v>
      </c>
      <c r="N208" s="67" t="str">
        <f>графік!L203</f>
        <v/>
      </c>
      <c r="O208" s="74" t="str">
        <f>графік!P203</f>
        <v/>
      </c>
      <c r="P208" s="230" t="str">
        <f>графік!Q203</f>
        <v/>
      </c>
    </row>
    <row r="209" spans="1:16" x14ac:dyDescent="0.35">
      <c r="A209" s="63">
        <f>графік!A204</f>
        <v>180</v>
      </c>
      <c r="B209" s="68">
        <f ca="1">графік!C204</f>
        <v>49868</v>
      </c>
      <c r="C209" s="65">
        <f ca="1">графік!D204</f>
        <v>30</v>
      </c>
      <c r="D209" s="66">
        <f>графік!E204</f>
        <v>999999.40333334648</v>
      </c>
      <c r="E209" s="67">
        <f ca="1">графік!H204</f>
        <v>26225</v>
      </c>
      <c r="F209" s="66">
        <f>графік!F204</f>
        <v>16666.669999999998</v>
      </c>
      <c r="G209" s="67">
        <f ca="1">графік!G204</f>
        <v>9558.33</v>
      </c>
      <c r="H209" s="67" t="str">
        <f>графік!M204</f>
        <v/>
      </c>
      <c r="I209" s="67"/>
      <c r="J209" s="69" t="str">
        <f>графік!N204</f>
        <v/>
      </c>
      <c r="K209" s="67" t="str">
        <f>графік!I204</f>
        <v/>
      </c>
      <c r="L209" s="67" t="str">
        <f>графік!J204</f>
        <v/>
      </c>
      <c r="M209" s="69">
        <f>графік!K204</f>
        <v>0</v>
      </c>
      <c r="N209" s="67" t="str">
        <f>графік!L204</f>
        <v/>
      </c>
      <c r="O209" s="74" t="str">
        <f>графік!P204</f>
        <v/>
      </c>
      <c r="P209" s="230" t="str">
        <f>графік!Q204</f>
        <v/>
      </c>
    </row>
    <row r="210" spans="1:16" x14ac:dyDescent="0.35">
      <c r="A210" s="63">
        <f>графік!A205</f>
        <v>181</v>
      </c>
      <c r="B210" s="68">
        <f ca="1">графік!C205</f>
        <v>49899</v>
      </c>
      <c r="C210" s="65">
        <f ca="1">графік!D205</f>
        <v>31</v>
      </c>
      <c r="D210" s="66">
        <f>графік!E205</f>
        <v>983332.73333334643</v>
      </c>
      <c r="E210" s="67">
        <f ca="1">графік!H205</f>
        <v>26381.69</v>
      </c>
      <c r="F210" s="66">
        <f>графік!F205</f>
        <v>16666.669999999998</v>
      </c>
      <c r="G210" s="67">
        <f ca="1">графік!G205</f>
        <v>9715.02</v>
      </c>
      <c r="H210" s="67" t="str">
        <f>графік!M205</f>
        <v/>
      </c>
      <c r="I210" s="67"/>
      <c r="J210" s="69" t="str">
        <f>графік!N205</f>
        <v/>
      </c>
      <c r="K210" s="67" t="str">
        <f>графік!I205</f>
        <v/>
      </c>
      <c r="L210" s="67" t="str">
        <f>графік!J205</f>
        <v/>
      </c>
      <c r="M210" s="67">
        <f>графік!K205</f>
        <v>17100</v>
      </c>
      <c r="N210" s="67" t="str">
        <f>графік!L205</f>
        <v/>
      </c>
      <c r="O210" s="74" t="str">
        <f>графік!P205</f>
        <v/>
      </c>
      <c r="P210" s="230" t="str">
        <f>графік!Q205</f>
        <v/>
      </c>
    </row>
    <row r="211" spans="1:16" x14ac:dyDescent="0.35">
      <c r="A211" s="63">
        <f>графік!A206</f>
        <v>182</v>
      </c>
      <c r="B211" s="68">
        <f ca="1">графік!C206</f>
        <v>49930</v>
      </c>
      <c r="C211" s="65">
        <f ca="1">графік!D206</f>
        <v>31</v>
      </c>
      <c r="D211" s="66">
        <f>графік!E206</f>
        <v>966666.06333334639</v>
      </c>
      <c r="E211" s="67">
        <f ca="1">графік!H206</f>
        <v>26219.769999999997</v>
      </c>
      <c r="F211" s="66">
        <f>графік!F206</f>
        <v>16666.669999999998</v>
      </c>
      <c r="G211" s="67">
        <f ca="1">графік!G206</f>
        <v>9553.1</v>
      </c>
      <c r="H211" s="67" t="str">
        <f>графік!M206</f>
        <v/>
      </c>
      <c r="I211" s="67"/>
      <c r="J211" s="69" t="str">
        <f>графік!N206</f>
        <v/>
      </c>
      <c r="K211" s="67" t="str">
        <f>графік!I206</f>
        <v/>
      </c>
      <c r="L211" s="67" t="str">
        <f>графік!J206</f>
        <v/>
      </c>
      <c r="M211" s="69">
        <f>графік!K206</f>
        <v>0</v>
      </c>
      <c r="N211" s="67" t="str">
        <f>графік!L206</f>
        <v/>
      </c>
      <c r="O211" s="74" t="str">
        <f>графік!P206</f>
        <v/>
      </c>
      <c r="P211" s="230" t="str">
        <f>графік!Q206</f>
        <v/>
      </c>
    </row>
    <row r="212" spans="1:16" x14ac:dyDescent="0.35">
      <c r="A212" s="63">
        <f>графік!A207</f>
        <v>183</v>
      </c>
      <c r="B212" s="68">
        <f ca="1">графік!C207</f>
        <v>49960</v>
      </c>
      <c r="C212" s="65">
        <f ca="1">графік!D207</f>
        <v>30</v>
      </c>
      <c r="D212" s="66">
        <f>графік!E207</f>
        <v>949999.39333334635</v>
      </c>
      <c r="E212" s="67">
        <f ca="1">графік!H207</f>
        <v>25754.92</v>
      </c>
      <c r="F212" s="66">
        <f>графік!F207</f>
        <v>16666.669999999998</v>
      </c>
      <c r="G212" s="67">
        <f ca="1">графік!G207</f>
        <v>9088.25</v>
      </c>
      <c r="H212" s="67" t="str">
        <f>графік!M207</f>
        <v/>
      </c>
      <c r="I212" s="67"/>
      <c r="J212" s="69" t="str">
        <f>графік!N207</f>
        <v/>
      </c>
      <c r="K212" s="67" t="str">
        <f>графік!I207</f>
        <v/>
      </c>
      <c r="L212" s="67" t="str">
        <f>графік!J207</f>
        <v/>
      </c>
      <c r="M212" s="69">
        <f>графік!K207</f>
        <v>0</v>
      </c>
      <c r="N212" s="67" t="str">
        <f>графік!L207</f>
        <v/>
      </c>
      <c r="O212" s="74" t="str">
        <f>графік!P207</f>
        <v/>
      </c>
      <c r="P212" s="230" t="str">
        <f>графік!Q207</f>
        <v/>
      </c>
    </row>
    <row r="213" spans="1:16" x14ac:dyDescent="0.35">
      <c r="A213" s="63">
        <f>графік!A208</f>
        <v>184</v>
      </c>
      <c r="B213" s="68">
        <f ca="1">графік!C208</f>
        <v>49991</v>
      </c>
      <c r="C213" s="65">
        <f ca="1">графік!D208</f>
        <v>31</v>
      </c>
      <c r="D213" s="66">
        <f>графік!E208</f>
        <v>933332.72333334631</v>
      </c>
      <c r="E213" s="67">
        <f ca="1">графік!H208</f>
        <v>25895.94</v>
      </c>
      <c r="F213" s="66">
        <f>графік!F208</f>
        <v>16666.669999999998</v>
      </c>
      <c r="G213" s="67">
        <f ca="1">графік!G208</f>
        <v>9229.27</v>
      </c>
      <c r="H213" s="67" t="str">
        <f>графік!M208</f>
        <v/>
      </c>
      <c r="I213" s="67"/>
      <c r="J213" s="69" t="str">
        <f>графік!N208</f>
        <v/>
      </c>
      <c r="K213" s="67" t="str">
        <f>графік!I208</f>
        <v/>
      </c>
      <c r="L213" s="67" t="str">
        <f>графік!J208</f>
        <v/>
      </c>
      <c r="M213" s="69">
        <f>графік!K208</f>
        <v>0</v>
      </c>
      <c r="N213" s="67" t="str">
        <f>графік!L208</f>
        <v/>
      </c>
      <c r="O213" s="74" t="str">
        <f>графік!P208</f>
        <v/>
      </c>
      <c r="P213" s="230" t="str">
        <f>графік!Q208</f>
        <v/>
      </c>
    </row>
    <row r="214" spans="1:16" x14ac:dyDescent="0.35">
      <c r="A214" s="63">
        <f>графік!A209</f>
        <v>185</v>
      </c>
      <c r="B214" s="68">
        <f ca="1">графік!C209</f>
        <v>50021</v>
      </c>
      <c r="C214" s="65">
        <f ca="1">графік!D209</f>
        <v>30</v>
      </c>
      <c r="D214" s="66">
        <f>графік!E209</f>
        <v>916666.05333334627</v>
      </c>
      <c r="E214" s="67">
        <f ca="1">графік!H209</f>
        <v>25441.53</v>
      </c>
      <c r="F214" s="66">
        <f>графік!F209</f>
        <v>16666.669999999998</v>
      </c>
      <c r="G214" s="67">
        <f ca="1">графік!G209</f>
        <v>8774.86</v>
      </c>
      <c r="H214" s="67" t="str">
        <f>графік!M209</f>
        <v/>
      </c>
      <c r="I214" s="67"/>
      <c r="J214" s="69" t="str">
        <f>графік!N209</f>
        <v/>
      </c>
      <c r="K214" s="67" t="str">
        <f>графік!I209</f>
        <v/>
      </c>
      <c r="L214" s="67" t="str">
        <f>графік!J209</f>
        <v/>
      </c>
      <c r="M214" s="69">
        <f>графік!K209</f>
        <v>0</v>
      </c>
      <c r="N214" s="67" t="str">
        <f>графік!L209</f>
        <v/>
      </c>
      <c r="O214" s="74" t="str">
        <f>графік!P209</f>
        <v/>
      </c>
      <c r="P214" s="230" t="str">
        <f>графік!Q209</f>
        <v/>
      </c>
    </row>
    <row r="215" spans="1:16" x14ac:dyDescent="0.35">
      <c r="A215" s="63">
        <f>графік!A210</f>
        <v>186</v>
      </c>
      <c r="B215" s="68">
        <f ca="1">графік!C210</f>
        <v>50052</v>
      </c>
      <c r="C215" s="65">
        <f ca="1">графік!D210</f>
        <v>31</v>
      </c>
      <c r="D215" s="66">
        <f>графік!E210</f>
        <v>899999.38333334622</v>
      </c>
      <c r="E215" s="67">
        <f ca="1">графік!H210</f>
        <v>25580.76</v>
      </c>
      <c r="F215" s="66">
        <f>графік!F210</f>
        <v>16666.669999999998</v>
      </c>
      <c r="G215" s="67">
        <f ca="1">графік!G210</f>
        <v>8914.09</v>
      </c>
      <c r="H215" s="67" t="str">
        <f>графік!M210</f>
        <v/>
      </c>
      <c r="I215" s="67"/>
      <c r="J215" s="69" t="str">
        <f>графік!N210</f>
        <v/>
      </c>
      <c r="K215" s="67" t="str">
        <f>графік!I210</f>
        <v/>
      </c>
      <c r="L215" s="67" t="str">
        <f>графік!J210</f>
        <v/>
      </c>
      <c r="M215" s="69">
        <f>графік!K210</f>
        <v>0</v>
      </c>
      <c r="N215" s="67" t="str">
        <f>графік!L210</f>
        <v/>
      </c>
      <c r="O215" s="74" t="str">
        <f>графік!P210</f>
        <v/>
      </c>
      <c r="P215" s="230" t="str">
        <f>графік!Q210</f>
        <v/>
      </c>
    </row>
    <row r="216" spans="1:16" x14ac:dyDescent="0.35">
      <c r="A216" s="63">
        <f>графік!A211</f>
        <v>187</v>
      </c>
      <c r="B216" s="68">
        <f ca="1">графік!C211</f>
        <v>50083</v>
      </c>
      <c r="C216" s="65">
        <f ca="1">графік!D211</f>
        <v>31</v>
      </c>
      <c r="D216" s="66">
        <f>графік!E211</f>
        <v>883332.71333334618</v>
      </c>
      <c r="E216" s="67">
        <f ca="1">графік!H211</f>
        <v>25434.14</v>
      </c>
      <c r="F216" s="66">
        <f>графік!F211</f>
        <v>16666.669999999998</v>
      </c>
      <c r="G216" s="67">
        <f ca="1">графік!G211</f>
        <v>8767.4699999999993</v>
      </c>
      <c r="H216" s="67" t="str">
        <f>графік!M211</f>
        <v/>
      </c>
      <c r="I216" s="67"/>
      <c r="J216" s="69" t="str">
        <f>графік!N211</f>
        <v/>
      </c>
      <c r="K216" s="67" t="str">
        <f>графік!I211</f>
        <v/>
      </c>
      <c r="L216" s="67" t="str">
        <f>графік!J211</f>
        <v/>
      </c>
      <c r="M216" s="69">
        <f>графік!K211</f>
        <v>0</v>
      </c>
      <c r="N216" s="67" t="str">
        <f>графік!L211</f>
        <v/>
      </c>
      <c r="O216" s="74" t="str">
        <f>графік!P211</f>
        <v/>
      </c>
      <c r="P216" s="230" t="str">
        <f>графік!Q211</f>
        <v/>
      </c>
    </row>
    <row r="217" spans="1:16" x14ac:dyDescent="0.35">
      <c r="A217" s="63">
        <f>графік!A212</f>
        <v>188</v>
      </c>
      <c r="B217" s="68">
        <f ca="1">графік!C212</f>
        <v>50111</v>
      </c>
      <c r="C217" s="65">
        <f ca="1">графік!D212</f>
        <v>28</v>
      </c>
      <c r="D217" s="66">
        <f>графік!E212</f>
        <v>866666.04333334614</v>
      </c>
      <c r="E217" s="67">
        <f ca="1">графік!H212</f>
        <v>24439.03</v>
      </c>
      <c r="F217" s="66">
        <f>графік!F212</f>
        <v>16666.669999999998</v>
      </c>
      <c r="G217" s="67">
        <f ca="1">графік!G212</f>
        <v>7772.36</v>
      </c>
      <c r="H217" s="67" t="str">
        <f>графік!M212</f>
        <v/>
      </c>
      <c r="I217" s="67"/>
      <c r="J217" s="69" t="str">
        <f>графік!N212</f>
        <v/>
      </c>
      <c r="K217" s="67" t="str">
        <f>графік!I212</f>
        <v/>
      </c>
      <c r="L217" s="67" t="str">
        <f>графік!J212</f>
        <v/>
      </c>
      <c r="M217" s="69">
        <f>графік!K212</f>
        <v>0</v>
      </c>
      <c r="N217" s="67" t="str">
        <f>графік!L212</f>
        <v/>
      </c>
      <c r="O217" s="74" t="str">
        <f>графік!P212</f>
        <v/>
      </c>
      <c r="P217" s="230" t="str">
        <f>графік!Q212</f>
        <v/>
      </c>
    </row>
    <row r="218" spans="1:16" x14ac:dyDescent="0.35">
      <c r="A218" s="63">
        <f>графік!A213</f>
        <v>189</v>
      </c>
      <c r="B218" s="68">
        <f ca="1">графік!C213</f>
        <v>50142</v>
      </c>
      <c r="C218" s="65">
        <f ca="1">графік!D213</f>
        <v>31</v>
      </c>
      <c r="D218" s="66">
        <f>графік!E213</f>
        <v>849999.3733333461</v>
      </c>
      <c r="E218" s="67">
        <f ca="1">графік!H213</f>
        <v>25109.42</v>
      </c>
      <c r="F218" s="66">
        <f>графік!F213</f>
        <v>16666.669999999998</v>
      </c>
      <c r="G218" s="67">
        <f ca="1">графік!G213</f>
        <v>8442.75</v>
      </c>
      <c r="H218" s="67" t="str">
        <f>графік!M213</f>
        <v/>
      </c>
      <c r="I218" s="67"/>
      <c r="J218" s="69" t="str">
        <f>графік!N213</f>
        <v/>
      </c>
      <c r="K218" s="67" t="str">
        <f>графік!I213</f>
        <v/>
      </c>
      <c r="L218" s="67" t="str">
        <f>графік!J213</f>
        <v/>
      </c>
      <c r="M218" s="69">
        <f>графік!K213</f>
        <v>0</v>
      </c>
      <c r="N218" s="67" t="str">
        <f>графік!L213</f>
        <v/>
      </c>
      <c r="O218" s="74" t="str">
        <f>графік!P213</f>
        <v/>
      </c>
      <c r="P218" s="230" t="str">
        <f>графік!Q213</f>
        <v/>
      </c>
    </row>
    <row r="219" spans="1:16" x14ac:dyDescent="0.35">
      <c r="A219" s="63">
        <f>графік!A214</f>
        <v>190</v>
      </c>
      <c r="B219" s="68">
        <f ca="1">графік!C214</f>
        <v>50172</v>
      </c>
      <c r="C219" s="65">
        <f ca="1">графік!D214</f>
        <v>30</v>
      </c>
      <c r="D219" s="66">
        <f>графік!E214</f>
        <v>833332.70333334606</v>
      </c>
      <c r="E219" s="67">
        <f ca="1">графік!H214</f>
        <v>24679.949999999997</v>
      </c>
      <c r="F219" s="66">
        <f>графік!F214</f>
        <v>16666.669999999998</v>
      </c>
      <c r="G219" s="67">
        <f ca="1">графік!G214</f>
        <v>8013.28</v>
      </c>
      <c r="H219" s="67" t="str">
        <f>графік!M214</f>
        <v/>
      </c>
      <c r="I219" s="67"/>
      <c r="J219" s="69" t="str">
        <f>графік!N214</f>
        <v/>
      </c>
      <c r="K219" s="67" t="str">
        <f>графік!I214</f>
        <v/>
      </c>
      <c r="L219" s="67" t="str">
        <f>графік!J214</f>
        <v/>
      </c>
      <c r="M219" s="69">
        <f>графік!K214</f>
        <v>0</v>
      </c>
      <c r="N219" s="67" t="str">
        <f>графік!L214</f>
        <v/>
      </c>
      <c r="O219" s="74" t="str">
        <f>графік!P214</f>
        <v/>
      </c>
      <c r="P219" s="230" t="str">
        <f>графік!Q214</f>
        <v/>
      </c>
    </row>
    <row r="220" spans="1:16" x14ac:dyDescent="0.35">
      <c r="A220" s="63">
        <f>графік!A215</f>
        <v>191</v>
      </c>
      <c r="B220" s="68">
        <f ca="1">графік!C215</f>
        <v>50203</v>
      </c>
      <c r="C220" s="65">
        <f ca="1">графік!D215</f>
        <v>31</v>
      </c>
      <c r="D220" s="66">
        <f>графік!E215</f>
        <v>816666.03333334601</v>
      </c>
      <c r="E220" s="67">
        <f ca="1">графік!H215</f>
        <v>24784.699999999997</v>
      </c>
      <c r="F220" s="66">
        <f>графік!F215</f>
        <v>16666.669999999998</v>
      </c>
      <c r="G220" s="67">
        <f ca="1">графік!G215</f>
        <v>8118.03</v>
      </c>
      <c r="H220" s="67" t="str">
        <f>графік!M215</f>
        <v/>
      </c>
      <c r="I220" s="67"/>
      <c r="J220" s="69" t="str">
        <f>графік!N215</f>
        <v/>
      </c>
      <c r="K220" s="67" t="str">
        <f>графік!I215</f>
        <v/>
      </c>
      <c r="L220" s="67" t="str">
        <f>графік!J215</f>
        <v/>
      </c>
      <c r="M220" s="69">
        <f>графік!K215</f>
        <v>0</v>
      </c>
      <c r="N220" s="67" t="str">
        <f>графік!L215</f>
        <v/>
      </c>
      <c r="O220" s="74" t="str">
        <f>графік!P215</f>
        <v/>
      </c>
      <c r="P220" s="230" t="str">
        <f>графік!Q215</f>
        <v/>
      </c>
    </row>
    <row r="221" spans="1:16" x14ac:dyDescent="0.35">
      <c r="A221" s="63">
        <f>графік!A216</f>
        <v>192</v>
      </c>
      <c r="B221" s="68">
        <f ca="1">графік!C216</f>
        <v>50233</v>
      </c>
      <c r="C221" s="65">
        <f ca="1">графік!D216</f>
        <v>30</v>
      </c>
      <c r="D221" s="66">
        <f>графік!E216</f>
        <v>799999.36333334597</v>
      </c>
      <c r="E221" s="67">
        <f ca="1">графік!H216</f>
        <v>24365.71</v>
      </c>
      <c r="F221" s="66">
        <f>графік!F216</f>
        <v>16666.669999999998</v>
      </c>
      <c r="G221" s="67">
        <f ca="1">графік!G216</f>
        <v>7699.04</v>
      </c>
      <c r="H221" s="67" t="str">
        <f>графік!M216</f>
        <v/>
      </c>
      <c r="I221" s="67"/>
      <c r="J221" s="69" t="str">
        <f>графік!N216</f>
        <v/>
      </c>
      <c r="K221" s="67" t="str">
        <f>графік!I216</f>
        <v/>
      </c>
      <c r="L221" s="67" t="str">
        <f>графік!J216</f>
        <v/>
      </c>
      <c r="M221" s="69">
        <f>графік!K216</f>
        <v>0</v>
      </c>
      <c r="N221" s="67" t="str">
        <f>графік!L216</f>
        <v/>
      </c>
      <c r="O221" s="74" t="str">
        <f>графік!P216</f>
        <v/>
      </c>
      <c r="P221" s="230" t="str">
        <f>графік!Q216</f>
        <v/>
      </c>
    </row>
    <row r="222" spans="1:16" x14ac:dyDescent="0.35">
      <c r="A222" s="63">
        <f>графік!A217</f>
        <v>193</v>
      </c>
      <c r="B222" s="68">
        <f ca="1">графік!C217</f>
        <v>50264</v>
      </c>
      <c r="C222" s="65">
        <f ca="1">графік!D217</f>
        <v>31</v>
      </c>
      <c r="D222" s="66">
        <f>графік!E217</f>
        <v>783332.69333334593</v>
      </c>
      <c r="E222" s="67">
        <f ca="1">графік!H217</f>
        <v>24459.98</v>
      </c>
      <c r="F222" s="66">
        <f>графік!F217</f>
        <v>16666.669999999998</v>
      </c>
      <c r="G222" s="67">
        <f ca="1">графік!G217</f>
        <v>7793.31</v>
      </c>
      <c r="H222" s="67" t="str">
        <f>графік!M217</f>
        <v/>
      </c>
      <c r="I222" s="67"/>
      <c r="J222" s="69" t="str">
        <f>графік!N217</f>
        <v/>
      </c>
      <c r="K222" s="67" t="str">
        <f>графік!I217</f>
        <v/>
      </c>
      <c r="L222" s="67" t="str">
        <f>графік!J217</f>
        <v/>
      </c>
      <c r="M222" s="67">
        <f>графік!K217</f>
        <v>17100</v>
      </c>
      <c r="N222" s="67" t="str">
        <f>графік!L217</f>
        <v/>
      </c>
      <c r="O222" s="74" t="str">
        <f>графік!P217</f>
        <v/>
      </c>
      <c r="P222" s="230" t="str">
        <f>графік!Q217</f>
        <v/>
      </c>
    </row>
    <row r="223" spans="1:16" x14ac:dyDescent="0.35">
      <c r="A223" s="63">
        <f>графік!A218</f>
        <v>194</v>
      </c>
      <c r="B223" s="68">
        <f ca="1">графік!C218</f>
        <v>50295</v>
      </c>
      <c r="C223" s="65">
        <f ca="1">графік!D218</f>
        <v>31</v>
      </c>
      <c r="D223" s="66">
        <f>графік!E218</f>
        <v>766666.02333334589</v>
      </c>
      <c r="E223" s="67">
        <f ca="1">графік!H218</f>
        <v>24297.62</v>
      </c>
      <c r="F223" s="66">
        <f>графік!F218</f>
        <v>16666.669999999998</v>
      </c>
      <c r="G223" s="67">
        <f ca="1">графік!G218</f>
        <v>7630.95</v>
      </c>
      <c r="H223" s="67" t="str">
        <f>графік!M218</f>
        <v/>
      </c>
      <c r="I223" s="67"/>
      <c r="J223" s="69" t="str">
        <f>графік!N218</f>
        <v/>
      </c>
      <c r="K223" s="67" t="str">
        <f>графік!I218</f>
        <v/>
      </c>
      <c r="L223" s="67" t="str">
        <f>графік!J218</f>
        <v/>
      </c>
      <c r="M223" s="69">
        <f>графік!K218</f>
        <v>0</v>
      </c>
      <c r="N223" s="67" t="str">
        <f>графік!L218</f>
        <v/>
      </c>
      <c r="O223" s="74" t="str">
        <f>графік!P218</f>
        <v/>
      </c>
      <c r="P223" s="230" t="str">
        <f>графік!Q218</f>
        <v/>
      </c>
    </row>
    <row r="224" spans="1:16" x14ac:dyDescent="0.35">
      <c r="A224" s="63">
        <f>графік!A219</f>
        <v>195</v>
      </c>
      <c r="B224" s="68">
        <f ca="1">графік!C219</f>
        <v>50325</v>
      </c>
      <c r="C224" s="65">
        <f ca="1">графік!D219</f>
        <v>30</v>
      </c>
      <c r="D224" s="66">
        <f>графік!E219</f>
        <v>749999.35333334585</v>
      </c>
      <c r="E224" s="67">
        <f ca="1">графік!H219</f>
        <v>23894.339999999997</v>
      </c>
      <c r="F224" s="66">
        <f>графік!F219</f>
        <v>16666.669999999998</v>
      </c>
      <c r="G224" s="67">
        <f ca="1">графік!G219</f>
        <v>7227.67</v>
      </c>
      <c r="H224" s="67" t="str">
        <f>графік!M219</f>
        <v/>
      </c>
      <c r="I224" s="67"/>
      <c r="J224" s="69" t="str">
        <f>графік!N219</f>
        <v/>
      </c>
      <c r="K224" s="67" t="str">
        <f>графік!I219</f>
        <v/>
      </c>
      <c r="L224" s="67" t="str">
        <f>графік!J219</f>
        <v/>
      </c>
      <c r="M224" s="69">
        <f>графік!K219</f>
        <v>0</v>
      </c>
      <c r="N224" s="67" t="str">
        <f>графік!L219</f>
        <v/>
      </c>
      <c r="O224" s="74" t="str">
        <f>графік!P219</f>
        <v/>
      </c>
      <c r="P224" s="230" t="str">
        <f>графік!Q219</f>
        <v/>
      </c>
    </row>
    <row r="225" spans="1:16" x14ac:dyDescent="0.35">
      <c r="A225" s="63">
        <f>графік!A220</f>
        <v>196</v>
      </c>
      <c r="B225" s="68">
        <f ca="1">графік!C220</f>
        <v>50356</v>
      </c>
      <c r="C225" s="65">
        <f ca="1">графік!D220</f>
        <v>31</v>
      </c>
      <c r="D225" s="66">
        <f>графік!E220</f>
        <v>733332.68333334581</v>
      </c>
      <c r="E225" s="67">
        <f ca="1">графік!H220</f>
        <v>23972.899999999998</v>
      </c>
      <c r="F225" s="66">
        <f>графік!F220</f>
        <v>16666.669999999998</v>
      </c>
      <c r="G225" s="67">
        <f ca="1">графік!G220</f>
        <v>7306.23</v>
      </c>
      <c r="H225" s="67" t="str">
        <f>графік!M220</f>
        <v/>
      </c>
      <c r="I225" s="67"/>
      <c r="J225" s="69" t="str">
        <f>графік!N220</f>
        <v/>
      </c>
      <c r="K225" s="67" t="str">
        <f>графік!I220</f>
        <v/>
      </c>
      <c r="L225" s="67" t="str">
        <f>графік!J220</f>
        <v/>
      </c>
      <c r="M225" s="69">
        <f>графік!K220</f>
        <v>0</v>
      </c>
      <c r="N225" s="67" t="str">
        <f>графік!L220</f>
        <v/>
      </c>
      <c r="O225" s="74" t="str">
        <f>графік!P220</f>
        <v/>
      </c>
      <c r="P225" s="230" t="str">
        <f>графік!Q220</f>
        <v/>
      </c>
    </row>
    <row r="226" spans="1:16" x14ac:dyDescent="0.35">
      <c r="A226" s="63">
        <f>графік!A221</f>
        <v>197</v>
      </c>
      <c r="B226" s="68">
        <f ca="1">графік!C221</f>
        <v>50386</v>
      </c>
      <c r="C226" s="65">
        <f ca="1">графік!D221</f>
        <v>30</v>
      </c>
      <c r="D226" s="66">
        <f>графік!E221</f>
        <v>716666.01333334576</v>
      </c>
      <c r="E226" s="67">
        <f ca="1">графік!H221</f>
        <v>23580.089999999997</v>
      </c>
      <c r="F226" s="66">
        <f>графік!F221</f>
        <v>16666.669999999998</v>
      </c>
      <c r="G226" s="67">
        <f ca="1">графік!G221</f>
        <v>6913.42</v>
      </c>
      <c r="H226" s="67" t="str">
        <f>графік!M221</f>
        <v/>
      </c>
      <c r="I226" s="67"/>
      <c r="J226" s="69" t="str">
        <f>графік!N221</f>
        <v/>
      </c>
      <c r="K226" s="67" t="str">
        <f>графік!I221</f>
        <v/>
      </c>
      <c r="L226" s="67" t="str">
        <f>графік!J221</f>
        <v/>
      </c>
      <c r="M226" s="69">
        <f>графік!K221</f>
        <v>0</v>
      </c>
      <c r="N226" s="67" t="str">
        <f>графік!L221</f>
        <v/>
      </c>
      <c r="O226" s="74" t="str">
        <f>графік!P221</f>
        <v/>
      </c>
      <c r="P226" s="230" t="str">
        <f>графік!Q221</f>
        <v/>
      </c>
    </row>
    <row r="227" spans="1:16" x14ac:dyDescent="0.35">
      <c r="A227" s="63">
        <f>графік!A222</f>
        <v>198</v>
      </c>
      <c r="B227" s="68">
        <f ca="1">графік!C222</f>
        <v>50417</v>
      </c>
      <c r="C227" s="65">
        <f ca="1">графік!D222</f>
        <v>31</v>
      </c>
      <c r="D227" s="66">
        <f>графік!E222</f>
        <v>699999.34333334572</v>
      </c>
      <c r="E227" s="67">
        <f ca="1">графік!H222</f>
        <v>23648.18</v>
      </c>
      <c r="F227" s="66">
        <f>графік!F222</f>
        <v>16666.669999999998</v>
      </c>
      <c r="G227" s="67">
        <f ca="1">графік!G222</f>
        <v>6981.51</v>
      </c>
      <c r="H227" s="67" t="str">
        <f>графік!M222</f>
        <v/>
      </c>
      <c r="I227" s="67"/>
      <c r="J227" s="69" t="str">
        <f>графік!N222</f>
        <v/>
      </c>
      <c r="K227" s="67" t="str">
        <f>графік!I222</f>
        <v/>
      </c>
      <c r="L227" s="67" t="str">
        <f>графік!J222</f>
        <v/>
      </c>
      <c r="M227" s="69">
        <f>графік!K222</f>
        <v>0</v>
      </c>
      <c r="N227" s="67" t="str">
        <f>графік!L222</f>
        <v/>
      </c>
      <c r="O227" s="74" t="str">
        <f>графік!P222</f>
        <v/>
      </c>
      <c r="P227" s="230" t="str">
        <f>графік!Q222</f>
        <v/>
      </c>
    </row>
    <row r="228" spans="1:16" x14ac:dyDescent="0.35">
      <c r="A228" s="63">
        <f>графік!A223</f>
        <v>199</v>
      </c>
      <c r="B228" s="68">
        <f ca="1">графік!C223</f>
        <v>50448</v>
      </c>
      <c r="C228" s="65">
        <f ca="1">графік!D223</f>
        <v>31</v>
      </c>
      <c r="D228" s="66">
        <f>графік!E223</f>
        <v>683332.67333334568</v>
      </c>
      <c r="E228" s="67">
        <f ca="1">графік!H223</f>
        <v>23485.809999999998</v>
      </c>
      <c r="F228" s="66">
        <f>графік!F223</f>
        <v>16666.669999999998</v>
      </c>
      <c r="G228" s="67">
        <f ca="1">графік!G223</f>
        <v>6819.14</v>
      </c>
      <c r="H228" s="67" t="str">
        <f>графік!M223</f>
        <v/>
      </c>
      <c r="I228" s="67"/>
      <c r="J228" s="69" t="str">
        <f>графік!N223</f>
        <v/>
      </c>
      <c r="K228" s="67" t="str">
        <f>графік!I223</f>
        <v/>
      </c>
      <c r="L228" s="67" t="str">
        <f>графік!J223</f>
        <v/>
      </c>
      <c r="M228" s="69">
        <f>графік!K223</f>
        <v>0</v>
      </c>
      <c r="N228" s="67" t="str">
        <f>графік!L223</f>
        <v/>
      </c>
      <c r="O228" s="74" t="str">
        <f>графік!P223</f>
        <v/>
      </c>
      <c r="P228" s="230" t="str">
        <f>графік!Q223</f>
        <v/>
      </c>
    </row>
    <row r="229" spans="1:16" x14ac:dyDescent="0.35">
      <c r="A229" s="63">
        <f>графік!A224</f>
        <v>200</v>
      </c>
      <c r="B229" s="68">
        <f ca="1">графік!C224</f>
        <v>50476</v>
      </c>
      <c r="C229" s="65">
        <f ca="1">графік!D224</f>
        <v>28</v>
      </c>
      <c r="D229" s="66">
        <f>графік!E224</f>
        <v>666666.00333334564</v>
      </c>
      <c r="E229" s="67">
        <f ca="1">графік!H224</f>
        <v>22679.25</v>
      </c>
      <c r="F229" s="66">
        <f>графік!F224</f>
        <v>16666.669999999998</v>
      </c>
      <c r="G229" s="67">
        <f ca="1">графік!G224</f>
        <v>6012.58</v>
      </c>
      <c r="H229" s="67" t="str">
        <f>графік!M224</f>
        <v/>
      </c>
      <c r="I229" s="67"/>
      <c r="J229" s="69" t="str">
        <f>графік!N224</f>
        <v/>
      </c>
      <c r="K229" s="67" t="str">
        <f>графік!I224</f>
        <v/>
      </c>
      <c r="L229" s="67" t="str">
        <f>графік!J224</f>
        <v/>
      </c>
      <c r="M229" s="69">
        <f>графік!K224</f>
        <v>0</v>
      </c>
      <c r="N229" s="67" t="str">
        <f>графік!L224</f>
        <v/>
      </c>
      <c r="O229" s="74" t="str">
        <f>графік!P224</f>
        <v/>
      </c>
      <c r="P229" s="230" t="str">
        <f>графік!Q224</f>
        <v/>
      </c>
    </row>
    <row r="230" spans="1:16" x14ac:dyDescent="0.35">
      <c r="A230" s="63">
        <f>графік!A225</f>
        <v>201</v>
      </c>
      <c r="B230" s="68">
        <f ca="1">графік!C225</f>
        <v>50507</v>
      </c>
      <c r="C230" s="65">
        <f ca="1">графік!D225</f>
        <v>31</v>
      </c>
      <c r="D230" s="66">
        <f>графік!E225</f>
        <v>649999.3333333456</v>
      </c>
      <c r="E230" s="67">
        <f ca="1">графік!H225</f>
        <v>23161.089999999997</v>
      </c>
      <c r="F230" s="66">
        <f>графік!F225</f>
        <v>16666.669999999998</v>
      </c>
      <c r="G230" s="67">
        <f ca="1">графік!G225</f>
        <v>6494.42</v>
      </c>
      <c r="H230" s="67" t="str">
        <f>графік!M225</f>
        <v/>
      </c>
      <c r="I230" s="67"/>
      <c r="J230" s="69" t="str">
        <f>графік!N225</f>
        <v/>
      </c>
      <c r="K230" s="67" t="str">
        <f>графік!I225</f>
        <v/>
      </c>
      <c r="L230" s="67" t="str">
        <f>графік!J225</f>
        <v/>
      </c>
      <c r="M230" s="69">
        <f>графік!K225</f>
        <v>0</v>
      </c>
      <c r="N230" s="67" t="str">
        <f>графік!L225</f>
        <v/>
      </c>
      <c r="O230" s="74" t="str">
        <f>графік!P225</f>
        <v/>
      </c>
      <c r="P230" s="230" t="str">
        <f>графік!Q225</f>
        <v/>
      </c>
    </row>
    <row r="231" spans="1:16" x14ac:dyDescent="0.35">
      <c r="A231" s="63">
        <f>графік!A226</f>
        <v>202</v>
      </c>
      <c r="B231" s="68">
        <f ca="1">графік!C226</f>
        <v>50537</v>
      </c>
      <c r="C231" s="65">
        <f ca="1">графік!D226</f>
        <v>30</v>
      </c>
      <c r="D231" s="66">
        <f>графік!E226</f>
        <v>633332.66333334555</v>
      </c>
      <c r="E231" s="67">
        <f ca="1">графік!H226</f>
        <v>22794.469999999998</v>
      </c>
      <c r="F231" s="66">
        <f>графік!F226</f>
        <v>16666.669999999998</v>
      </c>
      <c r="G231" s="67">
        <f ca="1">графік!G226</f>
        <v>6127.8</v>
      </c>
      <c r="H231" s="67" t="str">
        <f>графік!M226</f>
        <v/>
      </c>
      <c r="I231" s="67"/>
      <c r="J231" s="69" t="str">
        <f>графік!N226</f>
        <v/>
      </c>
      <c r="K231" s="67" t="str">
        <f>графік!I226</f>
        <v/>
      </c>
      <c r="L231" s="67" t="str">
        <f>графік!J226</f>
        <v/>
      </c>
      <c r="M231" s="69">
        <f>графік!K226</f>
        <v>0</v>
      </c>
      <c r="N231" s="67" t="str">
        <f>графік!L226</f>
        <v/>
      </c>
      <c r="O231" s="74" t="str">
        <f>графік!P226</f>
        <v/>
      </c>
      <c r="P231" s="230" t="str">
        <f>графік!Q226</f>
        <v/>
      </c>
    </row>
    <row r="232" spans="1:16" x14ac:dyDescent="0.35">
      <c r="A232" s="63">
        <f>графік!A227</f>
        <v>203</v>
      </c>
      <c r="B232" s="68">
        <f ca="1">графік!C227</f>
        <v>50568</v>
      </c>
      <c r="C232" s="65">
        <f ca="1">графік!D227</f>
        <v>31</v>
      </c>
      <c r="D232" s="66">
        <f>графік!E227</f>
        <v>616665.99333334551</v>
      </c>
      <c r="E232" s="67">
        <f ca="1">графік!H227</f>
        <v>22836.37</v>
      </c>
      <c r="F232" s="66">
        <f>графік!F227</f>
        <v>16666.669999999998</v>
      </c>
      <c r="G232" s="67">
        <f ca="1">графік!G227</f>
        <v>6169.7</v>
      </c>
      <c r="H232" s="67" t="str">
        <f>графік!M227</f>
        <v/>
      </c>
      <c r="I232" s="67"/>
      <c r="J232" s="69" t="str">
        <f>графік!N227</f>
        <v/>
      </c>
      <c r="K232" s="67" t="str">
        <f>графік!I227</f>
        <v/>
      </c>
      <c r="L232" s="67" t="str">
        <f>графік!J227</f>
        <v/>
      </c>
      <c r="M232" s="69">
        <f>графік!K227</f>
        <v>0</v>
      </c>
      <c r="N232" s="67" t="str">
        <f>графік!L227</f>
        <v/>
      </c>
      <c r="O232" s="74" t="str">
        <f>графік!P227</f>
        <v/>
      </c>
      <c r="P232" s="230" t="str">
        <f>графік!Q227</f>
        <v/>
      </c>
    </row>
    <row r="233" spans="1:16" x14ac:dyDescent="0.35">
      <c r="A233" s="63">
        <f>графік!A228</f>
        <v>204</v>
      </c>
      <c r="B233" s="68">
        <f ca="1">графік!C228</f>
        <v>50598</v>
      </c>
      <c r="C233" s="65">
        <f ca="1">графік!D228</f>
        <v>30</v>
      </c>
      <c r="D233" s="66">
        <f>графік!E228</f>
        <v>599999.32333334547</v>
      </c>
      <c r="E233" s="67">
        <f ca="1">графік!H228</f>
        <v>22480.23</v>
      </c>
      <c r="F233" s="66">
        <f>графік!F228</f>
        <v>16666.669999999998</v>
      </c>
      <c r="G233" s="67">
        <f ca="1">графік!G228</f>
        <v>5813.56</v>
      </c>
      <c r="H233" s="67" t="str">
        <f>графік!M228</f>
        <v/>
      </c>
      <c r="I233" s="67"/>
      <c r="J233" s="69" t="str">
        <f>графік!N228</f>
        <v/>
      </c>
      <c r="K233" s="67" t="str">
        <f>графік!I228</f>
        <v/>
      </c>
      <c r="L233" s="67" t="str">
        <f>графік!J228</f>
        <v/>
      </c>
      <c r="M233" s="69">
        <f>графік!K228</f>
        <v>0</v>
      </c>
      <c r="N233" s="67" t="str">
        <f>графік!L228</f>
        <v/>
      </c>
      <c r="O233" s="74" t="str">
        <f>графік!P228</f>
        <v/>
      </c>
      <c r="P233" s="230" t="str">
        <f>графік!Q228</f>
        <v/>
      </c>
    </row>
    <row r="234" spans="1:16" x14ac:dyDescent="0.35">
      <c r="A234" s="63">
        <f>графік!A229</f>
        <v>205</v>
      </c>
      <c r="B234" s="68">
        <f ca="1">графік!C229</f>
        <v>50629</v>
      </c>
      <c r="C234" s="65">
        <f ca="1">графік!D229</f>
        <v>31</v>
      </c>
      <c r="D234" s="66">
        <f>графік!E229</f>
        <v>583332.65333334543</v>
      </c>
      <c r="E234" s="67">
        <f ca="1">графік!H229</f>
        <v>22511.649999999998</v>
      </c>
      <c r="F234" s="66">
        <f>графік!F229</f>
        <v>16666.669999999998</v>
      </c>
      <c r="G234" s="67">
        <f ca="1">графік!G229</f>
        <v>5844.98</v>
      </c>
      <c r="H234" s="67" t="str">
        <f>графік!M229</f>
        <v/>
      </c>
      <c r="I234" s="67"/>
      <c r="J234" s="69" t="str">
        <f>графік!N229</f>
        <v/>
      </c>
      <c r="K234" s="67" t="str">
        <f>графік!I229</f>
        <v/>
      </c>
      <c r="L234" s="67" t="str">
        <f>графік!J229</f>
        <v/>
      </c>
      <c r="M234" s="67">
        <f>графік!K229</f>
        <v>17100</v>
      </c>
      <c r="N234" s="67" t="str">
        <f>графік!L229</f>
        <v/>
      </c>
      <c r="O234" s="74" t="str">
        <f>графік!P229</f>
        <v/>
      </c>
      <c r="P234" s="230" t="str">
        <f>графік!Q229</f>
        <v/>
      </c>
    </row>
    <row r="235" spans="1:16" x14ac:dyDescent="0.35">
      <c r="A235" s="63">
        <f>графік!A230</f>
        <v>206</v>
      </c>
      <c r="B235" s="68">
        <f ca="1">графік!C230</f>
        <v>50660</v>
      </c>
      <c r="C235" s="65">
        <f ca="1">графік!D230</f>
        <v>31</v>
      </c>
      <c r="D235" s="66">
        <f>графік!E230</f>
        <v>566665.98333334539</v>
      </c>
      <c r="E235" s="67">
        <f ca="1">графік!H230</f>
        <v>22349.289999999997</v>
      </c>
      <c r="F235" s="66">
        <f>графік!F230</f>
        <v>16666.669999999998</v>
      </c>
      <c r="G235" s="67">
        <f ca="1">графік!G230</f>
        <v>5682.62</v>
      </c>
      <c r="H235" s="67" t="str">
        <f>графік!M230</f>
        <v/>
      </c>
      <c r="I235" s="67"/>
      <c r="J235" s="69" t="str">
        <f>графік!N230</f>
        <v/>
      </c>
      <c r="K235" s="67" t="str">
        <f>графік!I230</f>
        <v/>
      </c>
      <c r="L235" s="67" t="str">
        <f>графік!J230</f>
        <v/>
      </c>
      <c r="M235" s="69">
        <f>графік!K230</f>
        <v>0</v>
      </c>
      <c r="N235" s="67" t="str">
        <f>графік!L230</f>
        <v/>
      </c>
      <c r="O235" s="74" t="str">
        <f>графік!P230</f>
        <v/>
      </c>
      <c r="P235" s="230" t="str">
        <f>графік!Q230</f>
        <v/>
      </c>
    </row>
    <row r="236" spans="1:16" x14ac:dyDescent="0.35">
      <c r="A236" s="63">
        <f>графік!A231</f>
        <v>207</v>
      </c>
      <c r="B236" s="68">
        <f ca="1">графік!C231</f>
        <v>50690</v>
      </c>
      <c r="C236" s="65">
        <f ca="1">графік!D231</f>
        <v>30</v>
      </c>
      <c r="D236" s="66">
        <f>графік!E231</f>
        <v>549999.31333334534</v>
      </c>
      <c r="E236" s="67">
        <f ca="1">графік!H231</f>
        <v>22008.859999999997</v>
      </c>
      <c r="F236" s="66">
        <f>графік!F231</f>
        <v>16666.669999999998</v>
      </c>
      <c r="G236" s="67">
        <f ca="1">графік!G231</f>
        <v>5342.19</v>
      </c>
      <c r="H236" s="67" t="str">
        <f>графік!M231</f>
        <v/>
      </c>
      <c r="I236" s="67"/>
      <c r="J236" s="69" t="str">
        <f>графік!N231</f>
        <v/>
      </c>
      <c r="K236" s="67" t="str">
        <f>графік!I231</f>
        <v/>
      </c>
      <c r="L236" s="67" t="str">
        <f>графік!J231</f>
        <v/>
      </c>
      <c r="M236" s="69">
        <f>графік!K231</f>
        <v>0</v>
      </c>
      <c r="N236" s="67" t="str">
        <f>графік!L231</f>
        <v/>
      </c>
      <c r="O236" s="74" t="str">
        <f>графік!P231</f>
        <v/>
      </c>
      <c r="P236" s="230" t="str">
        <f>графік!Q231</f>
        <v/>
      </c>
    </row>
    <row r="237" spans="1:16" x14ac:dyDescent="0.35">
      <c r="A237" s="63">
        <f>графік!A232</f>
        <v>208</v>
      </c>
      <c r="B237" s="68">
        <f ca="1">графік!C232</f>
        <v>50721</v>
      </c>
      <c r="C237" s="65">
        <f ca="1">графік!D232</f>
        <v>31</v>
      </c>
      <c r="D237" s="66">
        <f>графік!E232</f>
        <v>533332.6433333453</v>
      </c>
      <c r="E237" s="67">
        <f ca="1">графік!H232</f>
        <v>22024.57</v>
      </c>
      <c r="F237" s="66">
        <f>графік!F232</f>
        <v>16666.669999999998</v>
      </c>
      <c r="G237" s="67">
        <f ca="1">графік!G232</f>
        <v>5357.9</v>
      </c>
      <c r="H237" s="67" t="str">
        <f>графік!M232</f>
        <v/>
      </c>
      <c r="I237" s="67"/>
      <c r="J237" s="69" t="str">
        <f>графік!N232</f>
        <v/>
      </c>
      <c r="K237" s="67" t="str">
        <f>графік!I232</f>
        <v/>
      </c>
      <c r="L237" s="67" t="str">
        <f>графік!J232</f>
        <v/>
      </c>
      <c r="M237" s="69">
        <f>графік!K232</f>
        <v>0</v>
      </c>
      <c r="N237" s="67" t="str">
        <f>графік!L232</f>
        <v/>
      </c>
      <c r="O237" s="74" t="str">
        <f>графік!P232</f>
        <v/>
      </c>
      <c r="P237" s="230" t="str">
        <f>графік!Q232</f>
        <v/>
      </c>
    </row>
    <row r="238" spans="1:16" x14ac:dyDescent="0.35">
      <c r="A238" s="63">
        <f>графік!A233</f>
        <v>209</v>
      </c>
      <c r="B238" s="68">
        <f ca="1">графік!C233</f>
        <v>50751</v>
      </c>
      <c r="C238" s="65">
        <f ca="1">графік!D233</f>
        <v>30</v>
      </c>
      <c r="D238" s="66">
        <f>графік!E233</f>
        <v>516665.97333334532</v>
      </c>
      <c r="E238" s="67">
        <f ca="1">графік!H233</f>
        <v>21694.609999999997</v>
      </c>
      <c r="F238" s="66">
        <f>графік!F233</f>
        <v>16666.669999999998</v>
      </c>
      <c r="G238" s="67">
        <f ca="1">графік!G233</f>
        <v>5027.9399999999996</v>
      </c>
      <c r="H238" s="67" t="str">
        <f>графік!M233</f>
        <v/>
      </c>
      <c r="I238" s="67"/>
      <c r="J238" s="69" t="str">
        <f>графік!N233</f>
        <v/>
      </c>
      <c r="K238" s="67" t="str">
        <f>графік!I233</f>
        <v/>
      </c>
      <c r="L238" s="67" t="str">
        <f>графік!J233</f>
        <v/>
      </c>
      <c r="M238" s="69">
        <f>графік!K233</f>
        <v>0</v>
      </c>
      <c r="N238" s="67" t="str">
        <f>графік!L233</f>
        <v/>
      </c>
      <c r="O238" s="74" t="str">
        <f>графік!P233</f>
        <v/>
      </c>
      <c r="P238" s="230" t="str">
        <f>графік!Q233</f>
        <v/>
      </c>
    </row>
    <row r="239" spans="1:16" x14ac:dyDescent="0.35">
      <c r="A239" s="63">
        <f>графік!A234</f>
        <v>210</v>
      </c>
      <c r="B239" s="68">
        <f ca="1">графік!C234</f>
        <v>50782</v>
      </c>
      <c r="C239" s="65">
        <f ca="1">графік!D234</f>
        <v>31</v>
      </c>
      <c r="D239" s="66">
        <f>графік!E234</f>
        <v>499999.30333334533</v>
      </c>
      <c r="E239" s="67">
        <f ca="1">графік!H234</f>
        <v>21699.85</v>
      </c>
      <c r="F239" s="66">
        <f>графік!F234</f>
        <v>16666.669999999998</v>
      </c>
      <c r="G239" s="67">
        <f ca="1">графік!G234</f>
        <v>5033.18</v>
      </c>
      <c r="H239" s="67" t="str">
        <f>графік!M234</f>
        <v/>
      </c>
      <c r="I239" s="67"/>
      <c r="J239" s="69" t="str">
        <f>графік!N234</f>
        <v/>
      </c>
      <c r="K239" s="67" t="str">
        <f>графік!I234</f>
        <v/>
      </c>
      <c r="L239" s="67" t="str">
        <f>графік!J234</f>
        <v/>
      </c>
      <c r="M239" s="69">
        <f>графік!K234</f>
        <v>0</v>
      </c>
      <c r="N239" s="67" t="str">
        <f>графік!L234</f>
        <v/>
      </c>
      <c r="O239" s="74" t="str">
        <f>графік!P234</f>
        <v/>
      </c>
      <c r="P239" s="230" t="str">
        <f>графік!Q234</f>
        <v/>
      </c>
    </row>
    <row r="240" spans="1:16" x14ac:dyDescent="0.35">
      <c r="A240" s="63">
        <f>графік!A235</f>
        <v>211</v>
      </c>
      <c r="B240" s="68">
        <f ca="1">графік!C235</f>
        <v>50813</v>
      </c>
      <c r="C240" s="65">
        <f ca="1">графік!D235</f>
        <v>31</v>
      </c>
      <c r="D240" s="66">
        <f>графік!E235</f>
        <v>483332.63333334535</v>
      </c>
      <c r="E240" s="67">
        <f ca="1">графік!H235</f>
        <v>21537.489999999998</v>
      </c>
      <c r="F240" s="66">
        <f>графік!F235</f>
        <v>16666.669999999998</v>
      </c>
      <c r="G240" s="67">
        <f ca="1">графік!G235</f>
        <v>4870.82</v>
      </c>
      <c r="H240" s="67" t="str">
        <f>графік!M235</f>
        <v/>
      </c>
      <c r="I240" s="67"/>
      <c r="J240" s="69" t="str">
        <f>графік!N235</f>
        <v/>
      </c>
      <c r="K240" s="67" t="str">
        <f>графік!I235</f>
        <v/>
      </c>
      <c r="L240" s="67" t="str">
        <f>графік!J235</f>
        <v/>
      </c>
      <c r="M240" s="69">
        <f>графік!K235</f>
        <v>0</v>
      </c>
      <c r="N240" s="67" t="str">
        <f>графік!L235</f>
        <v/>
      </c>
      <c r="O240" s="74" t="str">
        <f>графік!P235</f>
        <v/>
      </c>
      <c r="P240" s="230" t="str">
        <f>графік!Q235</f>
        <v/>
      </c>
    </row>
    <row r="241" spans="1:16" x14ac:dyDescent="0.35">
      <c r="A241" s="63">
        <f>графік!A236</f>
        <v>212</v>
      </c>
      <c r="B241" s="68">
        <f ca="1">графік!C236</f>
        <v>50841</v>
      </c>
      <c r="C241" s="65">
        <f ca="1">графік!D236</f>
        <v>28</v>
      </c>
      <c r="D241" s="66">
        <f>графік!E236</f>
        <v>466665.96333334537</v>
      </c>
      <c r="E241" s="67">
        <f ca="1">графік!H236</f>
        <v>20919.469999999998</v>
      </c>
      <c r="F241" s="66">
        <f>графік!F236</f>
        <v>16666.669999999998</v>
      </c>
      <c r="G241" s="67">
        <f ca="1">графік!G236</f>
        <v>4252.8</v>
      </c>
      <c r="H241" s="67" t="str">
        <f>графік!M236</f>
        <v/>
      </c>
      <c r="I241" s="67"/>
      <c r="J241" s="69" t="str">
        <f>графік!N236</f>
        <v/>
      </c>
      <c r="K241" s="67" t="str">
        <f>графік!I236</f>
        <v/>
      </c>
      <c r="L241" s="67" t="str">
        <f>графік!J236</f>
        <v/>
      </c>
      <c r="M241" s="69">
        <f>графік!K236</f>
        <v>0</v>
      </c>
      <c r="N241" s="67" t="str">
        <f>графік!L236</f>
        <v/>
      </c>
      <c r="O241" s="74" t="str">
        <f>графік!P236</f>
        <v/>
      </c>
      <c r="P241" s="230" t="str">
        <f>графік!Q236</f>
        <v/>
      </c>
    </row>
    <row r="242" spans="1:16" x14ac:dyDescent="0.35">
      <c r="A242" s="63">
        <f>графік!A237</f>
        <v>213</v>
      </c>
      <c r="B242" s="68">
        <f ca="1">графік!C237</f>
        <v>50872</v>
      </c>
      <c r="C242" s="65">
        <f ca="1">графік!D237</f>
        <v>31</v>
      </c>
      <c r="D242" s="66">
        <f>графік!E237</f>
        <v>449999.29333334538</v>
      </c>
      <c r="E242" s="67">
        <f ca="1">графік!H237</f>
        <v>21212.76</v>
      </c>
      <c r="F242" s="66">
        <f>графік!F237</f>
        <v>16666.669999999998</v>
      </c>
      <c r="G242" s="67">
        <f ca="1">графік!G237</f>
        <v>4546.09</v>
      </c>
      <c r="H242" s="67" t="str">
        <f>графік!M237</f>
        <v/>
      </c>
      <c r="I242" s="67"/>
      <c r="J242" s="69" t="str">
        <f>графік!N237</f>
        <v/>
      </c>
      <c r="K242" s="67" t="str">
        <f>графік!I237</f>
        <v/>
      </c>
      <c r="L242" s="67" t="str">
        <f>графік!J237</f>
        <v/>
      </c>
      <c r="M242" s="69">
        <f>графік!K237</f>
        <v>0</v>
      </c>
      <c r="N242" s="67" t="str">
        <f>графік!L237</f>
        <v/>
      </c>
      <c r="O242" s="74" t="str">
        <f>графік!P237</f>
        <v/>
      </c>
      <c r="P242" s="230" t="str">
        <f>графік!Q237</f>
        <v/>
      </c>
    </row>
    <row r="243" spans="1:16" x14ac:dyDescent="0.35">
      <c r="A243" s="63">
        <f>графік!A238</f>
        <v>214</v>
      </c>
      <c r="B243" s="68">
        <f ca="1">графік!C238</f>
        <v>50902</v>
      </c>
      <c r="C243" s="65">
        <f ca="1">графік!D238</f>
        <v>30</v>
      </c>
      <c r="D243" s="66">
        <f>графік!E238</f>
        <v>433332.6233333454</v>
      </c>
      <c r="E243" s="67">
        <f ca="1">графік!H238</f>
        <v>20908.989999999998</v>
      </c>
      <c r="F243" s="66">
        <f>графік!F238</f>
        <v>16666.669999999998</v>
      </c>
      <c r="G243" s="67">
        <f ca="1">графік!G238</f>
        <v>4242.32</v>
      </c>
      <c r="H243" s="67" t="str">
        <f>графік!M238</f>
        <v/>
      </c>
      <c r="I243" s="67"/>
      <c r="J243" s="69" t="str">
        <f>графік!N238</f>
        <v/>
      </c>
      <c r="K243" s="67" t="str">
        <f>графік!I238</f>
        <v/>
      </c>
      <c r="L243" s="67" t="str">
        <f>графік!J238</f>
        <v/>
      </c>
      <c r="M243" s="69">
        <f>графік!K238</f>
        <v>0</v>
      </c>
      <c r="N243" s="67" t="str">
        <f>графік!L238</f>
        <v/>
      </c>
      <c r="O243" s="74" t="str">
        <f>графік!P238</f>
        <v/>
      </c>
      <c r="P243" s="230" t="str">
        <f>графік!Q238</f>
        <v/>
      </c>
    </row>
    <row r="244" spans="1:16" x14ac:dyDescent="0.35">
      <c r="A244" s="63">
        <f>графік!A239</f>
        <v>215</v>
      </c>
      <c r="B244" s="68">
        <f ca="1">графік!C239</f>
        <v>50933</v>
      </c>
      <c r="C244" s="65">
        <f ca="1">графік!D239</f>
        <v>31</v>
      </c>
      <c r="D244" s="66">
        <f>графік!E239</f>
        <v>416665.95333334542</v>
      </c>
      <c r="E244" s="67">
        <f ca="1">графік!H239</f>
        <v>20888.039999999997</v>
      </c>
      <c r="F244" s="66">
        <f>графік!F239</f>
        <v>16666.669999999998</v>
      </c>
      <c r="G244" s="67">
        <f ca="1">графік!G239</f>
        <v>4221.37</v>
      </c>
      <c r="H244" s="67" t="str">
        <f>графік!M239</f>
        <v/>
      </c>
      <c r="I244" s="67"/>
      <c r="J244" s="69" t="str">
        <f>графік!N239</f>
        <v/>
      </c>
      <c r="K244" s="67" t="str">
        <f>графік!I239</f>
        <v/>
      </c>
      <c r="L244" s="67" t="str">
        <f>графік!J239</f>
        <v/>
      </c>
      <c r="M244" s="69">
        <f>графік!K239</f>
        <v>0</v>
      </c>
      <c r="N244" s="67" t="str">
        <f>графік!L239</f>
        <v/>
      </c>
      <c r="O244" s="74" t="str">
        <f>графік!P239</f>
        <v/>
      </c>
      <c r="P244" s="230" t="str">
        <f>графік!Q239</f>
        <v/>
      </c>
    </row>
    <row r="245" spans="1:16" x14ac:dyDescent="0.35">
      <c r="A245" s="63">
        <f>графік!A240</f>
        <v>216</v>
      </c>
      <c r="B245" s="68">
        <f ca="1">графік!C240</f>
        <v>50963</v>
      </c>
      <c r="C245" s="65">
        <f ca="1">графік!D240</f>
        <v>30</v>
      </c>
      <c r="D245" s="66">
        <f>графік!E240</f>
        <v>399999.28333334543</v>
      </c>
      <c r="E245" s="67">
        <f ca="1">графік!H240</f>
        <v>20594.75</v>
      </c>
      <c r="F245" s="66">
        <f>графік!F240</f>
        <v>16666.669999999998</v>
      </c>
      <c r="G245" s="67">
        <f ca="1">графік!G240</f>
        <v>3928.08</v>
      </c>
      <c r="H245" s="67" t="str">
        <f>графік!M240</f>
        <v/>
      </c>
      <c r="I245" s="67"/>
      <c r="J245" s="69" t="str">
        <f>графік!N240</f>
        <v/>
      </c>
      <c r="K245" s="67" t="str">
        <f>графік!I240</f>
        <v/>
      </c>
      <c r="L245" s="67" t="str">
        <f>графік!J240</f>
        <v/>
      </c>
      <c r="M245" s="69">
        <f>графік!K240</f>
        <v>0</v>
      </c>
      <c r="N245" s="67" t="str">
        <f>графік!L240</f>
        <v/>
      </c>
      <c r="O245" s="74" t="str">
        <f>графік!P240</f>
        <v/>
      </c>
      <c r="P245" s="230" t="str">
        <f>графік!Q240</f>
        <v/>
      </c>
    </row>
    <row r="246" spans="1:16" x14ac:dyDescent="0.35">
      <c r="A246" s="63">
        <f>графік!A241</f>
        <v>217</v>
      </c>
      <c r="B246" s="68">
        <f ca="1">графік!C241</f>
        <v>50994</v>
      </c>
      <c r="C246" s="65">
        <f ca="1">графік!D241</f>
        <v>31</v>
      </c>
      <c r="D246" s="66">
        <f>графік!E241</f>
        <v>383332.61333334545</v>
      </c>
      <c r="E246" s="67">
        <f ca="1">графік!H241</f>
        <v>20563.32</v>
      </c>
      <c r="F246" s="66">
        <f>графік!F241</f>
        <v>16666.669999999998</v>
      </c>
      <c r="G246" s="67">
        <f ca="1">графік!G241</f>
        <v>3896.65</v>
      </c>
      <c r="H246" s="67" t="str">
        <f>графік!M241</f>
        <v/>
      </c>
      <c r="I246" s="67"/>
      <c r="J246" s="69" t="str">
        <f>графік!N241</f>
        <v/>
      </c>
      <c r="K246" s="67" t="str">
        <f>графік!I241</f>
        <v/>
      </c>
      <c r="L246" s="67" t="str">
        <f>графік!J241</f>
        <v/>
      </c>
      <c r="M246" s="67">
        <f>графік!K241</f>
        <v>17100</v>
      </c>
      <c r="N246" s="67" t="str">
        <f>графік!L241</f>
        <v/>
      </c>
      <c r="O246" s="74" t="str">
        <f>графік!P241</f>
        <v/>
      </c>
      <c r="P246" s="230" t="str">
        <f>графік!Q241</f>
        <v/>
      </c>
    </row>
    <row r="247" spans="1:16" x14ac:dyDescent="0.35">
      <c r="A247" s="63">
        <f>графік!A242</f>
        <v>218</v>
      </c>
      <c r="B247" s="68">
        <f ca="1">графік!C242</f>
        <v>51025</v>
      </c>
      <c r="C247" s="65">
        <f ca="1">графік!D242</f>
        <v>31</v>
      </c>
      <c r="D247" s="66">
        <f>графік!E242</f>
        <v>366665.94333334547</v>
      </c>
      <c r="E247" s="67">
        <f ca="1">графік!H242</f>
        <v>20400.96</v>
      </c>
      <c r="F247" s="66">
        <f>графік!F242</f>
        <v>16666.669999999998</v>
      </c>
      <c r="G247" s="67">
        <f ca="1">графік!G242</f>
        <v>3734.29</v>
      </c>
      <c r="H247" s="67" t="str">
        <f>графік!M242</f>
        <v/>
      </c>
      <c r="I247" s="67"/>
      <c r="J247" s="69" t="str">
        <f>графік!N242</f>
        <v/>
      </c>
      <c r="K247" s="67" t="str">
        <f>графік!I242</f>
        <v/>
      </c>
      <c r="L247" s="67" t="str">
        <f>графік!J242</f>
        <v/>
      </c>
      <c r="M247" s="69">
        <f>графік!K242</f>
        <v>0</v>
      </c>
      <c r="N247" s="67" t="str">
        <f>графік!L242</f>
        <v/>
      </c>
      <c r="O247" s="74" t="str">
        <f>графік!P242</f>
        <v/>
      </c>
      <c r="P247" s="230" t="str">
        <f>графік!Q242</f>
        <v/>
      </c>
    </row>
    <row r="248" spans="1:16" x14ac:dyDescent="0.35">
      <c r="A248" s="63">
        <f>графік!A243</f>
        <v>219</v>
      </c>
      <c r="B248" s="68">
        <f ca="1">графік!C243</f>
        <v>51055</v>
      </c>
      <c r="C248" s="65">
        <f ca="1">графік!D243</f>
        <v>30</v>
      </c>
      <c r="D248" s="66">
        <f>графік!E243</f>
        <v>349999.27333334548</v>
      </c>
      <c r="E248" s="67">
        <f ca="1">графік!H243</f>
        <v>20123.379999999997</v>
      </c>
      <c r="F248" s="66">
        <f>графік!F243</f>
        <v>16666.669999999998</v>
      </c>
      <c r="G248" s="67">
        <f ca="1">графік!G243</f>
        <v>3456.71</v>
      </c>
      <c r="H248" s="67" t="str">
        <f>графік!M243</f>
        <v/>
      </c>
      <c r="I248" s="67"/>
      <c r="J248" s="69" t="str">
        <f>графік!N243</f>
        <v/>
      </c>
      <c r="K248" s="67" t="str">
        <f>графік!I243</f>
        <v/>
      </c>
      <c r="L248" s="67" t="str">
        <f>графік!J243</f>
        <v/>
      </c>
      <c r="M248" s="69">
        <f>графік!K243</f>
        <v>0</v>
      </c>
      <c r="N248" s="67" t="str">
        <f>графік!L243</f>
        <v/>
      </c>
      <c r="O248" s="74" t="str">
        <f>графік!P243</f>
        <v/>
      </c>
      <c r="P248" s="230" t="str">
        <f>графік!Q243</f>
        <v/>
      </c>
    </row>
    <row r="249" spans="1:16" x14ac:dyDescent="0.35">
      <c r="A249" s="63">
        <f>графік!A244</f>
        <v>220</v>
      </c>
      <c r="B249" s="68">
        <f ca="1">графік!C244</f>
        <v>51086</v>
      </c>
      <c r="C249" s="65">
        <f ca="1">графік!D244</f>
        <v>31</v>
      </c>
      <c r="D249" s="66">
        <f>графік!E244</f>
        <v>333332.6033333455</v>
      </c>
      <c r="E249" s="67">
        <f ca="1">графік!H244</f>
        <v>20076.239999999998</v>
      </c>
      <c r="F249" s="66">
        <f>графік!F244</f>
        <v>16666.669999999998</v>
      </c>
      <c r="G249" s="67">
        <f ca="1">графік!G244</f>
        <v>3409.57</v>
      </c>
      <c r="H249" s="67" t="str">
        <f>графік!M244</f>
        <v/>
      </c>
      <c r="I249" s="67"/>
      <c r="J249" s="69" t="str">
        <f>графік!N244</f>
        <v/>
      </c>
      <c r="K249" s="67" t="str">
        <f>графік!I244</f>
        <v/>
      </c>
      <c r="L249" s="67" t="str">
        <f>графік!J244</f>
        <v/>
      </c>
      <c r="M249" s="69">
        <f>графік!K244</f>
        <v>0</v>
      </c>
      <c r="N249" s="67" t="str">
        <f>графік!L244</f>
        <v/>
      </c>
      <c r="O249" s="74" t="str">
        <f>графік!P244</f>
        <v/>
      </c>
      <c r="P249" s="230" t="str">
        <f>графік!Q244</f>
        <v/>
      </c>
    </row>
    <row r="250" spans="1:16" x14ac:dyDescent="0.35">
      <c r="A250" s="63">
        <f>графік!A245</f>
        <v>221</v>
      </c>
      <c r="B250" s="68">
        <f ca="1">графік!C245</f>
        <v>51116</v>
      </c>
      <c r="C250" s="65">
        <f ca="1">графік!D245</f>
        <v>30</v>
      </c>
      <c r="D250" s="66">
        <f>графік!E245</f>
        <v>316665.93333334551</v>
      </c>
      <c r="E250" s="67">
        <f ca="1">графік!H245</f>
        <v>19809.129999999997</v>
      </c>
      <c r="F250" s="66">
        <f>графік!F245</f>
        <v>16666.669999999998</v>
      </c>
      <c r="G250" s="67">
        <f ca="1">графік!G245</f>
        <v>3142.46</v>
      </c>
      <c r="H250" s="67" t="str">
        <f>графік!M245</f>
        <v/>
      </c>
      <c r="I250" s="67"/>
      <c r="J250" s="69" t="str">
        <f>графік!N245</f>
        <v/>
      </c>
      <c r="K250" s="67" t="str">
        <f>графік!I245</f>
        <v/>
      </c>
      <c r="L250" s="67" t="str">
        <f>графік!J245</f>
        <v/>
      </c>
      <c r="M250" s="69">
        <f>графік!K245</f>
        <v>0</v>
      </c>
      <c r="N250" s="67" t="str">
        <f>графік!L245</f>
        <v/>
      </c>
      <c r="O250" s="74" t="str">
        <f>графік!P245</f>
        <v/>
      </c>
      <c r="P250" s="230" t="str">
        <f>графік!Q245</f>
        <v/>
      </c>
    </row>
    <row r="251" spans="1:16" x14ac:dyDescent="0.35">
      <c r="A251" s="63">
        <f>графік!A246</f>
        <v>222</v>
      </c>
      <c r="B251" s="68">
        <f ca="1">графік!C246</f>
        <v>51147</v>
      </c>
      <c r="C251" s="65">
        <f ca="1">графік!D246</f>
        <v>31</v>
      </c>
      <c r="D251" s="66">
        <f>графік!E246</f>
        <v>299999.26333334553</v>
      </c>
      <c r="E251" s="67">
        <f ca="1">графік!H246</f>
        <v>19748.53</v>
      </c>
      <c r="F251" s="66">
        <f>графік!F246</f>
        <v>16666.669999999998</v>
      </c>
      <c r="G251" s="67">
        <f ca="1">графік!G246</f>
        <v>3081.86</v>
      </c>
      <c r="H251" s="67" t="str">
        <f>графік!M246</f>
        <v/>
      </c>
      <c r="I251" s="67"/>
      <c r="J251" s="69" t="str">
        <f>графік!N246</f>
        <v/>
      </c>
      <c r="K251" s="67" t="str">
        <f>графік!I246</f>
        <v/>
      </c>
      <c r="L251" s="67" t="str">
        <f>графік!J246</f>
        <v/>
      </c>
      <c r="M251" s="69">
        <f>графік!K246</f>
        <v>0</v>
      </c>
      <c r="N251" s="67" t="str">
        <f>графік!L246</f>
        <v/>
      </c>
      <c r="O251" s="74" t="str">
        <f>графік!P246</f>
        <v/>
      </c>
      <c r="P251" s="230" t="str">
        <f>графік!Q246</f>
        <v/>
      </c>
    </row>
    <row r="252" spans="1:16" x14ac:dyDescent="0.35">
      <c r="A252" s="63">
        <f>графік!A247</f>
        <v>223</v>
      </c>
      <c r="B252" s="68">
        <f ca="1">графік!C247</f>
        <v>51178</v>
      </c>
      <c r="C252" s="65">
        <f ca="1">графік!D247</f>
        <v>31</v>
      </c>
      <c r="D252" s="66">
        <f>графік!E247</f>
        <v>283332.59333334555</v>
      </c>
      <c r="E252" s="67">
        <f ca="1">графік!H247</f>
        <v>19581.169999999998</v>
      </c>
      <c r="F252" s="66">
        <f>графік!F247</f>
        <v>16666.669999999998</v>
      </c>
      <c r="G252" s="67">
        <f ca="1">графік!G247</f>
        <v>2914.5</v>
      </c>
      <c r="H252" s="67" t="str">
        <f>графік!M247</f>
        <v/>
      </c>
      <c r="I252" s="67"/>
      <c r="J252" s="69" t="str">
        <f>графік!N247</f>
        <v/>
      </c>
      <c r="K252" s="67" t="str">
        <f>графік!I247</f>
        <v/>
      </c>
      <c r="L252" s="67" t="str">
        <f>графік!J247</f>
        <v/>
      </c>
      <c r="M252" s="69">
        <f>графік!K247</f>
        <v>0</v>
      </c>
      <c r="N252" s="67" t="str">
        <f>графік!L247</f>
        <v/>
      </c>
      <c r="O252" s="74" t="str">
        <f>графік!P247</f>
        <v/>
      </c>
      <c r="P252" s="230" t="str">
        <f>графік!Q247</f>
        <v/>
      </c>
    </row>
    <row r="253" spans="1:16" x14ac:dyDescent="0.35">
      <c r="A253" s="63">
        <f>графік!A248</f>
        <v>224</v>
      </c>
      <c r="B253" s="68">
        <f ca="1">графік!C248</f>
        <v>51207</v>
      </c>
      <c r="C253" s="65">
        <f ca="1">графік!D248</f>
        <v>29</v>
      </c>
      <c r="D253" s="66">
        <f>графік!E248</f>
        <v>266665.92333334556</v>
      </c>
      <c r="E253" s="67">
        <f ca="1">графік!H248</f>
        <v>19241.669999999998</v>
      </c>
      <c r="F253" s="66">
        <f>графік!F248</f>
        <v>16666.669999999998</v>
      </c>
      <c r="G253" s="67">
        <f ca="1">графік!G248</f>
        <v>2575</v>
      </c>
      <c r="H253" s="67" t="str">
        <f>графік!M248</f>
        <v/>
      </c>
      <c r="I253" s="67"/>
      <c r="J253" s="69" t="str">
        <f>графік!N248</f>
        <v/>
      </c>
      <c r="K253" s="67" t="str">
        <f>графік!I248</f>
        <v/>
      </c>
      <c r="L253" s="67" t="str">
        <f>графік!J248</f>
        <v/>
      </c>
      <c r="M253" s="69">
        <f>графік!K248</f>
        <v>0</v>
      </c>
      <c r="N253" s="67" t="str">
        <f>графік!L248</f>
        <v/>
      </c>
      <c r="O253" s="74" t="str">
        <f>графік!P248</f>
        <v/>
      </c>
      <c r="P253" s="230" t="str">
        <f>графік!Q248</f>
        <v/>
      </c>
    </row>
    <row r="254" spans="1:16" x14ac:dyDescent="0.35">
      <c r="A254" s="63">
        <f>графік!A249</f>
        <v>225</v>
      </c>
      <c r="B254" s="68">
        <f ca="1">графік!C249</f>
        <v>51238</v>
      </c>
      <c r="C254" s="65">
        <f ca="1">графік!D249</f>
        <v>31</v>
      </c>
      <c r="D254" s="66">
        <f>графік!E249</f>
        <v>249999.25333334558</v>
      </c>
      <c r="E254" s="67">
        <f ca="1">графік!H249</f>
        <v>19257.339999999997</v>
      </c>
      <c r="F254" s="66">
        <f>графік!F249</f>
        <v>16666.669999999998</v>
      </c>
      <c r="G254" s="67">
        <f ca="1">графік!G249</f>
        <v>2590.67</v>
      </c>
      <c r="H254" s="67" t="str">
        <f>графік!M249</f>
        <v/>
      </c>
      <c r="I254" s="67"/>
      <c r="J254" s="69" t="str">
        <f>графік!N249</f>
        <v/>
      </c>
      <c r="K254" s="67" t="str">
        <f>графік!I249</f>
        <v/>
      </c>
      <c r="L254" s="67" t="str">
        <f>графік!J249</f>
        <v/>
      </c>
      <c r="M254" s="69">
        <f>графік!K249</f>
        <v>0</v>
      </c>
      <c r="N254" s="67" t="str">
        <f>графік!L249</f>
        <v/>
      </c>
      <c r="O254" s="74" t="str">
        <f>графік!P249</f>
        <v/>
      </c>
      <c r="P254" s="230" t="str">
        <f>графік!Q249</f>
        <v/>
      </c>
    </row>
    <row r="255" spans="1:16" x14ac:dyDescent="0.35">
      <c r="A255" s="63">
        <f>графік!A250</f>
        <v>226</v>
      </c>
      <c r="B255" s="68">
        <f ca="1">графік!C250</f>
        <v>51268</v>
      </c>
      <c r="C255" s="65">
        <f ca="1">графік!D250</f>
        <v>30</v>
      </c>
      <c r="D255" s="66">
        <f>графік!E250</f>
        <v>233332.5833333456</v>
      </c>
      <c r="E255" s="67">
        <f ca="1">графік!H250</f>
        <v>19017.07</v>
      </c>
      <c r="F255" s="66">
        <f>графік!F250</f>
        <v>16666.669999999998</v>
      </c>
      <c r="G255" s="67">
        <f ca="1">графік!G250</f>
        <v>2350.4</v>
      </c>
      <c r="H255" s="67" t="str">
        <f>графік!M250</f>
        <v/>
      </c>
      <c r="I255" s="67"/>
      <c r="J255" s="69" t="str">
        <f>графік!N250</f>
        <v/>
      </c>
      <c r="K255" s="67" t="str">
        <f>графік!I250</f>
        <v/>
      </c>
      <c r="L255" s="67" t="str">
        <f>графік!J250</f>
        <v/>
      </c>
      <c r="M255" s="69">
        <f>графік!K250</f>
        <v>0</v>
      </c>
      <c r="N255" s="67" t="str">
        <f>графік!L250</f>
        <v/>
      </c>
      <c r="O255" s="74" t="str">
        <f>графік!P250</f>
        <v/>
      </c>
      <c r="P255" s="230" t="str">
        <f>графік!Q250</f>
        <v/>
      </c>
    </row>
    <row r="256" spans="1:16" x14ac:dyDescent="0.35">
      <c r="A256" s="63">
        <f>графік!A251</f>
        <v>227</v>
      </c>
      <c r="B256" s="68">
        <f ca="1">графік!C251</f>
        <v>51299</v>
      </c>
      <c r="C256" s="65">
        <f ca="1">графік!D251</f>
        <v>31</v>
      </c>
      <c r="D256" s="66">
        <f>графік!E251</f>
        <v>216665.91333334561</v>
      </c>
      <c r="E256" s="67">
        <f ca="1">графік!H251</f>
        <v>18933.5</v>
      </c>
      <c r="F256" s="66">
        <f>графік!F251</f>
        <v>16666.669999999998</v>
      </c>
      <c r="G256" s="67">
        <f ca="1">графік!G251</f>
        <v>2266.83</v>
      </c>
      <c r="H256" s="67" t="str">
        <f>графік!M251</f>
        <v/>
      </c>
      <c r="I256" s="67"/>
      <c r="J256" s="69" t="str">
        <f>графік!N251</f>
        <v/>
      </c>
      <c r="K256" s="67" t="str">
        <f>графік!I251</f>
        <v/>
      </c>
      <c r="L256" s="67" t="str">
        <f>графік!J251</f>
        <v/>
      </c>
      <c r="M256" s="69">
        <f>графік!K251</f>
        <v>0</v>
      </c>
      <c r="N256" s="67" t="str">
        <f>графік!L251</f>
        <v/>
      </c>
      <c r="O256" s="74" t="str">
        <f>графік!P251</f>
        <v/>
      </c>
      <c r="P256" s="230" t="str">
        <f>графік!Q251</f>
        <v/>
      </c>
    </row>
    <row r="257" spans="1:16" x14ac:dyDescent="0.35">
      <c r="A257" s="63">
        <f>графік!A252</f>
        <v>228</v>
      </c>
      <c r="B257" s="68">
        <f ca="1">графік!C252</f>
        <v>51329</v>
      </c>
      <c r="C257" s="65">
        <f ca="1">графік!D252</f>
        <v>30</v>
      </c>
      <c r="D257" s="66">
        <f>графік!E252</f>
        <v>199999.24333334563</v>
      </c>
      <c r="E257" s="67">
        <f ca="1">графік!H252</f>
        <v>18703.679999999997</v>
      </c>
      <c r="F257" s="66">
        <f>графік!F252</f>
        <v>16666.669999999998</v>
      </c>
      <c r="G257" s="67">
        <f ca="1">графік!G252</f>
        <v>2037.01</v>
      </c>
      <c r="H257" s="67" t="str">
        <f>графік!M252</f>
        <v/>
      </c>
      <c r="I257" s="67"/>
      <c r="J257" s="69" t="str">
        <f>графік!N252</f>
        <v/>
      </c>
      <c r="K257" s="67" t="str">
        <f>графік!I252</f>
        <v/>
      </c>
      <c r="L257" s="67" t="str">
        <f>графік!J252</f>
        <v/>
      </c>
      <c r="M257" s="69">
        <f>графік!K252</f>
        <v>0</v>
      </c>
      <c r="N257" s="67" t="str">
        <f>графік!L252</f>
        <v/>
      </c>
      <c r="O257" s="74" t="str">
        <f>графік!P252</f>
        <v/>
      </c>
      <c r="P257" s="230" t="str">
        <f>графік!Q252</f>
        <v/>
      </c>
    </row>
    <row r="258" spans="1:16" x14ac:dyDescent="0.35">
      <c r="A258" s="63">
        <f>графік!A253</f>
        <v>229</v>
      </c>
      <c r="B258" s="68">
        <f ca="1">графік!C253</f>
        <v>51360</v>
      </c>
      <c r="C258" s="65">
        <f ca="1">графік!D253</f>
        <v>31</v>
      </c>
      <c r="D258" s="66">
        <f>графік!E253</f>
        <v>183332.57333334564</v>
      </c>
      <c r="E258" s="67">
        <f ca="1">графік!H253</f>
        <v>18609.669999999998</v>
      </c>
      <c r="F258" s="66">
        <f>графік!F253</f>
        <v>16666.669999999998</v>
      </c>
      <c r="G258" s="67">
        <f ca="1">графік!G253</f>
        <v>1943</v>
      </c>
      <c r="H258" s="67" t="str">
        <f>графік!M253</f>
        <v/>
      </c>
      <c r="I258" s="67"/>
      <c r="J258" s="69" t="str">
        <f>графік!N253</f>
        <v/>
      </c>
      <c r="K258" s="67" t="str">
        <f>графік!I253</f>
        <v/>
      </c>
      <c r="L258" s="67" t="str">
        <f>графік!J253</f>
        <v/>
      </c>
      <c r="M258" s="67">
        <f>графік!K253</f>
        <v>17100</v>
      </c>
      <c r="N258" s="67" t="str">
        <f>графік!L253</f>
        <v/>
      </c>
      <c r="O258" s="74" t="str">
        <f>графік!P253</f>
        <v/>
      </c>
      <c r="P258" s="230" t="str">
        <f>графік!Q253</f>
        <v/>
      </c>
    </row>
    <row r="259" spans="1:16" x14ac:dyDescent="0.35">
      <c r="A259" s="63">
        <f>графік!A254</f>
        <v>230</v>
      </c>
      <c r="B259" s="68">
        <f ca="1">графік!C254</f>
        <v>51391</v>
      </c>
      <c r="C259" s="65">
        <f ca="1">графік!D254</f>
        <v>31</v>
      </c>
      <c r="D259" s="66">
        <f>графік!E254</f>
        <v>166665.90333334566</v>
      </c>
      <c r="E259" s="67">
        <f ca="1">графік!H254</f>
        <v>18447.75</v>
      </c>
      <c r="F259" s="66">
        <f>графік!F254</f>
        <v>16666.669999999998</v>
      </c>
      <c r="G259" s="67">
        <f ca="1">графік!G254</f>
        <v>1781.08</v>
      </c>
      <c r="H259" s="67" t="str">
        <f>графік!M254</f>
        <v/>
      </c>
      <c r="I259" s="67"/>
      <c r="J259" s="69" t="str">
        <f>графік!N254</f>
        <v/>
      </c>
      <c r="K259" s="67" t="str">
        <f>графік!I254</f>
        <v/>
      </c>
      <c r="L259" s="67" t="str">
        <f>графік!J254</f>
        <v/>
      </c>
      <c r="M259" s="67" t="str">
        <f>графік!K254</f>
        <v/>
      </c>
      <c r="N259" s="67" t="str">
        <f>графік!L254</f>
        <v/>
      </c>
      <c r="O259" s="74" t="str">
        <f>графік!P254</f>
        <v/>
      </c>
      <c r="P259" s="230" t="str">
        <f>графік!Q254</f>
        <v/>
      </c>
    </row>
    <row r="260" spans="1:16" x14ac:dyDescent="0.35">
      <c r="A260" s="63">
        <f>графік!A255</f>
        <v>231</v>
      </c>
      <c r="B260" s="68">
        <f ca="1">графік!C255</f>
        <v>51421</v>
      </c>
      <c r="C260" s="65">
        <f ca="1">графік!D255</f>
        <v>30</v>
      </c>
      <c r="D260" s="66">
        <f>графік!E255</f>
        <v>149999.23333334568</v>
      </c>
      <c r="E260" s="67">
        <f ca="1">графік!H255</f>
        <v>18233.599999999999</v>
      </c>
      <c r="F260" s="66">
        <f>графік!F255</f>
        <v>16666.669999999998</v>
      </c>
      <c r="G260" s="67">
        <f ca="1">графік!G255</f>
        <v>1566.93</v>
      </c>
      <c r="H260" s="67" t="str">
        <f>графік!M255</f>
        <v/>
      </c>
      <c r="I260" s="67"/>
      <c r="J260" s="69" t="str">
        <f>графік!N255</f>
        <v/>
      </c>
      <c r="K260" s="67" t="str">
        <f>графік!I255</f>
        <v/>
      </c>
      <c r="L260" s="67" t="str">
        <f>графік!J255</f>
        <v/>
      </c>
      <c r="M260" s="67" t="str">
        <f>графік!K255</f>
        <v/>
      </c>
      <c r="N260" s="67" t="str">
        <f>графік!L255</f>
        <v/>
      </c>
      <c r="O260" s="74" t="str">
        <f>графік!P255</f>
        <v/>
      </c>
      <c r="P260" s="230" t="str">
        <f>графік!Q255</f>
        <v/>
      </c>
    </row>
    <row r="261" spans="1:16" x14ac:dyDescent="0.35">
      <c r="A261" s="63">
        <f>графік!A256</f>
        <v>232</v>
      </c>
      <c r="B261" s="68">
        <f ca="1">графік!C256</f>
        <v>51452</v>
      </c>
      <c r="C261" s="65">
        <f ca="1">графік!D256</f>
        <v>31</v>
      </c>
      <c r="D261" s="66">
        <f>графік!E256</f>
        <v>133332.56333334569</v>
      </c>
      <c r="E261" s="67">
        <f ca="1">графік!H256</f>
        <v>18123.919999999998</v>
      </c>
      <c r="F261" s="66">
        <f>графік!F256</f>
        <v>16666.669999999998</v>
      </c>
      <c r="G261" s="67">
        <f ca="1">графік!G256</f>
        <v>1457.25</v>
      </c>
      <c r="H261" s="67" t="str">
        <f>графік!M256</f>
        <v/>
      </c>
      <c r="I261" s="67"/>
      <c r="J261" s="69" t="str">
        <f>графік!N256</f>
        <v/>
      </c>
      <c r="K261" s="67" t="str">
        <f>графік!I256</f>
        <v/>
      </c>
      <c r="L261" s="67" t="str">
        <f>графік!J256</f>
        <v/>
      </c>
      <c r="M261" s="67" t="str">
        <f>графік!K256</f>
        <v/>
      </c>
      <c r="N261" s="67" t="str">
        <f>графік!L256</f>
        <v/>
      </c>
      <c r="O261" s="74" t="str">
        <f>графік!P256</f>
        <v/>
      </c>
      <c r="P261" s="230" t="str">
        <f>графік!Q256</f>
        <v/>
      </c>
    </row>
    <row r="262" spans="1:16" x14ac:dyDescent="0.35">
      <c r="A262" s="63">
        <f>графік!A257</f>
        <v>233</v>
      </c>
      <c r="B262" s="68">
        <f ca="1">графік!C257</f>
        <v>51482</v>
      </c>
      <c r="C262" s="65">
        <f ca="1">графік!D257</f>
        <v>30</v>
      </c>
      <c r="D262" s="66">
        <f>графік!E257</f>
        <v>116665.8933333457</v>
      </c>
      <c r="E262" s="67">
        <f ca="1">графік!H257</f>
        <v>17920.21</v>
      </c>
      <c r="F262" s="66">
        <f>графік!F257</f>
        <v>16666.669999999998</v>
      </c>
      <c r="G262" s="67">
        <f ca="1">графік!G257</f>
        <v>1253.54</v>
      </c>
      <c r="H262" s="67" t="str">
        <f>графік!M257</f>
        <v/>
      </c>
      <c r="I262" s="67"/>
      <c r="J262" s="69" t="str">
        <f>графік!N257</f>
        <v/>
      </c>
      <c r="K262" s="67" t="str">
        <f>графік!I257</f>
        <v/>
      </c>
      <c r="L262" s="67" t="str">
        <f>графік!J257</f>
        <v/>
      </c>
      <c r="M262" s="67" t="str">
        <f>графік!K257</f>
        <v/>
      </c>
      <c r="N262" s="67" t="str">
        <f>графік!L257</f>
        <v/>
      </c>
      <c r="O262" s="74" t="str">
        <f>графік!P257</f>
        <v/>
      </c>
      <c r="P262" s="230" t="str">
        <f>графік!Q257</f>
        <v/>
      </c>
    </row>
    <row r="263" spans="1:16" x14ac:dyDescent="0.35">
      <c r="A263" s="63">
        <f>графік!A258</f>
        <v>234</v>
      </c>
      <c r="B263" s="68">
        <f ca="1">графік!C258</f>
        <v>51513</v>
      </c>
      <c r="C263" s="65">
        <f ca="1">графік!D258</f>
        <v>31</v>
      </c>
      <c r="D263" s="66">
        <f>графік!E258</f>
        <v>99999.223333345697</v>
      </c>
      <c r="E263" s="67">
        <f ca="1">графік!H258</f>
        <v>17801.179999999997</v>
      </c>
      <c r="F263" s="66">
        <f>графік!F258</f>
        <v>16666.669999999998</v>
      </c>
      <c r="G263" s="67">
        <f ca="1">графік!G258</f>
        <v>1134.51</v>
      </c>
      <c r="H263" s="67" t="str">
        <f>графік!M258</f>
        <v/>
      </c>
      <c r="I263" s="67"/>
      <c r="J263" s="69" t="str">
        <f>графік!N258</f>
        <v/>
      </c>
      <c r="K263" s="67" t="str">
        <f>графік!I258</f>
        <v/>
      </c>
      <c r="L263" s="67" t="str">
        <f>графік!J258</f>
        <v/>
      </c>
      <c r="M263" s="67" t="str">
        <f>графік!K258</f>
        <v/>
      </c>
      <c r="N263" s="67" t="str">
        <f>графік!L258</f>
        <v/>
      </c>
      <c r="O263" s="74" t="str">
        <f>графік!P258</f>
        <v/>
      </c>
      <c r="P263" s="230" t="str">
        <f>графік!Q258</f>
        <v/>
      </c>
    </row>
    <row r="264" spans="1:16" x14ac:dyDescent="0.35">
      <c r="A264" s="63">
        <f>графік!A259</f>
        <v>235</v>
      </c>
      <c r="B264" s="68">
        <f ca="1">графік!C259</f>
        <v>51544</v>
      </c>
      <c r="C264" s="65">
        <f ca="1">графік!D259</f>
        <v>31</v>
      </c>
      <c r="D264" s="66">
        <f>графік!E259</f>
        <v>83332.553333345699</v>
      </c>
      <c r="E264" s="67">
        <f ca="1">графік!H259</f>
        <v>17640.829999999998</v>
      </c>
      <c r="F264" s="66">
        <f>графік!F259</f>
        <v>16666.669999999998</v>
      </c>
      <c r="G264" s="67">
        <f ca="1">графік!G259</f>
        <v>974.16</v>
      </c>
      <c r="H264" s="67" t="str">
        <f>графік!M259</f>
        <v/>
      </c>
      <c r="I264" s="67"/>
      <c r="J264" s="69" t="str">
        <f>графік!N259</f>
        <v/>
      </c>
      <c r="K264" s="67" t="str">
        <f>графік!I259</f>
        <v/>
      </c>
      <c r="L264" s="67" t="str">
        <f>графік!J259</f>
        <v/>
      </c>
      <c r="M264" s="67" t="str">
        <f>графік!K259</f>
        <v/>
      </c>
      <c r="N264" s="67" t="str">
        <f>графік!L259</f>
        <v/>
      </c>
      <c r="O264" s="74" t="str">
        <f>графік!P259</f>
        <v/>
      </c>
      <c r="P264" s="230" t="str">
        <f>графік!Q259</f>
        <v/>
      </c>
    </row>
    <row r="265" spans="1:16" x14ac:dyDescent="0.35">
      <c r="A265" s="63">
        <f>графік!A260</f>
        <v>236</v>
      </c>
      <c r="B265" s="68">
        <f ca="1">графік!C260</f>
        <v>51572</v>
      </c>
      <c r="C265" s="65">
        <f ca="1">графік!D260</f>
        <v>28</v>
      </c>
      <c r="D265" s="66">
        <f>графік!E260</f>
        <v>66665.883333345701</v>
      </c>
      <c r="E265" s="67">
        <f ca="1">графік!H260</f>
        <v>17399.91</v>
      </c>
      <c r="F265" s="66">
        <f>графік!F260</f>
        <v>16666.669999999998</v>
      </c>
      <c r="G265" s="67">
        <f ca="1">графік!G260</f>
        <v>733.24</v>
      </c>
      <c r="H265" s="67" t="str">
        <f>графік!M260</f>
        <v/>
      </c>
      <c r="I265" s="67"/>
      <c r="J265" s="69" t="str">
        <f>графік!N260</f>
        <v/>
      </c>
      <c r="K265" s="67" t="str">
        <f>графік!I260</f>
        <v/>
      </c>
      <c r="L265" s="67" t="str">
        <f>графік!J260</f>
        <v/>
      </c>
      <c r="M265" s="67" t="str">
        <f>графік!K260</f>
        <v/>
      </c>
      <c r="N265" s="67" t="str">
        <f>графік!L260</f>
        <v/>
      </c>
      <c r="O265" s="74" t="str">
        <f>графік!P260</f>
        <v/>
      </c>
      <c r="P265" s="230" t="str">
        <f>графік!Q260</f>
        <v/>
      </c>
    </row>
    <row r="266" spans="1:16" x14ac:dyDescent="0.35">
      <c r="A266" s="63">
        <f>графік!A261</f>
        <v>237</v>
      </c>
      <c r="B266" s="68">
        <f ca="1">графік!C261</f>
        <v>51603</v>
      </c>
      <c r="C266" s="65">
        <f ca="1">графік!D261</f>
        <v>31</v>
      </c>
      <c r="D266" s="66">
        <f>графік!E261</f>
        <v>49999.213333345702</v>
      </c>
      <c r="E266" s="67">
        <f ca="1">графік!H261</f>
        <v>17316.109999999997</v>
      </c>
      <c r="F266" s="66">
        <f>графік!F261</f>
        <v>16666.669999999998</v>
      </c>
      <c r="G266" s="67">
        <f ca="1">графік!G261</f>
        <v>649.44000000000005</v>
      </c>
      <c r="H266" s="67" t="str">
        <f>графік!M261</f>
        <v/>
      </c>
      <c r="I266" s="67"/>
      <c r="J266" s="69" t="str">
        <f>графік!N261</f>
        <v/>
      </c>
      <c r="K266" s="67" t="str">
        <f>графік!I261</f>
        <v/>
      </c>
      <c r="L266" s="67" t="str">
        <f>графік!J261</f>
        <v/>
      </c>
      <c r="M266" s="67" t="str">
        <f>графік!K261</f>
        <v/>
      </c>
      <c r="N266" s="67" t="str">
        <f>графік!L261</f>
        <v/>
      </c>
      <c r="O266" s="74" t="str">
        <f>графік!P261</f>
        <v/>
      </c>
      <c r="P266" s="230" t="str">
        <f>графік!Q261</f>
        <v/>
      </c>
    </row>
    <row r="267" spans="1:16" x14ac:dyDescent="0.35">
      <c r="A267" s="63">
        <f>графік!A262</f>
        <v>238</v>
      </c>
      <c r="B267" s="68">
        <f ca="1">графік!C262</f>
        <v>51633</v>
      </c>
      <c r="C267" s="65">
        <f ca="1">графік!D262</f>
        <v>30</v>
      </c>
      <c r="D267" s="66">
        <f>графік!E262</f>
        <v>33332.543333345704</v>
      </c>
      <c r="E267" s="67">
        <f ca="1">графік!H262</f>
        <v>17138.03</v>
      </c>
      <c r="F267" s="66">
        <f>графік!F262</f>
        <v>16666.669999999998</v>
      </c>
      <c r="G267" s="67">
        <f ca="1">графік!G262</f>
        <v>471.36</v>
      </c>
      <c r="H267" s="67" t="str">
        <f>графік!M262</f>
        <v/>
      </c>
      <c r="I267" s="67"/>
      <c r="J267" s="69" t="str">
        <f>графік!N262</f>
        <v/>
      </c>
      <c r="K267" s="67" t="str">
        <f>графік!I262</f>
        <v/>
      </c>
      <c r="L267" s="67" t="str">
        <f>графік!J262</f>
        <v/>
      </c>
      <c r="M267" s="67" t="str">
        <f>графік!K262</f>
        <v/>
      </c>
      <c r="N267" s="67" t="str">
        <f>графік!L262</f>
        <v/>
      </c>
      <c r="O267" s="74" t="str">
        <f>графік!P262</f>
        <v/>
      </c>
      <c r="P267" s="230" t="str">
        <f>графік!Q262</f>
        <v/>
      </c>
    </row>
    <row r="268" spans="1:16" x14ac:dyDescent="0.35">
      <c r="A268" s="63">
        <f>графік!A263</f>
        <v>239</v>
      </c>
      <c r="B268" s="68">
        <f ca="1">графік!C263</f>
        <v>51664</v>
      </c>
      <c r="C268" s="65">
        <f ca="1">графік!D263</f>
        <v>31</v>
      </c>
      <c r="D268" s="66">
        <f>графік!E263</f>
        <v>16665.873333345706</v>
      </c>
      <c r="E268" s="67">
        <f ca="1">графік!H263</f>
        <v>16991.379999999997</v>
      </c>
      <c r="F268" s="66">
        <f>графік!F263</f>
        <v>16666.669999999998</v>
      </c>
      <c r="G268" s="67">
        <f ca="1">графік!G263</f>
        <v>324.70999999999998</v>
      </c>
      <c r="H268" s="67" t="str">
        <f>графік!M263</f>
        <v/>
      </c>
      <c r="I268" s="67"/>
      <c r="J268" s="69" t="str">
        <f>графік!N263</f>
        <v/>
      </c>
      <c r="K268" s="67" t="str">
        <f>графік!I263</f>
        <v/>
      </c>
      <c r="L268" s="67" t="str">
        <f>графік!J263</f>
        <v/>
      </c>
      <c r="M268" s="67" t="str">
        <f>графік!K263</f>
        <v/>
      </c>
      <c r="N268" s="67" t="str">
        <f>графік!L263</f>
        <v/>
      </c>
      <c r="O268" s="74" t="str">
        <f>графік!P263</f>
        <v/>
      </c>
      <c r="P268" s="230" t="str">
        <f>графік!Q263</f>
        <v/>
      </c>
    </row>
    <row r="269" spans="1:16" x14ac:dyDescent="0.35">
      <c r="A269" s="63">
        <f>графік!A264</f>
        <v>240</v>
      </c>
      <c r="B269" s="68">
        <f ca="1">графік!C264</f>
        <v>51693</v>
      </c>
      <c r="C269" s="65">
        <f ca="1">графік!D264</f>
        <v>29</v>
      </c>
      <c r="D269" s="66">
        <f>графік!E264</f>
        <v>3.3333455940010026E-3</v>
      </c>
      <c r="E269" s="67">
        <f ca="1">графік!H264</f>
        <v>16817.750000000113</v>
      </c>
      <c r="F269" s="66">
        <f>графік!F264</f>
        <v>16665.870000000112</v>
      </c>
      <c r="G269" s="67">
        <f ca="1">графік!G264</f>
        <v>151.88</v>
      </c>
      <c r="H269" s="67" t="str">
        <f>графік!M264</f>
        <v/>
      </c>
      <c r="I269" s="67"/>
      <c r="J269" s="69" t="str">
        <f>графік!N264</f>
        <v/>
      </c>
      <c r="K269" s="67" t="str">
        <f>графік!I264</f>
        <v/>
      </c>
      <c r="L269" s="67" t="str">
        <f>графік!J264</f>
        <v/>
      </c>
      <c r="M269" s="67" t="str">
        <f>графік!K264</f>
        <v/>
      </c>
      <c r="N269" s="67" t="str">
        <f>графік!L264</f>
        <v/>
      </c>
      <c r="O269" s="74" t="str">
        <f>графік!P264</f>
        <v/>
      </c>
      <c r="P269" s="230" t="str">
        <f>графік!Q264</f>
        <v/>
      </c>
    </row>
    <row r="270" spans="1:16" x14ac:dyDescent="0.35">
      <c r="A270" s="63" t="str">
        <f>графік!A265</f>
        <v/>
      </c>
      <c r="B270" s="68"/>
      <c r="C270" s="65">
        <f>графік!D265</f>
        <v>0</v>
      </c>
      <c r="D270" s="66" t="str">
        <f>графік!E265</f>
        <v/>
      </c>
      <c r="E270" s="67">
        <f ca="1">графік!H265</f>
        <v>9050213.3266666699</v>
      </c>
      <c r="F270" s="66">
        <f>графік!F265</f>
        <v>4000000</v>
      </c>
      <c r="G270" s="67">
        <f ca="1">графік!G265</f>
        <v>5050213.33</v>
      </c>
      <c r="H270" s="67">
        <f>графік!M265</f>
        <v>40000</v>
      </c>
      <c r="I270" s="67"/>
      <c r="J270" s="67">
        <f>графік!N265</f>
        <v>0</v>
      </c>
      <c r="K270" s="67">
        <f>графік!I265</f>
        <v>10000</v>
      </c>
      <c r="L270" s="67">
        <f>графік!J265</f>
        <v>2000</v>
      </c>
      <c r="M270" s="67">
        <f>графік!K265</f>
        <v>342000</v>
      </c>
      <c r="N270" s="67">
        <f>графік!L265</f>
        <v>0</v>
      </c>
      <c r="O270" s="74">
        <f ca="1">графік!P265</f>
        <v>0.15020998120307927</v>
      </c>
      <c r="P270" s="230">
        <f ca="1">графік!Q265</f>
        <v>9444213.3300000001</v>
      </c>
    </row>
  </sheetData>
  <mergeCells count="35">
    <mergeCell ref="N22:N23"/>
    <mergeCell ref="F21:J21"/>
    <mergeCell ref="O21:O28"/>
    <mergeCell ref="P21:P28"/>
    <mergeCell ref="A2:P2"/>
    <mergeCell ref="E4:F4"/>
    <mergeCell ref="E5:F5"/>
    <mergeCell ref="E6:F6"/>
    <mergeCell ref="E7:F7"/>
    <mergeCell ref="N5:O6"/>
    <mergeCell ref="N7:O8"/>
    <mergeCell ref="P7:P8"/>
    <mergeCell ref="A17:B17"/>
    <mergeCell ref="P5:P6"/>
    <mergeCell ref="E14:F14"/>
    <mergeCell ref="E8:F8"/>
    <mergeCell ref="E9:F9"/>
    <mergeCell ref="E11:F11"/>
    <mergeCell ref="E13:F13"/>
    <mergeCell ref="A15:F15"/>
    <mergeCell ref="A16:B16"/>
    <mergeCell ref="M22:M23"/>
    <mergeCell ref="A21:A28"/>
    <mergeCell ref="B21:B28"/>
    <mergeCell ref="F22:F28"/>
    <mergeCell ref="G22:G28"/>
    <mergeCell ref="H22:H27"/>
    <mergeCell ref="I22:I28"/>
    <mergeCell ref="K21:L21"/>
    <mergeCell ref="J22:J23"/>
    <mergeCell ref="K22:K23"/>
    <mergeCell ref="L22:L23"/>
    <mergeCell ref="C21:C28"/>
    <mergeCell ref="D21:D28"/>
    <mergeCell ref="E21:E28"/>
  </mergeCells>
  <pageMargins left="0.7" right="0.7" top="0.75" bottom="0.75" header="0.3" footer="0.3"/>
  <pageSetup paperSize="9" scale="87" fitToHeight="0" orientation="landscape" r:id="rId1"/>
  <ignoredErrors>
    <ignoredError sqref="E8:F9" unlocked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6"/>
  <sheetViews>
    <sheetView topLeftCell="A27" workbookViewId="0">
      <selection activeCell="D15" sqref="D15"/>
    </sheetView>
  </sheetViews>
  <sheetFormatPr defaultColWidth="9.1796875" defaultRowHeight="14.5" x14ac:dyDescent="0.35"/>
  <cols>
    <col min="1" max="1" width="9.1796875" style="10"/>
    <col min="2" max="2" width="60.1796875" style="10" customWidth="1"/>
    <col min="3" max="3" width="26.7265625" style="10" bestFit="1" customWidth="1"/>
    <col min="4" max="4" width="19.26953125" style="10" bestFit="1" customWidth="1"/>
    <col min="5" max="5" width="9.1796875" style="10"/>
    <col min="6" max="6" width="50.7265625" style="10" customWidth="1"/>
    <col min="7" max="7" width="46.54296875" style="10" bestFit="1" customWidth="1"/>
    <col min="8" max="16384" width="9.1796875" style="10"/>
  </cols>
  <sheetData>
    <row r="1" spans="1:10" x14ac:dyDescent="0.35">
      <c r="A1" s="250"/>
      <c r="B1" s="251" t="s">
        <v>188</v>
      </c>
      <c r="C1" s="251"/>
      <c r="D1" s="252"/>
      <c r="E1" s="252"/>
      <c r="F1" s="250"/>
      <c r="G1" s="250"/>
      <c r="H1" s="253"/>
      <c r="I1" s="253"/>
      <c r="J1" s="254"/>
    </row>
    <row r="2" spans="1:10" ht="15.75" customHeight="1" x14ac:dyDescent="0.35">
      <c r="A2" s="255">
        <v>1</v>
      </c>
      <c r="B2" s="256" t="s">
        <v>189</v>
      </c>
      <c r="C2" s="257" t="s">
        <v>190</v>
      </c>
      <c r="D2" s="258" t="s">
        <v>191</v>
      </c>
      <c r="E2" s="255" t="s">
        <v>192</v>
      </c>
      <c r="F2" s="256" t="s">
        <v>193</v>
      </c>
      <c r="G2" s="255" t="s">
        <v>194</v>
      </c>
      <c r="H2" s="259" t="s">
        <v>195</v>
      </c>
      <c r="I2" s="260" t="s">
        <v>196</v>
      </c>
      <c r="J2" s="261" t="s">
        <v>197</v>
      </c>
    </row>
    <row r="3" spans="1:10" ht="12.75" customHeight="1" x14ac:dyDescent="0.35">
      <c r="A3" s="255">
        <v>2</v>
      </c>
      <c r="B3" s="256" t="s">
        <v>198</v>
      </c>
      <c r="C3" s="257" t="s">
        <v>199</v>
      </c>
      <c r="D3" s="258" t="s">
        <v>200</v>
      </c>
      <c r="E3" s="255" t="s">
        <v>201</v>
      </c>
      <c r="F3" s="256" t="s">
        <v>202</v>
      </c>
      <c r="G3" s="255" t="s">
        <v>203</v>
      </c>
      <c r="H3" s="259" t="s">
        <v>204</v>
      </c>
      <c r="I3" s="260" t="s">
        <v>205</v>
      </c>
      <c r="J3" s="261" t="s">
        <v>197</v>
      </c>
    </row>
    <row r="4" spans="1:10" ht="33.75" customHeight="1" x14ac:dyDescent="0.35">
      <c r="A4" s="255">
        <v>3</v>
      </c>
      <c r="B4" s="256" t="s">
        <v>206</v>
      </c>
      <c r="C4" s="257" t="s">
        <v>207</v>
      </c>
      <c r="D4" s="258" t="s">
        <v>208</v>
      </c>
      <c r="E4" s="255" t="s">
        <v>209</v>
      </c>
      <c r="F4" s="256" t="s">
        <v>210</v>
      </c>
      <c r="G4" s="255" t="s">
        <v>211</v>
      </c>
      <c r="H4" s="259" t="s">
        <v>212</v>
      </c>
      <c r="I4" s="260" t="s">
        <v>213</v>
      </c>
      <c r="J4" s="261" t="s">
        <v>197</v>
      </c>
    </row>
    <row r="5" spans="1:10" ht="16.5" customHeight="1" x14ac:dyDescent="0.35">
      <c r="A5" s="255">
        <v>4</v>
      </c>
      <c r="B5" s="256" t="s">
        <v>214</v>
      </c>
      <c r="C5" s="257" t="s">
        <v>215</v>
      </c>
      <c r="D5" s="258" t="s">
        <v>216</v>
      </c>
      <c r="E5" s="255" t="s">
        <v>217</v>
      </c>
      <c r="F5" s="256" t="s">
        <v>218</v>
      </c>
      <c r="G5" s="255" t="s">
        <v>219</v>
      </c>
      <c r="H5" s="259" t="s">
        <v>220</v>
      </c>
      <c r="I5" s="260" t="s">
        <v>221</v>
      </c>
      <c r="J5" s="261" t="s">
        <v>197</v>
      </c>
    </row>
    <row r="6" spans="1:10" ht="16.5" customHeight="1" x14ac:dyDescent="0.35">
      <c r="A6" s="255">
        <v>5</v>
      </c>
      <c r="B6" s="256" t="s">
        <v>222</v>
      </c>
      <c r="C6" s="257" t="s">
        <v>223</v>
      </c>
      <c r="D6" s="258" t="s">
        <v>224</v>
      </c>
      <c r="E6" s="255" t="s">
        <v>225</v>
      </c>
      <c r="F6" s="256" t="s">
        <v>226</v>
      </c>
      <c r="G6" s="255" t="s">
        <v>227</v>
      </c>
      <c r="H6" s="259" t="s">
        <v>228</v>
      </c>
      <c r="I6" s="260" t="s">
        <v>229</v>
      </c>
      <c r="J6" s="261" t="s">
        <v>197</v>
      </c>
    </row>
    <row r="7" spans="1:10" ht="41.25" customHeight="1" x14ac:dyDescent="0.35">
      <c r="A7" s="255">
        <v>6</v>
      </c>
      <c r="B7" s="256" t="s">
        <v>230</v>
      </c>
      <c r="C7" s="257" t="s">
        <v>231</v>
      </c>
      <c r="D7" s="258" t="s">
        <v>232</v>
      </c>
      <c r="E7" s="255" t="s">
        <v>233</v>
      </c>
      <c r="F7" s="256" t="s">
        <v>234</v>
      </c>
      <c r="G7" s="255" t="s">
        <v>235</v>
      </c>
      <c r="H7" s="259" t="s">
        <v>236</v>
      </c>
      <c r="I7" s="260" t="s">
        <v>237</v>
      </c>
      <c r="J7" s="261" t="s">
        <v>197</v>
      </c>
    </row>
    <row r="8" spans="1:10" ht="16.5" customHeight="1" x14ac:dyDescent="0.35">
      <c r="A8" s="255">
        <v>7</v>
      </c>
      <c r="B8" s="256" t="s">
        <v>238</v>
      </c>
      <c r="C8" s="257" t="s">
        <v>239</v>
      </c>
      <c r="D8" s="258" t="s">
        <v>240</v>
      </c>
      <c r="E8" s="255" t="s">
        <v>241</v>
      </c>
      <c r="F8" s="256" t="s">
        <v>242</v>
      </c>
      <c r="G8" s="255" t="s">
        <v>243</v>
      </c>
      <c r="H8" s="259" t="s">
        <v>244</v>
      </c>
      <c r="I8" s="260" t="s">
        <v>245</v>
      </c>
      <c r="J8" s="261" t="s">
        <v>197</v>
      </c>
    </row>
    <row r="9" spans="1:10" ht="16.5" customHeight="1" x14ac:dyDescent="0.35">
      <c r="A9" s="255">
        <v>8</v>
      </c>
      <c r="B9" s="256" t="s">
        <v>246</v>
      </c>
      <c r="C9" s="257" t="s">
        <v>247</v>
      </c>
      <c r="D9" s="258" t="s">
        <v>248</v>
      </c>
      <c r="E9" s="255" t="s">
        <v>249</v>
      </c>
      <c r="F9" s="256" t="s">
        <v>250</v>
      </c>
      <c r="G9" s="255" t="s">
        <v>251</v>
      </c>
      <c r="H9" s="259" t="s">
        <v>252</v>
      </c>
      <c r="I9" s="260" t="s">
        <v>253</v>
      </c>
      <c r="J9" s="261" t="s">
        <v>197</v>
      </c>
    </row>
    <row r="10" spans="1:10" ht="16.5" customHeight="1" x14ac:dyDescent="0.35">
      <c r="A10" s="255">
        <v>9</v>
      </c>
      <c r="B10" s="256" t="s">
        <v>254</v>
      </c>
      <c r="C10" s="257" t="s">
        <v>255</v>
      </c>
      <c r="D10" s="258" t="s">
        <v>256</v>
      </c>
      <c r="E10" s="255" t="s">
        <v>257</v>
      </c>
      <c r="F10" s="256" t="s">
        <v>258</v>
      </c>
      <c r="G10" s="255" t="s">
        <v>259</v>
      </c>
      <c r="H10" s="259" t="s">
        <v>260</v>
      </c>
      <c r="I10" s="260" t="s">
        <v>261</v>
      </c>
      <c r="J10" s="261" t="s">
        <v>197</v>
      </c>
    </row>
    <row r="11" spans="1:10" ht="16.5" customHeight="1" x14ac:dyDescent="0.35">
      <c r="A11" s="255">
        <v>10</v>
      </c>
      <c r="B11" s="256" t="s">
        <v>262</v>
      </c>
      <c r="C11" s="257" t="s">
        <v>263</v>
      </c>
      <c r="D11" s="258" t="s">
        <v>264</v>
      </c>
      <c r="E11" s="255" t="s">
        <v>265</v>
      </c>
      <c r="F11" s="256" t="s">
        <v>266</v>
      </c>
      <c r="G11" s="255" t="s">
        <v>267</v>
      </c>
      <c r="H11" s="259" t="s">
        <v>268</v>
      </c>
      <c r="I11" s="260" t="s">
        <v>269</v>
      </c>
      <c r="J11" s="261" t="s">
        <v>197</v>
      </c>
    </row>
    <row r="12" spans="1:10" ht="16.5" customHeight="1" x14ac:dyDescent="0.35">
      <c r="A12" s="255">
        <v>11</v>
      </c>
      <c r="B12" s="256" t="s">
        <v>270</v>
      </c>
      <c r="C12" s="257" t="s">
        <v>271</v>
      </c>
      <c r="D12" s="258" t="s">
        <v>272</v>
      </c>
      <c r="E12" s="255" t="s">
        <v>273</v>
      </c>
      <c r="F12" s="256" t="s">
        <v>274</v>
      </c>
      <c r="G12" s="255" t="s">
        <v>275</v>
      </c>
      <c r="H12" s="259" t="s">
        <v>276</v>
      </c>
      <c r="I12" s="260" t="s">
        <v>277</v>
      </c>
      <c r="J12" s="261" t="s">
        <v>197</v>
      </c>
    </row>
    <row r="13" spans="1:10" ht="16.5" customHeight="1" x14ac:dyDescent="0.35">
      <c r="A13" s="255">
        <v>12</v>
      </c>
      <c r="B13" s="256" t="s">
        <v>278</v>
      </c>
      <c r="C13" s="257" t="s">
        <v>279</v>
      </c>
      <c r="D13" s="258" t="s">
        <v>280</v>
      </c>
      <c r="E13" s="255" t="s">
        <v>281</v>
      </c>
      <c r="F13" s="256" t="s">
        <v>282</v>
      </c>
      <c r="G13" s="255" t="s">
        <v>283</v>
      </c>
      <c r="H13" s="259" t="s">
        <v>284</v>
      </c>
      <c r="I13" s="260" t="s">
        <v>285</v>
      </c>
      <c r="J13" s="261" t="s">
        <v>197</v>
      </c>
    </row>
    <row r="14" spans="1:10" ht="25.5" customHeight="1" x14ac:dyDescent="0.35">
      <c r="A14" s="255">
        <v>13</v>
      </c>
      <c r="B14" s="256" t="s">
        <v>286</v>
      </c>
      <c r="C14" s="257" t="s">
        <v>287</v>
      </c>
      <c r="D14" s="258" t="s">
        <v>288</v>
      </c>
      <c r="E14" s="255" t="s">
        <v>289</v>
      </c>
      <c r="F14" s="256" t="s">
        <v>290</v>
      </c>
      <c r="G14" s="255" t="s">
        <v>291</v>
      </c>
      <c r="H14" s="259" t="s">
        <v>292</v>
      </c>
      <c r="I14" s="260" t="s">
        <v>293</v>
      </c>
      <c r="J14" s="261" t="s">
        <v>197</v>
      </c>
    </row>
    <row r="15" spans="1:10" ht="28.5" customHeight="1" x14ac:dyDescent="0.35">
      <c r="A15" s="255">
        <v>14</v>
      </c>
      <c r="B15" s="256" t="s">
        <v>294</v>
      </c>
      <c r="C15" s="257" t="s">
        <v>295</v>
      </c>
      <c r="D15" s="258" t="s">
        <v>296</v>
      </c>
      <c r="E15" s="255" t="s">
        <v>297</v>
      </c>
      <c r="F15" s="256" t="s">
        <v>298</v>
      </c>
      <c r="G15" s="255" t="s">
        <v>299</v>
      </c>
      <c r="H15" s="259" t="s">
        <v>300</v>
      </c>
      <c r="I15" s="260" t="s">
        <v>301</v>
      </c>
      <c r="J15" s="261" t="s">
        <v>197</v>
      </c>
    </row>
    <row r="16" spans="1:10" ht="16.5" customHeight="1" x14ac:dyDescent="0.35">
      <c r="A16" s="255">
        <v>15</v>
      </c>
      <c r="B16" s="256" t="s">
        <v>302</v>
      </c>
      <c r="C16" s="257" t="s">
        <v>303</v>
      </c>
      <c r="D16" s="258" t="s">
        <v>304</v>
      </c>
      <c r="E16" s="255" t="s">
        <v>305</v>
      </c>
      <c r="F16" s="256" t="s">
        <v>306</v>
      </c>
      <c r="G16" s="255" t="s">
        <v>307</v>
      </c>
      <c r="H16" s="259" t="s">
        <v>308</v>
      </c>
      <c r="I16" s="260" t="s">
        <v>309</v>
      </c>
      <c r="J16" s="261" t="s">
        <v>197</v>
      </c>
    </row>
    <row r="17" spans="1:10" ht="16.5" customHeight="1" x14ac:dyDescent="0.35">
      <c r="A17" s="255">
        <v>16</v>
      </c>
      <c r="B17" s="256" t="s">
        <v>310</v>
      </c>
      <c r="C17" s="257" t="s">
        <v>311</v>
      </c>
      <c r="D17" s="258" t="s">
        <v>312</v>
      </c>
      <c r="E17" s="255" t="s">
        <v>313</v>
      </c>
      <c r="F17" s="256" t="s">
        <v>314</v>
      </c>
      <c r="G17" s="255" t="s">
        <v>315</v>
      </c>
      <c r="H17" s="259" t="s">
        <v>316</v>
      </c>
      <c r="I17" s="260" t="s">
        <v>317</v>
      </c>
      <c r="J17" s="261" t="s">
        <v>197</v>
      </c>
    </row>
    <row r="18" spans="1:10" ht="27" customHeight="1" x14ac:dyDescent="0.35">
      <c r="A18" s="255">
        <v>17</v>
      </c>
      <c r="B18" s="256" t="s">
        <v>318</v>
      </c>
      <c r="C18" s="257" t="s">
        <v>319</v>
      </c>
      <c r="D18" s="258" t="s">
        <v>320</v>
      </c>
      <c r="E18" s="255" t="s">
        <v>321</v>
      </c>
      <c r="F18" s="256" t="s">
        <v>322</v>
      </c>
      <c r="G18" s="255" t="s">
        <v>299</v>
      </c>
      <c r="H18" s="259" t="s">
        <v>323</v>
      </c>
      <c r="I18" s="260" t="s">
        <v>324</v>
      </c>
      <c r="J18" s="261" t="s">
        <v>197</v>
      </c>
    </row>
    <row r="19" spans="1:10" ht="28.5" customHeight="1" x14ac:dyDescent="0.35">
      <c r="A19" s="255">
        <v>18</v>
      </c>
      <c r="B19" s="256" t="s">
        <v>325</v>
      </c>
      <c r="C19" s="257" t="s">
        <v>326</v>
      </c>
      <c r="D19" s="258" t="s">
        <v>327</v>
      </c>
      <c r="E19" s="255" t="s">
        <v>328</v>
      </c>
      <c r="F19" s="256" t="s">
        <v>329</v>
      </c>
      <c r="G19" s="255" t="s">
        <v>330</v>
      </c>
      <c r="H19" s="259" t="s">
        <v>331</v>
      </c>
      <c r="I19" s="260" t="s">
        <v>332</v>
      </c>
      <c r="J19" s="261" t="s">
        <v>197</v>
      </c>
    </row>
    <row r="20" spans="1:10" ht="16.5" customHeight="1" x14ac:dyDescent="0.35">
      <c r="A20" s="255">
        <v>19</v>
      </c>
      <c r="B20" s="256" t="s">
        <v>333</v>
      </c>
      <c r="C20" s="257" t="s">
        <v>334</v>
      </c>
      <c r="D20" s="258" t="s">
        <v>335</v>
      </c>
      <c r="E20" s="255" t="s">
        <v>336</v>
      </c>
      <c r="F20" s="256" t="s">
        <v>337</v>
      </c>
      <c r="G20" s="255" t="s">
        <v>338</v>
      </c>
      <c r="H20" s="259" t="s">
        <v>339</v>
      </c>
      <c r="I20" s="260" t="s">
        <v>340</v>
      </c>
      <c r="J20" s="261" t="s">
        <v>341</v>
      </c>
    </row>
    <row r="21" spans="1:10" ht="20.25" customHeight="1" x14ac:dyDescent="0.35">
      <c r="A21" s="255">
        <v>20</v>
      </c>
      <c r="B21" s="256" t="s">
        <v>342</v>
      </c>
      <c r="C21" s="257" t="s">
        <v>343</v>
      </c>
      <c r="D21" s="258" t="s">
        <v>344</v>
      </c>
      <c r="E21" s="255" t="s">
        <v>345</v>
      </c>
      <c r="F21" s="256" t="s">
        <v>346</v>
      </c>
      <c r="G21" s="255" t="s">
        <v>347</v>
      </c>
      <c r="H21" s="259" t="s">
        <v>348</v>
      </c>
      <c r="I21" s="260" t="s">
        <v>349</v>
      </c>
      <c r="J21" s="261" t="s">
        <v>197</v>
      </c>
    </row>
    <row r="22" spans="1:10" ht="29.25" customHeight="1" x14ac:dyDescent="0.35">
      <c r="A22" s="255">
        <v>21</v>
      </c>
      <c r="B22" s="256" t="s">
        <v>350</v>
      </c>
      <c r="C22" s="257" t="s">
        <v>351</v>
      </c>
      <c r="D22" s="258" t="s">
        <v>352</v>
      </c>
      <c r="E22" s="255" t="s">
        <v>353</v>
      </c>
      <c r="F22" s="256" t="s">
        <v>354</v>
      </c>
      <c r="G22" s="255" t="s">
        <v>355</v>
      </c>
      <c r="H22" s="259" t="s">
        <v>356</v>
      </c>
      <c r="I22" s="260" t="s">
        <v>357</v>
      </c>
      <c r="J22" s="261" t="s">
        <v>197</v>
      </c>
    </row>
    <row r="23" spans="1:10" ht="27" customHeight="1" x14ac:dyDescent="0.35">
      <c r="A23" s="255">
        <v>22</v>
      </c>
      <c r="B23" s="256" t="s">
        <v>358</v>
      </c>
      <c r="C23" s="257" t="s">
        <v>359</v>
      </c>
      <c r="D23" s="258" t="s">
        <v>360</v>
      </c>
      <c r="E23" s="255" t="s">
        <v>361</v>
      </c>
      <c r="F23" s="256" t="s">
        <v>362</v>
      </c>
      <c r="G23" s="255" t="s">
        <v>363</v>
      </c>
      <c r="H23" s="259" t="s">
        <v>364</v>
      </c>
      <c r="I23" s="260" t="s">
        <v>365</v>
      </c>
      <c r="J23" s="261" t="s">
        <v>197</v>
      </c>
    </row>
    <row r="24" spans="1:10" ht="17.25" customHeight="1" x14ac:dyDescent="0.35">
      <c r="A24" s="255">
        <v>23</v>
      </c>
      <c r="B24" s="256" t="s">
        <v>366</v>
      </c>
      <c r="C24" s="257" t="s">
        <v>367</v>
      </c>
      <c r="D24" s="258" t="s">
        <v>368</v>
      </c>
      <c r="E24" s="255" t="s">
        <v>369</v>
      </c>
      <c r="F24" s="256" t="s">
        <v>370</v>
      </c>
      <c r="G24" s="255" t="s">
        <v>371</v>
      </c>
      <c r="H24" s="259" t="s">
        <v>372</v>
      </c>
      <c r="I24" s="260" t="s">
        <v>373</v>
      </c>
      <c r="J24" s="261" t="s">
        <v>197</v>
      </c>
    </row>
    <row r="25" spans="1:10" ht="31.5" customHeight="1" x14ac:dyDescent="0.35">
      <c r="A25" s="255">
        <v>24</v>
      </c>
      <c r="B25" s="256" t="s">
        <v>374</v>
      </c>
      <c r="C25" s="257" t="s">
        <v>375</v>
      </c>
      <c r="D25" s="258" t="s">
        <v>376</v>
      </c>
      <c r="E25" s="255" t="s">
        <v>377</v>
      </c>
      <c r="F25" s="256" t="s">
        <v>378</v>
      </c>
      <c r="G25" s="255" t="s">
        <v>379</v>
      </c>
      <c r="H25" s="259" t="s">
        <v>380</v>
      </c>
      <c r="I25" s="260" t="s">
        <v>381</v>
      </c>
      <c r="J25" s="261" t="s">
        <v>197</v>
      </c>
    </row>
    <row r="26" spans="1:10" ht="26.25" customHeight="1" x14ac:dyDescent="0.35">
      <c r="A26" s="255">
        <v>25</v>
      </c>
      <c r="B26" s="256" t="s">
        <v>382</v>
      </c>
      <c r="C26" s="257" t="s">
        <v>383</v>
      </c>
      <c r="D26" s="258" t="s">
        <v>384</v>
      </c>
      <c r="E26" s="255" t="s">
        <v>385</v>
      </c>
      <c r="F26" s="256" t="s">
        <v>386</v>
      </c>
      <c r="G26" s="255" t="s">
        <v>387</v>
      </c>
      <c r="H26" s="259" t="s">
        <v>388</v>
      </c>
      <c r="I26" s="260" t="s">
        <v>389</v>
      </c>
      <c r="J26" s="261" t="s">
        <v>197</v>
      </c>
    </row>
    <row r="27" spans="1:10" ht="17.25" customHeight="1" x14ac:dyDescent="0.35">
      <c r="A27" s="255">
        <v>26</v>
      </c>
      <c r="B27" s="256" t="s">
        <v>390</v>
      </c>
      <c r="C27" s="257" t="s">
        <v>391</v>
      </c>
      <c r="D27" s="258" t="s">
        <v>392</v>
      </c>
      <c r="E27" s="255" t="s">
        <v>393</v>
      </c>
      <c r="F27" s="256" t="s">
        <v>394</v>
      </c>
      <c r="G27" s="255" t="s">
        <v>395</v>
      </c>
      <c r="H27" s="259" t="s">
        <v>396</v>
      </c>
      <c r="I27" s="260" t="s">
        <v>397</v>
      </c>
      <c r="J27" s="261" t="s">
        <v>197</v>
      </c>
    </row>
    <row r="28" spans="1:10" ht="17.25" customHeight="1" x14ac:dyDescent="0.35">
      <c r="A28" s="255">
        <v>27</v>
      </c>
      <c r="B28" s="256" t="s">
        <v>398</v>
      </c>
      <c r="C28" s="257" t="s">
        <v>399</v>
      </c>
      <c r="D28" s="258" t="s">
        <v>400</v>
      </c>
      <c r="E28" s="255" t="s">
        <v>401</v>
      </c>
      <c r="F28" s="256" t="s">
        <v>402</v>
      </c>
      <c r="G28" s="255" t="s">
        <v>403</v>
      </c>
      <c r="H28" s="259" t="s">
        <v>404</v>
      </c>
      <c r="I28" s="260" t="s">
        <v>405</v>
      </c>
      <c r="J28" s="261" t="s">
        <v>197</v>
      </c>
    </row>
    <row r="29" spans="1:10" ht="17.25" customHeight="1" x14ac:dyDescent="0.35">
      <c r="A29" s="255">
        <v>28</v>
      </c>
      <c r="B29" s="256" t="s">
        <v>406</v>
      </c>
      <c r="C29" s="257" t="s">
        <v>407</v>
      </c>
      <c r="D29" s="258" t="s">
        <v>408</v>
      </c>
      <c r="E29" s="255" t="s">
        <v>409</v>
      </c>
      <c r="F29" s="256" t="s">
        <v>410</v>
      </c>
      <c r="G29" s="255" t="s">
        <v>411</v>
      </c>
      <c r="H29" s="259" t="s">
        <v>412</v>
      </c>
      <c r="I29" s="260" t="s">
        <v>413</v>
      </c>
      <c r="J29" s="261" t="s">
        <v>197</v>
      </c>
    </row>
    <row r="30" spans="1:10" ht="29.25" customHeight="1" x14ac:dyDescent="0.35">
      <c r="A30" s="255">
        <v>29</v>
      </c>
      <c r="B30" s="256" t="s">
        <v>414</v>
      </c>
      <c r="C30" s="257" t="s">
        <v>415</v>
      </c>
      <c r="D30" s="258" t="s">
        <v>416</v>
      </c>
      <c r="E30" s="255" t="s">
        <v>417</v>
      </c>
      <c r="F30" s="256" t="s">
        <v>418</v>
      </c>
      <c r="G30" s="255" t="s">
        <v>419</v>
      </c>
      <c r="H30" s="259" t="s">
        <v>420</v>
      </c>
      <c r="I30" s="260" t="s">
        <v>421</v>
      </c>
      <c r="J30" s="261" t="s">
        <v>197</v>
      </c>
    </row>
    <row r="31" spans="1:10" ht="28.5" customHeight="1" x14ac:dyDescent="0.35">
      <c r="A31" s="255">
        <v>30</v>
      </c>
      <c r="B31" s="256" t="s">
        <v>422</v>
      </c>
      <c r="C31" s="257" t="s">
        <v>423</v>
      </c>
      <c r="D31" s="258" t="s">
        <v>424</v>
      </c>
      <c r="E31" s="255" t="s">
        <v>425</v>
      </c>
      <c r="F31" s="256" t="s">
        <v>426</v>
      </c>
      <c r="G31" s="255" t="s">
        <v>427</v>
      </c>
      <c r="H31" s="259" t="s">
        <v>428</v>
      </c>
      <c r="I31" s="260" t="s">
        <v>429</v>
      </c>
      <c r="J31" s="261" t="s">
        <v>197</v>
      </c>
    </row>
    <row r="32" spans="1:10" ht="35.25" customHeight="1" x14ac:dyDescent="0.35">
      <c r="A32" s="255">
        <v>31</v>
      </c>
      <c r="B32" s="256" t="s">
        <v>430</v>
      </c>
      <c r="C32" s="257" t="s">
        <v>431</v>
      </c>
      <c r="D32" s="258" t="s">
        <v>432</v>
      </c>
      <c r="E32" s="255" t="s">
        <v>433</v>
      </c>
      <c r="F32" s="256" t="s">
        <v>434</v>
      </c>
      <c r="G32" s="255" t="s">
        <v>435</v>
      </c>
      <c r="H32" s="259" t="s">
        <v>436</v>
      </c>
      <c r="I32" s="260" t="s">
        <v>437</v>
      </c>
      <c r="J32" s="261" t="s">
        <v>197</v>
      </c>
    </row>
    <row r="33" spans="1:10" ht="17.25" customHeight="1" x14ac:dyDescent="0.35">
      <c r="A33" s="255">
        <v>32</v>
      </c>
      <c r="B33" s="256" t="s">
        <v>438</v>
      </c>
      <c r="C33" s="257" t="s">
        <v>439</v>
      </c>
      <c r="D33" s="258" t="s">
        <v>440</v>
      </c>
      <c r="E33" s="255" t="s">
        <v>441</v>
      </c>
      <c r="F33" s="256" t="s">
        <v>442</v>
      </c>
      <c r="G33" s="255" t="s">
        <v>443</v>
      </c>
      <c r="H33" s="259" t="s">
        <v>444</v>
      </c>
      <c r="I33" s="260" t="s">
        <v>445</v>
      </c>
      <c r="J33" s="261" t="s">
        <v>197</v>
      </c>
    </row>
    <row r="34" spans="1:10" ht="17.25" customHeight="1" x14ac:dyDescent="0.35">
      <c r="A34" s="255">
        <v>33</v>
      </c>
      <c r="B34" s="256" t="s">
        <v>446</v>
      </c>
      <c r="C34" s="257" t="s">
        <v>447</v>
      </c>
      <c r="D34" s="258" t="s">
        <v>448</v>
      </c>
      <c r="E34" s="255" t="s">
        <v>449</v>
      </c>
      <c r="F34" s="256" t="s">
        <v>450</v>
      </c>
      <c r="G34" s="255" t="s">
        <v>451</v>
      </c>
      <c r="H34" s="259" t="s">
        <v>452</v>
      </c>
      <c r="I34" s="260" t="s">
        <v>453</v>
      </c>
      <c r="J34" s="261" t="s">
        <v>197</v>
      </c>
    </row>
    <row r="35" spans="1:10" ht="17.25" customHeight="1" x14ac:dyDescent="0.35">
      <c r="A35" s="255">
        <v>34</v>
      </c>
      <c r="B35" s="256" t="s">
        <v>454</v>
      </c>
      <c r="C35" s="257" t="s">
        <v>455</v>
      </c>
      <c r="D35" s="258" t="s">
        <v>456</v>
      </c>
      <c r="E35" s="255" t="s">
        <v>457</v>
      </c>
      <c r="F35" s="256" t="s">
        <v>458</v>
      </c>
      <c r="G35" s="255" t="s">
        <v>459</v>
      </c>
      <c r="H35" s="259" t="s">
        <v>460</v>
      </c>
      <c r="I35" s="260" t="s">
        <v>461</v>
      </c>
      <c r="J35" s="261" t="s">
        <v>197</v>
      </c>
    </row>
    <row r="36" spans="1:10" ht="39.75" customHeight="1" x14ac:dyDescent="0.35">
      <c r="A36" s="255">
        <v>35</v>
      </c>
      <c r="B36" s="256" t="s">
        <v>462</v>
      </c>
      <c r="C36" s="257" t="s">
        <v>463</v>
      </c>
      <c r="D36" s="258" t="s">
        <v>464</v>
      </c>
      <c r="E36" s="255" t="s">
        <v>465</v>
      </c>
      <c r="F36" s="256" t="s">
        <v>466</v>
      </c>
      <c r="G36" s="255" t="s">
        <v>467</v>
      </c>
      <c r="H36" s="259" t="s">
        <v>468</v>
      </c>
      <c r="I36" s="260" t="s">
        <v>469</v>
      </c>
      <c r="J36" s="261" t="s">
        <v>197</v>
      </c>
    </row>
    <row r="37" spans="1:10" ht="36.75" customHeight="1" x14ac:dyDescent="0.35">
      <c r="A37" s="255">
        <v>36</v>
      </c>
      <c r="B37" s="256" t="s">
        <v>470</v>
      </c>
      <c r="C37" s="257" t="s">
        <v>471</v>
      </c>
      <c r="D37" s="258" t="s">
        <v>472</v>
      </c>
      <c r="E37" s="255" t="s">
        <v>473</v>
      </c>
      <c r="F37" s="256" t="s">
        <v>474</v>
      </c>
      <c r="G37" s="255" t="s">
        <v>475</v>
      </c>
      <c r="H37" s="259" t="s">
        <v>476</v>
      </c>
      <c r="I37" s="260" t="s">
        <v>477</v>
      </c>
      <c r="J37" s="261" t="s">
        <v>197</v>
      </c>
    </row>
    <row r="38" spans="1:10" ht="36" customHeight="1" x14ac:dyDescent="0.35">
      <c r="A38" s="255">
        <v>37</v>
      </c>
      <c r="B38" s="256" t="s">
        <v>478</v>
      </c>
      <c r="C38" s="257" t="s">
        <v>479</v>
      </c>
      <c r="D38" s="258" t="s">
        <v>480</v>
      </c>
      <c r="E38" s="255" t="s">
        <v>481</v>
      </c>
      <c r="F38" s="256" t="s">
        <v>482</v>
      </c>
      <c r="G38" s="255" t="s">
        <v>483</v>
      </c>
      <c r="H38" s="259" t="s">
        <v>484</v>
      </c>
      <c r="I38" s="260" t="s">
        <v>485</v>
      </c>
      <c r="J38" s="261" t="s">
        <v>197</v>
      </c>
    </row>
    <row r="39" spans="1:10" ht="36.75" customHeight="1" x14ac:dyDescent="0.35">
      <c r="A39" s="255">
        <v>38</v>
      </c>
      <c r="B39" s="256" t="s">
        <v>486</v>
      </c>
      <c r="C39" s="257" t="s">
        <v>487</v>
      </c>
      <c r="D39" s="258" t="s">
        <v>488</v>
      </c>
      <c r="E39" s="255" t="s">
        <v>489</v>
      </c>
      <c r="F39" s="256" t="s">
        <v>490</v>
      </c>
      <c r="G39" s="255" t="s">
        <v>491</v>
      </c>
      <c r="H39" s="259" t="s">
        <v>492</v>
      </c>
      <c r="I39" s="260" t="s">
        <v>493</v>
      </c>
      <c r="J39" s="261" t="s">
        <v>197</v>
      </c>
    </row>
    <row r="40" spans="1:10" ht="39" customHeight="1" x14ac:dyDescent="0.35">
      <c r="A40" s="255">
        <v>39</v>
      </c>
      <c r="B40" s="256" t="s">
        <v>494</v>
      </c>
      <c r="C40" s="257" t="s">
        <v>495</v>
      </c>
      <c r="D40" s="258" t="s">
        <v>496</v>
      </c>
      <c r="E40" s="255" t="s">
        <v>497</v>
      </c>
      <c r="F40" s="256" t="s">
        <v>498</v>
      </c>
      <c r="G40" s="255" t="s">
        <v>499</v>
      </c>
      <c r="H40" s="259" t="s">
        <v>500</v>
      </c>
      <c r="I40" s="260" t="s">
        <v>501</v>
      </c>
      <c r="J40" s="261" t="s">
        <v>197</v>
      </c>
    </row>
    <row r="41" spans="1:10" ht="41.25" customHeight="1" x14ac:dyDescent="0.35">
      <c r="A41" s="255">
        <v>40</v>
      </c>
      <c r="B41" s="256" t="s">
        <v>502</v>
      </c>
      <c r="C41" s="257" t="s">
        <v>503</v>
      </c>
      <c r="D41" s="258" t="s">
        <v>504</v>
      </c>
      <c r="E41" s="255" t="s">
        <v>505</v>
      </c>
      <c r="F41" s="256" t="s">
        <v>506</v>
      </c>
      <c r="G41" s="255" t="s">
        <v>507</v>
      </c>
      <c r="H41" s="259" t="s">
        <v>508</v>
      </c>
      <c r="I41" s="260" t="s">
        <v>509</v>
      </c>
      <c r="J41" s="261" t="s">
        <v>197</v>
      </c>
    </row>
    <row r="42" spans="1:10" ht="17.25" customHeight="1" x14ac:dyDescent="0.35">
      <c r="A42" s="255">
        <v>41</v>
      </c>
      <c r="B42" s="256" t="s">
        <v>510</v>
      </c>
      <c r="C42" s="257" t="s">
        <v>511</v>
      </c>
      <c r="D42" s="258" t="s">
        <v>512</v>
      </c>
      <c r="E42" s="255" t="s">
        <v>513</v>
      </c>
      <c r="F42" s="256" t="s">
        <v>514</v>
      </c>
      <c r="G42" s="255" t="s">
        <v>515</v>
      </c>
      <c r="H42" s="259" t="s">
        <v>516</v>
      </c>
      <c r="I42" s="260" t="s">
        <v>517</v>
      </c>
      <c r="J42" s="261" t="s">
        <v>197</v>
      </c>
    </row>
    <row r="43" spans="1:10" ht="17.25" customHeight="1" x14ac:dyDescent="0.35">
      <c r="A43" s="255">
        <v>42</v>
      </c>
      <c r="B43" s="256" t="s">
        <v>518</v>
      </c>
      <c r="C43" s="257" t="s">
        <v>519</v>
      </c>
      <c r="D43" s="258" t="s">
        <v>520</v>
      </c>
      <c r="E43" s="255" t="s">
        <v>521</v>
      </c>
      <c r="F43" s="256" t="s">
        <v>522</v>
      </c>
      <c r="G43" s="255" t="s">
        <v>523</v>
      </c>
      <c r="H43" s="259" t="s">
        <v>524</v>
      </c>
      <c r="I43" s="260" t="s">
        <v>525</v>
      </c>
      <c r="J43" s="261" t="s">
        <v>197</v>
      </c>
    </row>
    <row r="44" spans="1:10" ht="17.25" customHeight="1" x14ac:dyDescent="0.35">
      <c r="A44" s="255">
        <v>43</v>
      </c>
      <c r="B44" s="256" t="s">
        <v>526</v>
      </c>
      <c r="C44" s="257" t="s">
        <v>527</v>
      </c>
      <c r="D44" s="258" t="s">
        <v>528</v>
      </c>
      <c r="E44" s="255" t="s">
        <v>529</v>
      </c>
      <c r="F44" s="256" t="s">
        <v>530</v>
      </c>
      <c r="G44" s="255" t="s">
        <v>531</v>
      </c>
      <c r="H44" s="259" t="s">
        <v>532</v>
      </c>
      <c r="I44" s="260" t="s">
        <v>533</v>
      </c>
      <c r="J44" s="261" t="s">
        <v>197</v>
      </c>
    </row>
    <row r="45" spans="1:10" ht="17.25" customHeight="1" x14ac:dyDescent="0.35">
      <c r="A45" s="255">
        <v>44</v>
      </c>
      <c r="B45" s="256" t="s">
        <v>534</v>
      </c>
      <c r="C45" s="257" t="s">
        <v>535</v>
      </c>
      <c r="D45" s="258" t="s">
        <v>536</v>
      </c>
      <c r="E45" s="255" t="s">
        <v>537</v>
      </c>
      <c r="F45" s="256" t="s">
        <v>538</v>
      </c>
      <c r="G45" s="255" t="s">
        <v>539</v>
      </c>
      <c r="H45" s="259" t="s">
        <v>540</v>
      </c>
      <c r="I45" s="260" t="s">
        <v>541</v>
      </c>
      <c r="J45" s="261" t="s">
        <v>197</v>
      </c>
    </row>
    <row r="46" spans="1:10" ht="17.25" customHeight="1" x14ac:dyDescent="0.35">
      <c r="A46" s="255">
        <v>45</v>
      </c>
      <c r="B46" s="256" t="s">
        <v>542</v>
      </c>
      <c r="C46" s="257" t="s">
        <v>543</v>
      </c>
      <c r="D46" s="258" t="s">
        <v>544</v>
      </c>
      <c r="E46" s="255" t="s">
        <v>545</v>
      </c>
      <c r="F46" s="256" t="s">
        <v>546</v>
      </c>
      <c r="G46" s="255" t="s">
        <v>547</v>
      </c>
      <c r="H46" s="259" t="s">
        <v>548</v>
      </c>
      <c r="I46" s="260" t="s">
        <v>549</v>
      </c>
      <c r="J46" s="261" t="s">
        <v>197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6</vt:i4>
      </vt:variant>
      <vt:variant>
        <vt:lpstr>Именованные диапазоны</vt:lpstr>
      </vt:variant>
      <vt:variant>
        <vt:i4>1</vt:i4>
      </vt:variant>
    </vt:vector>
  </HeadingPairs>
  <TitlesOfParts>
    <vt:vector size="7" baseType="lpstr">
      <vt:lpstr>паспорт</vt:lpstr>
      <vt:lpstr>графік</vt:lpstr>
      <vt:lpstr>паспорт із підвищеною %</vt:lpstr>
      <vt:lpstr>графік із підвищеною %</vt:lpstr>
      <vt:lpstr>дод 1 до дог кред</vt:lpstr>
      <vt:lpstr>Лист1</vt:lpstr>
      <vt:lpstr>графік!Область_печати</vt:lpstr>
    </vt:vector>
  </TitlesOfParts>
  <Company>PJSC CB "PRAVEX-BANK"</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Shpakivskyi Oleksandr Mykhailovych</dc:creator>
  <cp:lastModifiedBy>Yalynchuk Nataliia Vasylivna</cp:lastModifiedBy>
  <cp:lastPrinted>2019-05-28T12:26:56Z</cp:lastPrinted>
  <dcterms:created xsi:type="dcterms:W3CDTF">2017-10-13T07:54:03Z</dcterms:created>
  <dcterms:modified xsi:type="dcterms:W3CDTF">2021-07-12T06:15:23Z</dcterms:modified>
</cp:coreProperties>
</file>