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Іпотека\Іпотека Фамільний 9,99%\"/>
    </mc:Choice>
  </mc:AlternateContent>
  <bookViews>
    <workbookView xWindow="720" yWindow="360" windowWidth="17960" windowHeight="11020"/>
  </bookViews>
  <sheets>
    <sheet name="паспорт" sheetId="4" r:id="rId1"/>
    <sheet name="паспорт повышенная %" sheetId="5" state="hidden" r:id="rId2"/>
    <sheet name="график с повышеной%" sheetId="7" state="hidden" r:id="rId3"/>
    <sheet name="график анн" sheetId="2" r:id="rId4"/>
    <sheet name="дод 1 до дог кредит" sheetId="3" r:id="rId5"/>
    <sheet name="Лист1" sheetId="8" state="hidden" r:id="rId6"/>
  </sheets>
  <calcPr calcId="152511"/>
</workbook>
</file>

<file path=xl/calcChain.xml><?xml version="1.0" encoding="utf-8"?>
<calcChain xmlns="http://schemas.openxmlformats.org/spreadsheetml/2006/main">
  <c r="N24" i="2" l="1"/>
  <c r="D69" i="4" l="1"/>
  <c r="D70" i="4" s="1"/>
  <c r="B8" i="4"/>
  <c r="B68" i="4" l="1"/>
  <c r="A68" i="4"/>
  <c r="B32" i="4"/>
  <c r="G8" i="2" l="1"/>
  <c r="H270" i="3"/>
  <c r="H269" i="3"/>
  <c r="H268" i="3"/>
  <c r="H267" i="3"/>
  <c r="H266" i="3"/>
  <c r="H265" i="3"/>
  <c r="H264" i="3"/>
  <c r="H263" i="3"/>
  <c r="H262" i="3"/>
  <c r="H261" i="3"/>
  <c r="H260" i="3"/>
  <c r="H259" i="3"/>
  <c r="H258" i="3"/>
  <c r="M257" i="3"/>
  <c r="H257" i="3"/>
  <c r="M256" i="3"/>
  <c r="H256" i="3"/>
  <c r="M255" i="3"/>
  <c r="H255" i="3"/>
  <c r="M254" i="3"/>
  <c r="H254" i="3"/>
  <c r="M253" i="3"/>
  <c r="H253" i="3"/>
  <c r="M252" i="3"/>
  <c r="H252" i="3"/>
  <c r="M251" i="3"/>
  <c r="H251" i="3"/>
  <c r="M250" i="3"/>
  <c r="H250" i="3"/>
  <c r="M249" i="3"/>
  <c r="H249" i="3"/>
  <c r="M248" i="3"/>
  <c r="H248" i="3"/>
  <c r="M247" i="3"/>
  <c r="H247" i="3"/>
  <c r="H246" i="3"/>
  <c r="M245" i="3"/>
  <c r="H245" i="3"/>
  <c r="M244" i="3"/>
  <c r="H244" i="3"/>
  <c r="M243" i="3"/>
  <c r="H243" i="3"/>
  <c r="M242" i="3"/>
  <c r="H242" i="3"/>
  <c r="M241" i="3"/>
  <c r="H241" i="3"/>
  <c r="M240" i="3"/>
  <c r="H240" i="3"/>
  <c r="M239" i="3"/>
  <c r="H239" i="3"/>
  <c r="M238" i="3"/>
  <c r="H238" i="3"/>
  <c r="M237" i="3"/>
  <c r="H237" i="3"/>
  <c r="M236" i="3"/>
  <c r="H236" i="3"/>
  <c r="M235" i="3"/>
  <c r="H235" i="3"/>
  <c r="H234" i="3"/>
  <c r="M233" i="3"/>
  <c r="H233" i="3"/>
  <c r="M232" i="3"/>
  <c r="H232" i="3"/>
  <c r="M231" i="3"/>
  <c r="H231" i="3"/>
  <c r="M230" i="3"/>
  <c r="H230" i="3"/>
  <c r="M229" i="3"/>
  <c r="H229" i="3"/>
  <c r="M228" i="3"/>
  <c r="H228" i="3"/>
  <c r="M227" i="3"/>
  <c r="H227" i="3"/>
  <c r="M226" i="3"/>
  <c r="H226" i="3"/>
  <c r="M225" i="3"/>
  <c r="H225" i="3"/>
  <c r="M224" i="3"/>
  <c r="H224" i="3"/>
  <c r="M223" i="3"/>
  <c r="H223" i="3"/>
  <c r="H222" i="3"/>
  <c r="M221" i="3"/>
  <c r="H221" i="3"/>
  <c r="M220" i="3"/>
  <c r="H220" i="3"/>
  <c r="M219" i="3"/>
  <c r="H219" i="3"/>
  <c r="M218" i="3"/>
  <c r="H218" i="3"/>
  <c r="M217" i="3"/>
  <c r="H217" i="3"/>
  <c r="M216" i="3"/>
  <c r="H216" i="3"/>
  <c r="M215" i="3"/>
  <c r="H215" i="3"/>
  <c r="M214" i="3"/>
  <c r="H214" i="3"/>
  <c r="M213" i="3"/>
  <c r="H213" i="3"/>
  <c r="M212" i="3"/>
  <c r="H212" i="3"/>
  <c r="M211" i="3"/>
  <c r="H211" i="3"/>
  <c r="H210" i="3"/>
  <c r="M209" i="3"/>
  <c r="H209" i="3"/>
  <c r="M208" i="3"/>
  <c r="H208" i="3"/>
  <c r="M207" i="3"/>
  <c r="H207" i="3"/>
  <c r="M206" i="3"/>
  <c r="H206" i="3"/>
  <c r="M205" i="3"/>
  <c r="H205" i="3"/>
  <c r="M204" i="3"/>
  <c r="H204" i="3"/>
  <c r="M203" i="3"/>
  <c r="H203" i="3"/>
  <c r="M202" i="3"/>
  <c r="H202" i="3"/>
  <c r="M201" i="3"/>
  <c r="H201" i="3"/>
  <c r="M200" i="3"/>
  <c r="H200" i="3"/>
  <c r="M199" i="3"/>
  <c r="H199" i="3"/>
  <c r="H198" i="3"/>
  <c r="M197" i="3"/>
  <c r="H197" i="3"/>
  <c r="M196" i="3"/>
  <c r="H196" i="3"/>
  <c r="M195" i="3"/>
  <c r="H195" i="3"/>
  <c r="M194" i="3"/>
  <c r="H194" i="3"/>
  <c r="M193" i="3"/>
  <c r="H193" i="3"/>
  <c r="M192" i="3"/>
  <c r="H192" i="3"/>
  <c r="M191" i="3"/>
  <c r="H191" i="3"/>
  <c r="M190" i="3"/>
  <c r="H190" i="3"/>
  <c r="M189" i="3"/>
  <c r="H189" i="3"/>
  <c r="M188" i="3"/>
  <c r="H188" i="3"/>
  <c r="M187" i="3"/>
  <c r="H187" i="3"/>
  <c r="H186" i="3"/>
  <c r="M185" i="3"/>
  <c r="H185" i="3"/>
  <c r="M184" i="3"/>
  <c r="H184" i="3"/>
  <c r="M183" i="3"/>
  <c r="H183" i="3"/>
  <c r="M182" i="3"/>
  <c r="H182" i="3"/>
  <c r="M181" i="3"/>
  <c r="H181" i="3"/>
  <c r="M180" i="3"/>
  <c r="H180" i="3"/>
  <c r="M179" i="3"/>
  <c r="H179" i="3"/>
  <c r="M178" i="3"/>
  <c r="H178" i="3"/>
  <c r="M177" i="3"/>
  <c r="H177" i="3"/>
  <c r="M176" i="3"/>
  <c r="H176" i="3"/>
  <c r="M175" i="3"/>
  <c r="H175" i="3"/>
  <c r="H174" i="3"/>
  <c r="M173" i="3"/>
  <c r="H173" i="3"/>
  <c r="M172" i="3"/>
  <c r="H172" i="3"/>
  <c r="M171" i="3"/>
  <c r="H171" i="3"/>
  <c r="M170" i="3"/>
  <c r="H170" i="3"/>
  <c r="M169" i="3"/>
  <c r="H169" i="3"/>
  <c r="M168" i="3"/>
  <c r="H168" i="3"/>
  <c r="M167" i="3"/>
  <c r="H167" i="3"/>
  <c r="M166" i="3"/>
  <c r="H166" i="3"/>
  <c r="M165" i="3"/>
  <c r="H165" i="3"/>
  <c r="M164" i="3"/>
  <c r="H164" i="3"/>
  <c r="M163" i="3"/>
  <c r="H163" i="3"/>
  <c r="H162" i="3"/>
  <c r="M161" i="3"/>
  <c r="H161" i="3"/>
  <c r="M160" i="3"/>
  <c r="H160" i="3"/>
  <c r="M159" i="3"/>
  <c r="H159" i="3"/>
  <c r="M158" i="3"/>
  <c r="H158" i="3"/>
  <c r="M157" i="3"/>
  <c r="H157" i="3"/>
  <c r="M156" i="3"/>
  <c r="H156" i="3"/>
  <c r="M155" i="3"/>
  <c r="H155" i="3"/>
  <c r="M154" i="3"/>
  <c r="H154" i="3"/>
  <c r="M153" i="3"/>
  <c r="H153" i="3"/>
  <c r="M152" i="3"/>
  <c r="H152" i="3"/>
  <c r="M151" i="3"/>
  <c r="H151" i="3"/>
  <c r="H150" i="3"/>
  <c r="M149" i="3"/>
  <c r="H149" i="3"/>
  <c r="M148" i="3"/>
  <c r="H148" i="3"/>
  <c r="M147" i="3"/>
  <c r="H147" i="3"/>
  <c r="M146" i="3"/>
  <c r="H146" i="3"/>
  <c r="M145" i="3"/>
  <c r="H145" i="3"/>
  <c r="M144" i="3"/>
  <c r="H144" i="3"/>
  <c r="M143" i="3"/>
  <c r="H143" i="3"/>
  <c r="M142" i="3"/>
  <c r="H142" i="3"/>
  <c r="M141" i="3"/>
  <c r="H141" i="3"/>
  <c r="M140" i="3"/>
  <c r="H140" i="3"/>
  <c r="M139" i="3"/>
  <c r="H139" i="3"/>
  <c r="H138" i="3"/>
  <c r="M137" i="3"/>
  <c r="H137" i="3"/>
  <c r="M136" i="3"/>
  <c r="H136" i="3"/>
  <c r="M135" i="3"/>
  <c r="H135" i="3"/>
  <c r="M134" i="3"/>
  <c r="H134" i="3"/>
  <c r="M133" i="3"/>
  <c r="H133" i="3"/>
  <c r="M132" i="3"/>
  <c r="H132" i="3"/>
  <c r="M131" i="3"/>
  <c r="H131" i="3"/>
  <c r="M130" i="3"/>
  <c r="H130" i="3"/>
  <c r="M129" i="3"/>
  <c r="H129" i="3"/>
  <c r="M128" i="3"/>
  <c r="H128" i="3"/>
  <c r="M127" i="3"/>
  <c r="H127" i="3"/>
  <c r="H126" i="3"/>
  <c r="M125" i="3"/>
  <c r="H125" i="3"/>
  <c r="M124" i="3"/>
  <c r="H124" i="3"/>
  <c r="M123" i="3"/>
  <c r="H123" i="3"/>
  <c r="M122" i="3"/>
  <c r="H122" i="3"/>
  <c r="M121" i="3"/>
  <c r="H121" i="3"/>
  <c r="M120" i="3"/>
  <c r="H120" i="3"/>
  <c r="M119" i="3"/>
  <c r="H119" i="3"/>
  <c r="M118" i="3"/>
  <c r="H118" i="3"/>
  <c r="M117" i="3"/>
  <c r="H117" i="3"/>
  <c r="M116" i="3"/>
  <c r="H116" i="3"/>
  <c r="M115" i="3"/>
  <c r="H115" i="3"/>
  <c r="H114" i="3"/>
  <c r="M113" i="3"/>
  <c r="H113" i="3"/>
  <c r="M112" i="3"/>
  <c r="H112" i="3"/>
  <c r="M111" i="3"/>
  <c r="H111" i="3"/>
  <c r="M110" i="3"/>
  <c r="H110" i="3"/>
  <c r="M109" i="3"/>
  <c r="H109" i="3"/>
  <c r="M108" i="3"/>
  <c r="H108" i="3"/>
  <c r="M107" i="3"/>
  <c r="H107" i="3"/>
  <c r="M106" i="3"/>
  <c r="H106" i="3"/>
  <c r="M105" i="3"/>
  <c r="H105" i="3"/>
  <c r="M104" i="3"/>
  <c r="H104" i="3"/>
  <c r="M103" i="3"/>
  <c r="H103" i="3"/>
  <c r="H102" i="3"/>
  <c r="M101" i="3"/>
  <c r="H101" i="3"/>
  <c r="M100" i="3"/>
  <c r="H100" i="3"/>
  <c r="M99" i="3"/>
  <c r="H99" i="3"/>
  <c r="M98" i="3"/>
  <c r="H98" i="3"/>
  <c r="M97" i="3"/>
  <c r="H97" i="3"/>
  <c r="M96" i="3"/>
  <c r="H96" i="3"/>
  <c r="M95" i="3"/>
  <c r="H95" i="3"/>
  <c r="M94" i="3"/>
  <c r="H94" i="3"/>
  <c r="M93" i="3"/>
  <c r="H93" i="3"/>
  <c r="M92" i="3"/>
  <c r="H92" i="3"/>
  <c r="M91" i="3"/>
  <c r="H91" i="3"/>
  <c r="H90" i="3"/>
  <c r="M89" i="3"/>
  <c r="H89" i="3"/>
  <c r="M88" i="3"/>
  <c r="H88" i="3"/>
  <c r="M87" i="3"/>
  <c r="H87" i="3"/>
  <c r="M86" i="3"/>
  <c r="H86" i="3"/>
  <c r="M85" i="3"/>
  <c r="H85" i="3"/>
  <c r="M84" i="3"/>
  <c r="H84" i="3"/>
  <c r="M83" i="3"/>
  <c r="H83" i="3"/>
  <c r="M82" i="3"/>
  <c r="H82" i="3"/>
  <c r="M81" i="3"/>
  <c r="H81" i="3"/>
  <c r="M80" i="3"/>
  <c r="H80" i="3"/>
  <c r="M79" i="3"/>
  <c r="H79" i="3"/>
  <c r="H78" i="3"/>
  <c r="M77" i="3"/>
  <c r="H77" i="3"/>
  <c r="M76" i="3"/>
  <c r="H76" i="3"/>
  <c r="M75" i="3"/>
  <c r="H75" i="3"/>
  <c r="M74" i="3"/>
  <c r="H74" i="3"/>
  <c r="M73" i="3"/>
  <c r="H73" i="3"/>
  <c r="M72" i="3"/>
  <c r="H72" i="3"/>
  <c r="M71" i="3"/>
  <c r="H71" i="3"/>
  <c r="M70" i="3"/>
  <c r="H70" i="3"/>
  <c r="M69" i="3"/>
  <c r="H69" i="3"/>
  <c r="M68" i="3"/>
  <c r="H68" i="3"/>
  <c r="M67" i="3"/>
  <c r="H67" i="3"/>
  <c r="H66" i="3"/>
  <c r="M65" i="3"/>
  <c r="H65" i="3"/>
  <c r="M64" i="3"/>
  <c r="H64" i="3"/>
  <c r="M63" i="3"/>
  <c r="H63" i="3"/>
  <c r="M62" i="3"/>
  <c r="H62" i="3"/>
  <c r="M61" i="3"/>
  <c r="H61" i="3"/>
  <c r="M60" i="3"/>
  <c r="H60" i="3"/>
  <c r="M59" i="3"/>
  <c r="H59" i="3"/>
  <c r="M58" i="3"/>
  <c r="H58" i="3"/>
  <c r="M57" i="3"/>
  <c r="H57" i="3"/>
  <c r="M56" i="3"/>
  <c r="H56" i="3"/>
  <c r="M55" i="3"/>
  <c r="H55" i="3"/>
  <c r="H54" i="3"/>
  <c r="M53" i="3"/>
  <c r="H53" i="3"/>
  <c r="M52" i="3"/>
  <c r="H52" i="3"/>
  <c r="M51" i="3"/>
  <c r="H51" i="3"/>
  <c r="M50" i="3"/>
  <c r="H50" i="3"/>
  <c r="M49" i="3"/>
  <c r="H49" i="3"/>
  <c r="M48" i="3"/>
  <c r="H48" i="3"/>
  <c r="M47" i="3"/>
  <c r="H47" i="3"/>
  <c r="M46" i="3"/>
  <c r="H46" i="3"/>
  <c r="M45" i="3"/>
  <c r="H45" i="3"/>
  <c r="M44" i="3"/>
  <c r="H44" i="3"/>
  <c r="M43" i="3"/>
  <c r="H43" i="3"/>
  <c r="H42" i="3"/>
  <c r="M41" i="3"/>
  <c r="H41" i="3"/>
  <c r="M40" i="3"/>
  <c r="H40" i="3"/>
  <c r="M39" i="3"/>
  <c r="H39" i="3"/>
  <c r="M38" i="3"/>
  <c r="H38" i="3"/>
  <c r="M37" i="3"/>
  <c r="H37" i="3"/>
  <c r="M36" i="3"/>
  <c r="H36" i="3"/>
  <c r="M35" i="3"/>
  <c r="H35" i="3"/>
  <c r="M34" i="3"/>
  <c r="H34" i="3"/>
  <c r="N33" i="3"/>
  <c r="M33" i="3"/>
  <c r="L33" i="3"/>
  <c r="K33" i="3"/>
  <c r="J33" i="3"/>
  <c r="I33" i="3"/>
  <c r="H33" i="3"/>
  <c r="N32" i="3"/>
  <c r="M32" i="3"/>
  <c r="L32" i="3"/>
  <c r="K32" i="3"/>
  <c r="J32" i="3"/>
  <c r="I32" i="3"/>
  <c r="H32" i="3"/>
  <c r="N31" i="3"/>
  <c r="M31" i="3"/>
  <c r="L31" i="3"/>
  <c r="K31" i="3"/>
  <c r="J31" i="3"/>
  <c r="I31" i="3"/>
  <c r="H31" i="3"/>
  <c r="N30" i="3"/>
  <c r="M30" i="3"/>
  <c r="L30" i="3"/>
  <c r="K30" i="3"/>
  <c r="J30" i="3"/>
  <c r="I30" i="3"/>
  <c r="H30" i="3"/>
  <c r="P3" i="2"/>
  <c r="B36" i="4" s="1"/>
  <c r="E23" i="4"/>
  <c r="B23" i="4" s="1"/>
  <c r="D14" i="2"/>
  <c r="P14" i="2" l="1"/>
  <c r="J29" i="3" s="1"/>
  <c r="P13" i="2"/>
  <c r="L24" i="2" s="1"/>
  <c r="P12" i="2"/>
  <c r="J24" i="2" s="1"/>
  <c r="O8" i="2"/>
  <c r="P8" i="2" s="1"/>
  <c r="P7" i="2"/>
  <c r="I24" i="2" s="1"/>
  <c r="P5" i="2"/>
  <c r="O24" i="2" s="1"/>
  <c r="K29" i="3" l="1"/>
  <c r="D49" i="4"/>
  <c r="E49" i="4" s="1"/>
  <c r="B49" i="4" s="1"/>
  <c r="N29" i="3"/>
  <c r="D52" i="4"/>
  <c r="D50" i="4"/>
  <c r="L29" i="3"/>
  <c r="F7" i="2"/>
  <c r="E4" i="3"/>
  <c r="E5" i="3"/>
  <c r="A4" i="3"/>
  <c r="A5" i="3"/>
  <c r="E52" i="4" l="1"/>
  <c r="B52" i="4" s="1"/>
  <c r="E50" i="4"/>
  <c r="B50" i="4" s="1"/>
  <c r="O10" i="2"/>
  <c r="K24" i="2" s="1"/>
  <c r="M29" i="3" s="1"/>
  <c r="N4" i="2"/>
  <c r="P4" i="2" s="1"/>
  <c r="H29" i="3" l="1"/>
  <c r="M24" i="2"/>
  <c r="P10" i="2"/>
  <c r="Y2" i="2"/>
  <c r="K7" i="7"/>
  <c r="F8" i="7"/>
  <c r="F7" i="7"/>
  <c r="Z2" i="2" l="1"/>
  <c r="P31" i="3"/>
  <c r="P30" i="3"/>
  <c r="B30" i="5" l="1"/>
  <c r="B26" i="5"/>
  <c r="B17" i="5"/>
  <c r="B16" i="5"/>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F20" i="7"/>
  <c r="F19" i="7"/>
  <c r="F18" i="7"/>
  <c r="D9" i="7"/>
  <c r="K8" i="7"/>
  <c r="I24" i="7" s="1"/>
  <c r="H8" i="7"/>
  <c r="D8" i="7"/>
  <c r="Q7" i="7"/>
  <c r="Q8" i="7" s="1"/>
  <c r="H7" i="7"/>
  <c r="D7" i="7"/>
  <c r="E24" i="7" s="1"/>
  <c r="F6" i="7"/>
  <c r="D6" i="7" s="1"/>
  <c r="D5" i="7"/>
  <c r="K4" i="7"/>
  <c r="D4" i="7"/>
  <c r="B22" i="4"/>
  <c r="F21" i="7" l="1"/>
  <c r="K26" i="7"/>
  <c r="A26" i="7"/>
  <c r="F11" i="7"/>
  <c r="K25" i="7"/>
  <c r="F3" i="2"/>
  <c r="E20" i="2" l="1"/>
  <c r="F10" i="2"/>
  <c r="F3" i="7"/>
  <c r="F10" i="7" s="1"/>
  <c r="A27" i="7"/>
  <c r="F13" i="7"/>
  <c r="H25" i="7"/>
  <c r="F15" i="2"/>
  <c r="F18" i="2"/>
  <c r="D18" i="2" s="1"/>
  <c r="F15" i="7" l="1"/>
  <c r="D3" i="7"/>
  <c r="B24" i="7" s="1"/>
  <c r="B108" i="7" s="1"/>
  <c r="C108" i="7" s="1"/>
  <c r="L28" i="7"/>
  <c r="K28" i="7"/>
  <c r="A28" i="7"/>
  <c r="B65" i="7" l="1"/>
  <c r="C65" i="7" s="1"/>
  <c r="B47" i="7"/>
  <c r="C47" i="7" s="1"/>
  <c r="B84" i="7"/>
  <c r="C84" i="7" s="1"/>
  <c r="B43" i="7"/>
  <c r="C43" i="7" s="1"/>
  <c r="B92" i="7"/>
  <c r="C92" i="7" s="1"/>
  <c r="B91" i="7"/>
  <c r="C91" i="7" s="1"/>
  <c r="B94" i="7"/>
  <c r="C94" i="7" s="1"/>
  <c r="B98" i="7"/>
  <c r="C98" i="7" s="1"/>
  <c r="B28" i="7"/>
  <c r="C28" i="7" s="1"/>
  <c r="B73" i="7"/>
  <c r="C73" i="7" s="1"/>
  <c r="B81" i="7"/>
  <c r="C81" i="7" s="1"/>
  <c r="B51" i="7"/>
  <c r="C51" i="7" s="1"/>
  <c r="B102" i="7"/>
  <c r="C102" i="7" s="1"/>
  <c r="B99" i="7"/>
  <c r="C99" i="7" s="1"/>
  <c r="B55" i="7"/>
  <c r="C55" i="7" s="1"/>
  <c r="B100" i="7"/>
  <c r="C100" i="7" s="1"/>
  <c r="B76" i="7"/>
  <c r="C76" i="7" s="1"/>
  <c r="B104" i="7"/>
  <c r="C104" i="7" s="1"/>
  <c r="B66" i="7"/>
  <c r="C66" i="7" s="1"/>
  <c r="B85" i="7"/>
  <c r="C85" i="7" s="1"/>
  <c r="B71" i="7"/>
  <c r="C71" i="7" s="1"/>
  <c r="B49" i="7"/>
  <c r="C49" i="7" s="1"/>
  <c r="B50" i="7"/>
  <c r="C50" i="7" s="1"/>
  <c r="B35" i="7"/>
  <c r="C35" i="7" s="1"/>
  <c r="B48" i="7"/>
  <c r="C48" i="7" s="1"/>
  <c r="B38" i="7"/>
  <c r="C38" i="7" s="1"/>
  <c r="B46" i="7"/>
  <c r="C46" i="7" s="1"/>
  <c r="B93" i="7"/>
  <c r="C93" i="7" s="1"/>
  <c r="B63" i="7"/>
  <c r="C63" i="7" s="1"/>
  <c r="B72" i="7"/>
  <c r="C72" i="7" s="1"/>
  <c r="B79" i="7"/>
  <c r="C79" i="7" s="1"/>
  <c r="B68" i="7"/>
  <c r="C68" i="7" s="1"/>
  <c r="B107" i="7"/>
  <c r="C107" i="7" s="1"/>
  <c r="B42" i="7"/>
  <c r="C42" i="7" s="1"/>
  <c r="B101" i="7"/>
  <c r="C101" i="7" s="1"/>
  <c r="B95" i="7"/>
  <c r="C95" i="7" s="1"/>
  <c r="B37" i="7"/>
  <c r="C37" i="7" s="1"/>
  <c r="B30" i="7"/>
  <c r="C30" i="7" s="1"/>
  <c r="B75" i="7"/>
  <c r="C75" i="7" s="1"/>
  <c r="B77" i="7"/>
  <c r="C77" i="7" s="1"/>
  <c r="B58" i="7"/>
  <c r="C58" i="7" s="1"/>
  <c r="B74" i="7"/>
  <c r="C74" i="7" s="1"/>
  <c r="B105" i="7"/>
  <c r="C105" i="7" s="1"/>
  <c r="B26" i="7"/>
  <c r="C26" i="7" s="1"/>
  <c r="B78" i="7"/>
  <c r="C78" i="7" s="1"/>
  <c r="B25" i="7"/>
  <c r="D25" i="7" s="1"/>
  <c r="C24" i="7"/>
  <c r="B45" i="7"/>
  <c r="C45" i="7" s="1"/>
  <c r="B29" i="7"/>
  <c r="C29" i="7" s="1"/>
  <c r="B61" i="7"/>
  <c r="C61" i="7" s="1"/>
  <c r="B64" i="7"/>
  <c r="C64" i="7" s="1"/>
  <c r="B59" i="7"/>
  <c r="C59" i="7" s="1"/>
  <c r="B80" i="7"/>
  <c r="C80" i="7" s="1"/>
  <c r="B34" i="7"/>
  <c r="C34" i="7" s="1"/>
  <c r="B86" i="7"/>
  <c r="C86" i="7" s="1"/>
  <c r="B54" i="7"/>
  <c r="C54" i="7" s="1"/>
  <c r="B39" i="7"/>
  <c r="C39" i="7" s="1"/>
  <c r="B69" i="7"/>
  <c r="C69" i="7" s="1"/>
  <c r="B32" i="7"/>
  <c r="C32" i="7" s="1"/>
  <c r="B83" i="7"/>
  <c r="C83" i="7" s="1"/>
  <c r="B40" i="7"/>
  <c r="C40" i="7" s="1"/>
  <c r="B89" i="7"/>
  <c r="C89" i="7" s="1"/>
  <c r="B106" i="7"/>
  <c r="C106" i="7" s="1"/>
  <c r="B97" i="7"/>
  <c r="C97" i="7" s="1"/>
  <c r="B53" i="7"/>
  <c r="C53" i="7" s="1"/>
  <c r="B82" i="7"/>
  <c r="C82" i="7" s="1"/>
  <c r="B103" i="7"/>
  <c r="C103" i="7" s="1"/>
  <c r="B57" i="7"/>
  <c r="C57" i="7" s="1"/>
  <c r="B31" i="7"/>
  <c r="C31" i="7" s="1"/>
  <c r="B52" i="7"/>
  <c r="C52" i="7" s="1"/>
  <c r="B56" i="7"/>
  <c r="C56" i="7" s="1"/>
  <c r="B87" i="7"/>
  <c r="C87" i="7" s="1"/>
  <c r="B44" i="7"/>
  <c r="C44" i="7" s="1"/>
  <c r="B88" i="7"/>
  <c r="C88" i="7" s="1"/>
  <c r="B67" i="7"/>
  <c r="C67" i="7" s="1"/>
  <c r="B96" i="7"/>
  <c r="C96" i="7" s="1"/>
  <c r="B70" i="7"/>
  <c r="C70" i="7" s="1"/>
  <c r="B27" i="7"/>
  <c r="C27" i="7" s="1"/>
  <c r="B41" i="7"/>
  <c r="C41" i="7" s="1"/>
  <c r="B36" i="7"/>
  <c r="C36" i="7" s="1"/>
  <c r="B90" i="7"/>
  <c r="C90" i="7" s="1"/>
  <c r="B60" i="7"/>
  <c r="C60" i="7" s="1"/>
  <c r="B62" i="7"/>
  <c r="C62" i="7" s="1"/>
  <c r="B33" i="7"/>
  <c r="C33" i="7" s="1"/>
  <c r="L29" i="7"/>
  <c r="A29" i="7"/>
  <c r="K29" i="7"/>
  <c r="D8" i="2"/>
  <c r="D3" i="2"/>
  <c r="B24" i="2" s="1"/>
  <c r="A30" i="3"/>
  <c r="E10" i="3"/>
  <c r="E7" i="3"/>
  <c r="E8" i="3" s="1"/>
  <c r="W7" i="2"/>
  <c r="W8" i="2" s="1"/>
  <c r="F6" i="2"/>
  <c r="D9" i="2"/>
  <c r="D5" i="2"/>
  <c r="D4" i="2"/>
  <c r="D26" i="7" l="1"/>
  <c r="D30" i="7"/>
  <c r="D28" i="7"/>
  <c r="D27" i="7"/>
  <c r="D35" i="7"/>
  <c r="C25" i="7"/>
  <c r="G25" i="7" s="1"/>
  <c r="F25" i="7" s="1"/>
  <c r="E25" i="7" s="1"/>
  <c r="D36" i="7"/>
  <c r="D29" i="7"/>
  <c r="D31" i="7"/>
  <c r="D32" i="7"/>
  <c r="D34" i="7"/>
  <c r="D33" i="7"/>
  <c r="P26" i="2"/>
  <c r="O31" i="3" s="1"/>
  <c r="P25" i="2"/>
  <c r="O30" i="3" s="1"/>
  <c r="B25" i="2"/>
  <c r="A30" i="7"/>
  <c r="I29" i="7"/>
  <c r="L30" i="7"/>
  <c r="K30" i="7"/>
  <c r="D6" i="2"/>
  <c r="A26" i="2"/>
  <c r="D7" i="2"/>
  <c r="E6" i="3"/>
  <c r="C24" i="2"/>
  <c r="G26" i="7" l="1"/>
  <c r="F26" i="7" s="1"/>
  <c r="H26" i="7" s="1"/>
  <c r="K27" i="7" s="1"/>
  <c r="A31" i="3"/>
  <c r="Q27" i="2"/>
  <c r="P27" i="2"/>
  <c r="I29" i="3"/>
  <c r="P5" i="3" s="1"/>
  <c r="B26" i="2"/>
  <c r="K31" i="7"/>
  <c r="I30" i="7"/>
  <c r="A31" i="7"/>
  <c r="L31" i="7"/>
  <c r="A27" i="2"/>
  <c r="E24" i="2"/>
  <c r="B29" i="3"/>
  <c r="C25" i="2"/>
  <c r="S25" i="2" s="1"/>
  <c r="T25" i="2" s="1"/>
  <c r="T24" i="2" s="1"/>
  <c r="D25" i="2"/>
  <c r="H24" i="2" l="1"/>
  <c r="R24" i="2" s="1"/>
  <c r="Q28" i="2"/>
  <c r="P33" i="3" s="1"/>
  <c r="P28" i="2"/>
  <c r="O33" i="3" s="1"/>
  <c r="B27" i="2"/>
  <c r="E26" i="7"/>
  <c r="L32" i="7"/>
  <c r="A32" i="7"/>
  <c r="K32" i="7"/>
  <c r="I31" i="7"/>
  <c r="A32" i="3"/>
  <c r="A28" i="2"/>
  <c r="N29" i="2" s="1"/>
  <c r="B30" i="3"/>
  <c r="G25" i="2"/>
  <c r="F11" i="2"/>
  <c r="D29" i="3"/>
  <c r="C30" i="3"/>
  <c r="C26" i="2"/>
  <c r="D26" i="2"/>
  <c r="C31" i="3" s="1"/>
  <c r="P29" i="2" l="1"/>
  <c r="O34" i="3" s="1"/>
  <c r="Q29" i="2"/>
  <c r="P34" i="3" s="1"/>
  <c r="B28" i="2"/>
  <c r="C28" i="2" s="1"/>
  <c r="B31" i="3"/>
  <c r="S26" i="2"/>
  <c r="T26" i="2" s="1"/>
  <c r="G27" i="7"/>
  <c r="K33" i="7"/>
  <c r="I32" i="7"/>
  <c r="L33" i="7"/>
  <c r="A33" i="7"/>
  <c r="A29" i="2"/>
  <c r="N30" i="2" s="1"/>
  <c r="A33" i="3"/>
  <c r="H25" i="2"/>
  <c r="R25" i="2" s="1"/>
  <c r="F13" i="2"/>
  <c r="F25" i="2" s="1"/>
  <c r="D27" i="2"/>
  <c r="C32" i="3" s="1"/>
  <c r="C27" i="2"/>
  <c r="G30" i="3"/>
  <c r="Q30" i="2" l="1"/>
  <c r="P35" i="3" s="1"/>
  <c r="M29" i="2"/>
  <c r="I34" i="3" s="1"/>
  <c r="J29" i="2"/>
  <c r="L34" i="3" s="1"/>
  <c r="P30" i="2"/>
  <c r="O35" i="3" s="1"/>
  <c r="J34" i="3"/>
  <c r="L29" i="2"/>
  <c r="N34" i="3" s="1"/>
  <c r="I29" i="2"/>
  <c r="K34" i="3" s="1"/>
  <c r="E30" i="3"/>
  <c r="F27" i="7"/>
  <c r="E27" i="7" s="1"/>
  <c r="L27" i="7"/>
  <c r="B29" i="2"/>
  <c r="C29" i="2" s="1"/>
  <c r="B32" i="3"/>
  <c r="S27" i="2"/>
  <c r="T27" i="2" s="1"/>
  <c r="A34" i="7"/>
  <c r="K34" i="7"/>
  <c r="I33" i="7"/>
  <c r="L34" i="7"/>
  <c r="A30" i="2"/>
  <c r="N31" i="2" s="1"/>
  <c r="A34" i="3"/>
  <c r="E25" i="2"/>
  <c r="F30" i="3"/>
  <c r="D28" i="2"/>
  <c r="C33" i="3" s="1"/>
  <c r="G26" i="2" l="1"/>
  <c r="F26" i="2" s="1"/>
  <c r="P31" i="2"/>
  <c r="O36" i="3" s="1"/>
  <c r="J35" i="3"/>
  <c r="L30" i="2"/>
  <c r="N35" i="3" s="1"/>
  <c r="I30" i="2"/>
  <c r="K35" i="3" s="1"/>
  <c r="Q31" i="2"/>
  <c r="P36" i="3" s="1"/>
  <c r="M30" i="2"/>
  <c r="I35" i="3" s="1"/>
  <c r="J30" i="2"/>
  <c r="L35" i="3" s="1"/>
  <c r="S29" i="2"/>
  <c r="T29" i="2" s="1"/>
  <c r="H27" i="7"/>
  <c r="B30" i="2"/>
  <c r="C30" i="2" s="1"/>
  <c r="G28" i="7"/>
  <c r="K35" i="7"/>
  <c r="I34" i="7"/>
  <c r="A35" i="7"/>
  <c r="L35" i="7"/>
  <c r="A31" i="2"/>
  <c r="N32" i="2" s="1"/>
  <c r="A35" i="3"/>
  <c r="D29" i="2"/>
  <c r="C34" i="3" s="1"/>
  <c r="D30" i="3"/>
  <c r="Q32" i="2" l="1"/>
  <c r="P37" i="3" s="1"/>
  <c r="M31" i="2"/>
  <c r="I36" i="3" s="1"/>
  <c r="J31" i="2"/>
  <c r="L36" i="3" s="1"/>
  <c r="P32" i="2"/>
  <c r="O37" i="3" s="1"/>
  <c r="J36" i="3"/>
  <c r="L31" i="2"/>
  <c r="N36" i="3" s="1"/>
  <c r="I31" i="2"/>
  <c r="K36" i="3" s="1"/>
  <c r="B34" i="3"/>
  <c r="S30" i="2"/>
  <c r="T30" i="2" s="1"/>
  <c r="B31" i="2"/>
  <c r="C31" i="2" s="1"/>
  <c r="F28" i="7"/>
  <c r="K36" i="7"/>
  <c r="A36" i="7"/>
  <c r="I35" i="7"/>
  <c r="L36" i="7"/>
  <c r="A32" i="2"/>
  <c r="A36" i="3"/>
  <c r="H26" i="2"/>
  <c r="G31" i="3"/>
  <c r="D30" i="2"/>
  <c r="C35" i="3" s="1"/>
  <c r="A33" i="2" l="1"/>
  <c r="N34" i="2" s="1"/>
  <c r="N33" i="2"/>
  <c r="J38" i="3" s="1"/>
  <c r="P33" i="2"/>
  <c r="O38" i="3" s="1"/>
  <c r="J37" i="3"/>
  <c r="L32" i="2"/>
  <c r="N37" i="3" s="1"/>
  <c r="I32" i="2"/>
  <c r="K37" i="3" s="1"/>
  <c r="Q33" i="2"/>
  <c r="P38" i="3" s="1"/>
  <c r="M32" i="2"/>
  <c r="I37" i="3" s="1"/>
  <c r="J32" i="2"/>
  <c r="L37" i="3" s="1"/>
  <c r="O32" i="3"/>
  <c r="R26" i="2"/>
  <c r="B35" i="3"/>
  <c r="S31" i="2"/>
  <c r="T31" i="2" s="1"/>
  <c r="B32" i="2"/>
  <c r="C32" i="2" s="1"/>
  <c r="H28" i="7"/>
  <c r="E28" i="7"/>
  <c r="I36" i="7"/>
  <c r="A37" i="7"/>
  <c r="A37" i="3"/>
  <c r="E31" i="3"/>
  <c r="D31" i="2"/>
  <c r="C36" i="3" s="1"/>
  <c r="F31" i="3"/>
  <c r="E26" i="2"/>
  <c r="L33" i="2" l="1"/>
  <c r="N38" i="3" s="1"/>
  <c r="P34" i="2"/>
  <c r="O39" i="3" s="1"/>
  <c r="I33" i="2"/>
  <c r="K38" i="3" s="1"/>
  <c r="B33" i="2"/>
  <c r="C33" i="2" s="1"/>
  <c r="S33" i="2" s="1"/>
  <c r="T33" i="2" s="1"/>
  <c r="J33" i="2"/>
  <c r="L38" i="3" s="1"/>
  <c r="A34" i="2"/>
  <c r="N35" i="2" s="1"/>
  <c r="A38" i="3"/>
  <c r="Q34" i="2"/>
  <c r="P39" i="3" s="1"/>
  <c r="M33" i="2"/>
  <c r="I38" i="3" s="1"/>
  <c r="G27" i="2"/>
  <c r="F27" i="2" s="1"/>
  <c r="J39" i="3"/>
  <c r="B36" i="3"/>
  <c r="S32" i="2"/>
  <c r="T32" i="2" s="1"/>
  <c r="G29" i="7"/>
  <c r="L38" i="7"/>
  <c r="I38" i="7"/>
  <c r="I37" i="7"/>
  <c r="D37" i="7"/>
  <c r="A38" i="7"/>
  <c r="K38" i="7"/>
  <c r="D31" i="3"/>
  <c r="D32" i="2"/>
  <c r="C37" i="3" s="1"/>
  <c r="I34" i="2" l="1"/>
  <c r="K39" i="3" s="1"/>
  <c r="M34" i="2"/>
  <c r="I39" i="3" s="1"/>
  <c r="Q35" i="2"/>
  <c r="P40" i="3" s="1"/>
  <c r="A39" i="3"/>
  <c r="A35" i="2"/>
  <c r="N36" i="2" s="1"/>
  <c r="B34" i="2"/>
  <c r="C34" i="2" s="1"/>
  <c r="S34" i="2" s="1"/>
  <c r="T34" i="2" s="1"/>
  <c r="L34" i="2"/>
  <c r="N39" i="3" s="1"/>
  <c r="P35" i="2"/>
  <c r="O40" i="3" s="1"/>
  <c r="J34" i="2"/>
  <c r="L39" i="3" s="1"/>
  <c r="P32" i="3"/>
  <c r="J40" i="3"/>
  <c r="B37" i="3"/>
  <c r="F29" i="7"/>
  <c r="I39" i="7"/>
  <c r="D38" i="7"/>
  <c r="L39" i="7"/>
  <c r="A39" i="7"/>
  <c r="K39" i="7"/>
  <c r="D33" i="2"/>
  <c r="C38" i="3" s="1"/>
  <c r="B38" i="3"/>
  <c r="H27" i="2"/>
  <c r="R27" i="2" s="1"/>
  <c r="G32" i="3"/>
  <c r="I35" i="2" l="1"/>
  <c r="K40" i="3" s="1"/>
  <c r="L35" i="2"/>
  <c r="N40" i="3" s="1"/>
  <c r="P36" i="2"/>
  <c r="O41" i="3" s="1"/>
  <c r="J35" i="2"/>
  <c r="L40" i="3" s="1"/>
  <c r="B35" i="2"/>
  <c r="C35" i="2" s="1"/>
  <c r="S35" i="2" s="1"/>
  <c r="T35" i="2" s="1"/>
  <c r="M35" i="2"/>
  <c r="I40" i="3" s="1"/>
  <c r="A40" i="3"/>
  <c r="A36" i="2"/>
  <c r="Q36" i="2"/>
  <c r="P41" i="3" s="1"/>
  <c r="J41" i="3"/>
  <c r="H29" i="7"/>
  <c r="E29" i="7"/>
  <c r="I40" i="7"/>
  <c r="A40" i="7"/>
  <c r="D39" i="7"/>
  <c r="L40" i="7"/>
  <c r="K40" i="7"/>
  <c r="F32" i="3"/>
  <c r="E27" i="2"/>
  <c r="E32" i="3"/>
  <c r="D34" i="2"/>
  <c r="C39" i="3" s="1"/>
  <c r="B39" i="3"/>
  <c r="K37" i="2" l="1"/>
  <c r="M42" i="3" s="1"/>
  <c r="N37" i="2"/>
  <c r="AE3" i="2" s="1"/>
  <c r="A41" i="3"/>
  <c r="A37" i="2"/>
  <c r="N38" i="2" s="1"/>
  <c r="J43" i="3" s="1"/>
  <c r="B36" i="2"/>
  <c r="C36" i="2" s="1"/>
  <c r="S36" i="2" s="1"/>
  <c r="T36" i="2" s="1"/>
  <c r="L36" i="2"/>
  <c r="N41" i="3" s="1"/>
  <c r="J36" i="2"/>
  <c r="L41" i="3" s="1"/>
  <c r="M36" i="2"/>
  <c r="I41" i="3" s="1"/>
  <c r="I36" i="2"/>
  <c r="K41" i="3" s="1"/>
  <c r="G28" i="2"/>
  <c r="F28" i="2" s="1"/>
  <c r="J42" i="3"/>
  <c r="L37" i="2"/>
  <c r="N42" i="3" s="1"/>
  <c r="G30" i="7"/>
  <c r="K41" i="7"/>
  <c r="L41" i="7"/>
  <c r="D40" i="7"/>
  <c r="I41" i="7"/>
  <c r="A41" i="7"/>
  <c r="A42" i="3"/>
  <c r="D35" i="2"/>
  <c r="C40" i="3" s="1"/>
  <c r="B40" i="3"/>
  <c r="D32" i="3"/>
  <c r="J38" i="2" l="1"/>
  <c r="L43" i="3" s="1"/>
  <c r="M38" i="2"/>
  <c r="I43" i="3" s="1"/>
  <c r="Y3" i="2"/>
  <c r="Z3" i="2" s="1"/>
  <c r="P38" i="2"/>
  <c r="O43" i="3" s="1"/>
  <c r="B37" i="2"/>
  <c r="C37" i="2" s="1"/>
  <c r="S37" i="2" s="1"/>
  <c r="T37" i="2" s="1"/>
  <c r="I37" i="2"/>
  <c r="K42" i="3" s="1"/>
  <c r="A38" i="2"/>
  <c r="N39" i="2" s="1"/>
  <c r="J44" i="3" s="1"/>
  <c r="M37" i="2"/>
  <c r="I42" i="3" s="1"/>
  <c r="I38" i="2"/>
  <c r="K43" i="3" s="1"/>
  <c r="L38" i="2"/>
  <c r="N43" i="3" s="1"/>
  <c r="Q38" i="2"/>
  <c r="P43" i="3" s="1"/>
  <c r="J37" i="2"/>
  <c r="L42" i="3" s="1"/>
  <c r="F30" i="7"/>
  <c r="H30" i="7" s="1"/>
  <c r="L42" i="7"/>
  <c r="K42" i="7"/>
  <c r="D41" i="7"/>
  <c r="A42" i="7"/>
  <c r="I42" i="7"/>
  <c r="H28" i="2"/>
  <c r="R28" i="2" s="1"/>
  <c r="G33" i="3"/>
  <c r="B41" i="3"/>
  <c r="D36" i="2"/>
  <c r="C41" i="3" s="1"/>
  <c r="A43" i="3" l="1"/>
  <c r="B38" i="2"/>
  <c r="C38" i="2" s="1"/>
  <c r="S38" i="2" s="1"/>
  <c r="T38" i="2" s="1"/>
  <c r="J39" i="2"/>
  <c r="L44" i="3" s="1"/>
  <c r="A39" i="2"/>
  <c r="N40" i="2" s="1"/>
  <c r="J45" i="3" s="1"/>
  <c r="M39" i="2"/>
  <c r="I44" i="3" s="1"/>
  <c r="P39" i="2"/>
  <c r="O44" i="3" s="1"/>
  <c r="L39" i="2"/>
  <c r="N44" i="3" s="1"/>
  <c r="I39" i="2"/>
  <c r="K44" i="3" s="1"/>
  <c r="Q39" i="2"/>
  <c r="P44" i="3" s="1"/>
  <c r="D37" i="2"/>
  <c r="C42" i="3" s="1"/>
  <c r="E30" i="7"/>
  <c r="K43" i="7"/>
  <c r="D42" i="7"/>
  <c r="L43" i="7"/>
  <c r="I43" i="7"/>
  <c r="A43" i="7"/>
  <c r="B42" i="3"/>
  <c r="E33" i="3"/>
  <c r="F33" i="3"/>
  <c r="E28" i="2"/>
  <c r="I40" i="2" l="1"/>
  <c r="K45" i="3" s="1"/>
  <c r="L40" i="2"/>
  <c r="N45" i="3" s="1"/>
  <c r="Q40" i="2"/>
  <c r="P45" i="3" s="1"/>
  <c r="A44" i="3"/>
  <c r="B39" i="2"/>
  <c r="C39" i="2" s="1"/>
  <c r="S39" i="2" s="1"/>
  <c r="T39" i="2" s="1"/>
  <c r="M40" i="2"/>
  <c r="I45" i="3" s="1"/>
  <c r="J40" i="2"/>
  <c r="L45" i="3" s="1"/>
  <c r="A40" i="2"/>
  <c r="N41" i="2" s="1"/>
  <c r="J46" i="3" s="1"/>
  <c r="P40" i="2"/>
  <c r="O45" i="3" s="1"/>
  <c r="D38" i="2"/>
  <c r="C43" i="3" s="1"/>
  <c r="G31" i="7"/>
  <c r="I44" i="7"/>
  <c r="A44" i="7"/>
  <c r="D43" i="7"/>
  <c r="K44" i="7"/>
  <c r="L44" i="7"/>
  <c r="B43" i="3"/>
  <c r="D33" i="3"/>
  <c r="A41" i="2" l="1"/>
  <c r="N42" i="2" s="1"/>
  <c r="J47" i="3" s="1"/>
  <c r="M41" i="2"/>
  <c r="I46" i="3" s="1"/>
  <c r="J41" i="2"/>
  <c r="L46" i="3" s="1"/>
  <c r="P41" i="2"/>
  <c r="O46" i="3" s="1"/>
  <c r="I41" i="2"/>
  <c r="K46" i="3" s="1"/>
  <c r="A45" i="3"/>
  <c r="B40" i="2"/>
  <c r="C40" i="2" s="1"/>
  <c r="S40" i="2" s="1"/>
  <c r="T40" i="2" s="1"/>
  <c r="Q41" i="2"/>
  <c r="P46" i="3" s="1"/>
  <c r="L41" i="2"/>
  <c r="N46" i="3" s="1"/>
  <c r="D39" i="2"/>
  <c r="C44" i="3" s="1"/>
  <c r="F31" i="7"/>
  <c r="K45" i="7"/>
  <c r="A45" i="7"/>
  <c r="I45" i="7"/>
  <c r="D44" i="7"/>
  <c r="L45" i="7"/>
  <c r="B44" i="3"/>
  <c r="A42" i="2" l="1"/>
  <c r="N43" i="2" s="1"/>
  <c r="Q42" i="2"/>
  <c r="P47" i="3" s="1"/>
  <c r="I42" i="2"/>
  <c r="K47" i="3" s="1"/>
  <c r="L42" i="2"/>
  <c r="N47" i="3" s="1"/>
  <c r="J42" i="2"/>
  <c r="L47" i="3" s="1"/>
  <c r="M42" i="2"/>
  <c r="I47" i="3" s="1"/>
  <c r="A46" i="3"/>
  <c r="B41" i="2"/>
  <c r="C41" i="2" s="1"/>
  <c r="S41" i="2" s="1"/>
  <c r="T41" i="2" s="1"/>
  <c r="P42" i="2"/>
  <c r="O47" i="3" s="1"/>
  <c r="Q43" i="2"/>
  <c r="P48" i="3" s="1"/>
  <c r="J48" i="3"/>
  <c r="L43" i="2"/>
  <c r="N48" i="3" s="1"/>
  <c r="I43" i="2"/>
  <c r="K48" i="3" s="1"/>
  <c r="P43" i="2"/>
  <c r="O48" i="3" s="1"/>
  <c r="M43" i="2"/>
  <c r="I48" i="3" s="1"/>
  <c r="J43" i="2"/>
  <c r="L48" i="3" s="1"/>
  <c r="D40" i="2"/>
  <c r="C45" i="3" s="1"/>
  <c r="B42" i="2"/>
  <c r="C42" i="2" s="1"/>
  <c r="H31" i="7"/>
  <c r="E31" i="7"/>
  <c r="L46" i="7"/>
  <c r="A46" i="7"/>
  <c r="I46" i="7"/>
  <c r="D45" i="7"/>
  <c r="K46" i="7"/>
  <c r="A43" i="2"/>
  <c r="N44" i="2" s="1"/>
  <c r="A47" i="3"/>
  <c r="B45" i="3"/>
  <c r="P44" i="2" l="1"/>
  <c r="O49" i="3" s="1"/>
  <c r="M44" i="2"/>
  <c r="I49" i="3" s="1"/>
  <c r="J44" i="2"/>
  <c r="L49" i="3" s="1"/>
  <c r="Q44" i="2"/>
  <c r="P49" i="3" s="1"/>
  <c r="J49" i="3"/>
  <c r="L44" i="2"/>
  <c r="N49" i="3" s="1"/>
  <c r="I44" i="2"/>
  <c r="K49" i="3" s="1"/>
  <c r="D41" i="2"/>
  <c r="C46" i="3" s="1"/>
  <c r="S42" i="2"/>
  <c r="T42" i="2" s="1"/>
  <c r="B43" i="2"/>
  <c r="C43" i="2" s="1"/>
  <c r="G32" i="7"/>
  <c r="L47" i="7"/>
  <c r="A47" i="7"/>
  <c r="I47" i="7"/>
  <c r="D46" i="7"/>
  <c r="K47" i="7"/>
  <c r="A44" i="2"/>
  <c r="N45" i="2" s="1"/>
  <c r="A48" i="3"/>
  <c r="B46" i="3"/>
  <c r="Q45" i="2" l="1"/>
  <c r="P50" i="3" s="1"/>
  <c r="J50" i="3"/>
  <c r="L45" i="2"/>
  <c r="N50" i="3" s="1"/>
  <c r="I45" i="2"/>
  <c r="K50" i="3" s="1"/>
  <c r="P45" i="2"/>
  <c r="O50" i="3" s="1"/>
  <c r="M45" i="2"/>
  <c r="I50" i="3" s="1"/>
  <c r="J45" i="2"/>
  <c r="L50" i="3" s="1"/>
  <c r="D42" i="2"/>
  <c r="C47" i="3" s="1"/>
  <c r="S43" i="2"/>
  <c r="T43" i="2" s="1"/>
  <c r="B44" i="2"/>
  <c r="C44" i="2" s="1"/>
  <c r="F32" i="7"/>
  <c r="I48" i="7"/>
  <c r="A48" i="7"/>
  <c r="D47" i="7"/>
  <c r="L48" i="7"/>
  <c r="K48" i="7"/>
  <c r="A49" i="3"/>
  <c r="A45" i="2"/>
  <c r="N46" i="2" s="1"/>
  <c r="B47" i="3"/>
  <c r="P46" i="2" l="1"/>
  <c r="O51" i="3" s="1"/>
  <c r="M46" i="2"/>
  <c r="I51" i="3" s="1"/>
  <c r="J46" i="2"/>
  <c r="L51" i="3" s="1"/>
  <c r="Q46" i="2"/>
  <c r="P51" i="3" s="1"/>
  <c r="J51" i="3"/>
  <c r="L46" i="2"/>
  <c r="N51" i="3" s="1"/>
  <c r="I46" i="2"/>
  <c r="K51" i="3" s="1"/>
  <c r="D43" i="2"/>
  <c r="C48" i="3" s="1"/>
  <c r="S44" i="2"/>
  <c r="T44" i="2" s="1"/>
  <c r="B45" i="2"/>
  <c r="C45" i="2" s="1"/>
  <c r="H32" i="7"/>
  <c r="E32" i="7"/>
  <c r="A49" i="7"/>
  <c r="I49" i="7"/>
  <c r="D48" i="7"/>
  <c r="A46" i="2"/>
  <c r="N47" i="2" s="1"/>
  <c r="A50" i="3"/>
  <c r="B48" i="3"/>
  <c r="Q47" i="2" l="1"/>
  <c r="P52" i="3" s="1"/>
  <c r="J52" i="3"/>
  <c r="L47" i="2"/>
  <c r="N52" i="3" s="1"/>
  <c r="I47" i="2"/>
  <c r="K52" i="3" s="1"/>
  <c r="P47" i="2"/>
  <c r="O52" i="3" s="1"/>
  <c r="M47" i="2"/>
  <c r="I52" i="3" s="1"/>
  <c r="J47" i="2"/>
  <c r="L52" i="3" s="1"/>
  <c r="D44" i="2"/>
  <c r="C49" i="3" s="1"/>
  <c r="S45" i="2"/>
  <c r="T45" i="2" s="1"/>
  <c r="B46" i="2"/>
  <c r="C46" i="2" s="1"/>
  <c r="G33" i="7"/>
  <c r="L50" i="7"/>
  <c r="K50" i="7"/>
  <c r="A50" i="7"/>
  <c r="D49" i="7"/>
  <c r="I50" i="7"/>
  <c r="A47" i="2"/>
  <c r="N48" i="2" s="1"/>
  <c r="A51" i="3"/>
  <c r="B49" i="3"/>
  <c r="P48" i="2" l="1"/>
  <c r="O53" i="3" s="1"/>
  <c r="M48" i="2"/>
  <c r="I53" i="3" s="1"/>
  <c r="J48" i="2"/>
  <c r="L53" i="3" s="1"/>
  <c r="Q48" i="2"/>
  <c r="P53" i="3" s="1"/>
  <c r="J53" i="3"/>
  <c r="L48" i="2"/>
  <c r="N53" i="3" s="1"/>
  <c r="I48" i="2"/>
  <c r="K53" i="3" s="1"/>
  <c r="D45" i="2"/>
  <c r="C50" i="3" s="1"/>
  <c r="S46" i="2"/>
  <c r="T46" i="2" s="1"/>
  <c r="B47" i="2"/>
  <c r="C47" i="2" s="1"/>
  <c r="F33" i="7"/>
  <c r="K51" i="7"/>
  <c r="A51" i="7"/>
  <c r="D50" i="7"/>
  <c r="L51" i="7"/>
  <c r="I51" i="7"/>
  <c r="A48" i="2"/>
  <c r="A52" i="3"/>
  <c r="B50" i="3"/>
  <c r="K49" i="2" l="1"/>
  <c r="M54" i="3" s="1"/>
  <c r="N49" i="2"/>
  <c r="AE4" i="2" s="1"/>
  <c r="M49" i="2"/>
  <c r="I54" i="3" s="1"/>
  <c r="I49" i="2"/>
  <c r="K54" i="3" s="1"/>
  <c r="J54" i="3"/>
  <c r="L49" i="2"/>
  <c r="N54" i="3" s="1"/>
  <c r="J49" i="2"/>
  <c r="L54" i="3" s="1"/>
  <c r="D46" i="2"/>
  <c r="C51" i="3" s="1"/>
  <c r="S47" i="2"/>
  <c r="T47" i="2" s="1"/>
  <c r="B48" i="2"/>
  <c r="C48" i="2" s="1"/>
  <c r="H33" i="7"/>
  <c r="E33" i="7"/>
  <c r="I52" i="7"/>
  <c r="A52" i="7"/>
  <c r="D51" i="7"/>
  <c r="K52" i="7"/>
  <c r="L52" i="7"/>
  <c r="A49" i="2"/>
  <c r="N50" i="2" s="1"/>
  <c r="A53" i="3"/>
  <c r="B51" i="3"/>
  <c r="Y4" i="2" l="1"/>
  <c r="Z4" i="2" s="1"/>
  <c r="Q50" i="2"/>
  <c r="P55" i="3" s="1"/>
  <c r="J55" i="3"/>
  <c r="L50" i="2"/>
  <c r="N55" i="3" s="1"/>
  <c r="I50" i="2"/>
  <c r="K55" i="3" s="1"/>
  <c r="P50" i="2"/>
  <c r="O55" i="3" s="1"/>
  <c r="M50" i="2"/>
  <c r="I55" i="3" s="1"/>
  <c r="J50" i="2"/>
  <c r="L55" i="3" s="1"/>
  <c r="D47" i="2"/>
  <c r="C52" i="3" s="1"/>
  <c r="S48" i="2"/>
  <c r="T48" i="2" s="1"/>
  <c r="B49" i="2"/>
  <c r="C49" i="2" s="1"/>
  <c r="G34" i="7"/>
  <c r="K53" i="7"/>
  <c r="I53" i="7"/>
  <c r="D52" i="7"/>
  <c r="L53" i="7"/>
  <c r="A53" i="7"/>
  <c r="A54" i="3"/>
  <c r="A50" i="2"/>
  <c r="N51" i="2" s="1"/>
  <c r="P51" i="2" l="1"/>
  <c r="O56" i="3" s="1"/>
  <c r="M51" i="2"/>
  <c r="I56" i="3" s="1"/>
  <c r="J51" i="2"/>
  <c r="L56" i="3" s="1"/>
  <c r="Q51" i="2"/>
  <c r="P56" i="3" s="1"/>
  <c r="J56" i="3"/>
  <c r="L51" i="2"/>
  <c r="N56" i="3" s="1"/>
  <c r="I51" i="2"/>
  <c r="K56" i="3" s="1"/>
  <c r="D48" i="2"/>
  <c r="C53" i="3" s="1"/>
  <c r="S49" i="2"/>
  <c r="T49" i="2" s="1"/>
  <c r="B50" i="2"/>
  <c r="C50" i="2" s="1"/>
  <c r="F34" i="7"/>
  <c r="H34" i="7" s="1"/>
  <c r="L54" i="7"/>
  <c r="I54" i="7"/>
  <c r="D53" i="7"/>
  <c r="K54" i="7"/>
  <c r="A54" i="7"/>
  <c r="A51" i="2"/>
  <c r="N52" i="2" s="1"/>
  <c r="A55" i="3"/>
  <c r="Q52" i="2" l="1"/>
  <c r="P57" i="3" s="1"/>
  <c r="J57" i="3"/>
  <c r="L52" i="2"/>
  <c r="N57" i="3" s="1"/>
  <c r="I52" i="2"/>
  <c r="K57" i="3" s="1"/>
  <c r="P52" i="2"/>
  <c r="O57" i="3" s="1"/>
  <c r="M52" i="2"/>
  <c r="I57" i="3" s="1"/>
  <c r="J52" i="2"/>
  <c r="L57" i="3" s="1"/>
  <c r="D49" i="2"/>
  <c r="C54" i="3" s="1"/>
  <c r="S50" i="2"/>
  <c r="T50" i="2" s="1"/>
  <c r="B51" i="2"/>
  <c r="C51" i="2" s="1"/>
  <c r="E34" i="7"/>
  <c r="I55" i="7"/>
  <c r="D54" i="7"/>
  <c r="K55" i="7"/>
  <c r="A55" i="7"/>
  <c r="L55" i="7"/>
  <c r="A56" i="3"/>
  <c r="A52" i="2"/>
  <c r="N53" i="2" s="1"/>
  <c r="B54" i="3"/>
  <c r="P53" i="2" l="1"/>
  <c r="O58" i="3" s="1"/>
  <c r="M53" i="2"/>
  <c r="I58" i="3" s="1"/>
  <c r="J53" i="2"/>
  <c r="L58" i="3" s="1"/>
  <c r="Q53" i="2"/>
  <c r="P58" i="3" s="1"/>
  <c r="J58" i="3"/>
  <c r="L53" i="2"/>
  <c r="N58" i="3" s="1"/>
  <c r="I53" i="2"/>
  <c r="K58" i="3" s="1"/>
  <c r="D50" i="2"/>
  <c r="C55" i="3" s="1"/>
  <c r="S51" i="2"/>
  <c r="T51" i="2" s="1"/>
  <c r="B52" i="2"/>
  <c r="C52" i="2" s="1"/>
  <c r="G35" i="7"/>
  <c r="I56" i="7"/>
  <c r="A56" i="7"/>
  <c r="D55" i="7"/>
  <c r="K56" i="7"/>
  <c r="L56" i="7"/>
  <c r="A53" i="2"/>
  <c r="N54" i="2" s="1"/>
  <c r="A57" i="3"/>
  <c r="B55" i="3"/>
  <c r="Q54" i="2" l="1"/>
  <c r="P59" i="3" s="1"/>
  <c r="J59" i="3"/>
  <c r="L54" i="2"/>
  <c r="N59" i="3" s="1"/>
  <c r="I54" i="2"/>
  <c r="K59" i="3" s="1"/>
  <c r="P54" i="2"/>
  <c r="O59" i="3" s="1"/>
  <c r="M54" i="2"/>
  <c r="I59" i="3" s="1"/>
  <c r="J54" i="2"/>
  <c r="L59" i="3" s="1"/>
  <c r="S52" i="2"/>
  <c r="T52" i="2" s="1"/>
  <c r="D51" i="2"/>
  <c r="C56" i="3" s="1"/>
  <c r="B53" i="2"/>
  <c r="C53" i="2" s="1"/>
  <c r="F35" i="7"/>
  <c r="H35" i="7" s="1"/>
  <c r="K57" i="7"/>
  <c r="I57" i="7"/>
  <c r="A57" i="7"/>
  <c r="L57" i="7"/>
  <c r="D56" i="7"/>
  <c r="A54" i="2"/>
  <c r="N55" i="2" s="1"/>
  <c r="A58" i="3"/>
  <c r="B56" i="3"/>
  <c r="P55" i="2" l="1"/>
  <c r="O60" i="3" s="1"/>
  <c r="M55" i="2"/>
  <c r="I60" i="3" s="1"/>
  <c r="J55" i="2"/>
  <c r="L60" i="3" s="1"/>
  <c r="Q55" i="2"/>
  <c r="P60" i="3" s="1"/>
  <c r="J60" i="3"/>
  <c r="L55" i="2"/>
  <c r="N60" i="3" s="1"/>
  <c r="I55" i="2"/>
  <c r="K60" i="3" s="1"/>
  <c r="S53" i="2"/>
  <c r="T53" i="2" s="1"/>
  <c r="D52" i="2"/>
  <c r="C57" i="3" s="1"/>
  <c r="B54" i="2"/>
  <c r="C54" i="2" s="1"/>
  <c r="E35" i="7"/>
  <c r="L58" i="7"/>
  <c r="I58" i="7"/>
  <c r="A58" i="7"/>
  <c r="K58" i="7"/>
  <c r="D57" i="7"/>
  <c r="A55" i="2"/>
  <c r="N56" i="2" s="1"/>
  <c r="A59" i="3"/>
  <c r="B57" i="3"/>
  <c r="Q56" i="2" l="1"/>
  <c r="P61" i="3" s="1"/>
  <c r="J61" i="3"/>
  <c r="L56" i="2"/>
  <c r="N61" i="3" s="1"/>
  <c r="I56" i="2"/>
  <c r="K61" i="3" s="1"/>
  <c r="P56" i="2"/>
  <c r="O61" i="3" s="1"/>
  <c r="M56" i="2"/>
  <c r="I61" i="3" s="1"/>
  <c r="J56" i="2"/>
  <c r="L61" i="3" s="1"/>
  <c r="D53" i="2"/>
  <c r="C58" i="3" s="1"/>
  <c r="S54" i="2"/>
  <c r="T54" i="2" s="1"/>
  <c r="B55" i="2"/>
  <c r="C55" i="2" s="1"/>
  <c r="G36" i="7"/>
  <c r="L59" i="7"/>
  <c r="I59" i="7"/>
  <c r="A59" i="7"/>
  <c r="D58" i="7"/>
  <c r="K59" i="7"/>
  <c r="A56" i="2"/>
  <c r="N57" i="2" s="1"/>
  <c r="A60" i="3"/>
  <c r="B58" i="3"/>
  <c r="P57" i="2" l="1"/>
  <c r="O62" i="3" s="1"/>
  <c r="M57" i="2"/>
  <c r="I62" i="3" s="1"/>
  <c r="J57" i="2"/>
  <c r="L62" i="3" s="1"/>
  <c r="Q57" i="2"/>
  <c r="P62" i="3" s="1"/>
  <c r="J62" i="3"/>
  <c r="L57" i="2"/>
  <c r="N62" i="3" s="1"/>
  <c r="I57" i="2"/>
  <c r="K62" i="3" s="1"/>
  <c r="D54" i="2"/>
  <c r="C59" i="3" s="1"/>
  <c r="S55" i="2"/>
  <c r="T55" i="2" s="1"/>
  <c r="B56" i="2"/>
  <c r="C56" i="2" s="1"/>
  <c r="F36" i="7"/>
  <c r="I60" i="7"/>
  <c r="A60" i="7"/>
  <c r="D59" i="7"/>
  <c r="L60" i="7"/>
  <c r="K60" i="7"/>
  <c r="A57" i="2"/>
  <c r="N58" i="2" s="1"/>
  <c r="A61" i="3"/>
  <c r="B59" i="3"/>
  <c r="Q58" i="2" l="1"/>
  <c r="P63" i="3" s="1"/>
  <c r="J63" i="3"/>
  <c r="L58" i="2"/>
  <c r="N63" i="3" s="1"/>
  <c r="I58" i="2"/>
  <c r="K63" i="3" s="1"/>
  <c r="P58" i="2"/>
  <c r="O63" i="3" s="1"/>
  <c r="M58" i="2"/>
  <c r="I63" i="3" s="1"/>
  <c r="J58" i="2"/>
  <c r="L63" i="3" s="1"/>
  <c r="D55" i="2"/>
  <c r="C60" i="3" s="1"/>
  <c r="S56" i="2"/>
  <c r="T56" i="2" s="1"/>
  <c r="B57" i="2"/>
  <c r="C57" i="2" s="1"/>
  <c r="H36" i="7"/>
  <c r="E36" i="7"/>
  <c r="A61" i="7"/>
  <c r="D60" i="7"/>
  <c r="I61" i="7"/>
  <c r="A58" i="2"/>
  <c r="N59" i="2" s="1"/>
  <c r="A62" i="3"/>
  <c r="B60" i="3"/>
  <c r="P59" i="2" l="1"/>
  <c r="O64" i="3" s="1"/>
  <c r="M59" i="2"/>
  <c r="I64" i="3" s="1"/>
  <c r="J59" i="2"/>
  <c r="L64" i="3" s="1"/>
  <c r="Q59" i="2"/>
  <c r="P64" i="3" s="1"/>
  <c r="J64" i="3"/>
  <c r="L59" i="2"/>
  <c r="N64" i="3" s="1"/>
  <c r="I59" i="2"/>
  <c r="K64" i="3" s="1"/>
  <c r="D56" i="2"/>
  <c r="C61" i="3" s="1"/>
  <c r="S57" i="2"/>
  <c r="T57" i="2" s="1"/>
  <c r="B58" i="2"/>
  <c r="C58" i="2" s="1"/>
  <c r="G37" i="7"/>
  <c r="L62" i="7"/>
  <c r="A62" i="7"/>
  <c r="D61" i="7"/>
  <c r="K62" i="7"/>
  <c r="I62" i="7"/>
  <c r="A59" i="2"/>
  <c r="N60" i="2" s="1"/>
  <c r="A63" i="3"/>
  <c r="B61" i="3"/>
  <c r="Q60" i="2" l="1"/>
  <c r="P65" i="3" s="1"/>
  <c r="J65" i="3"/>
  <c r="L60" i="2"/>
  <c r="N65" i="3" s="1"/>
  <c r="I60" i="2"/>
  <c r="K65" i="3" s="1"/>
  <c r="P60" i="2"/>
  <c r="O65" i="3" s="1"/>
  <c r="M60" i="2"/>
  <c r="I65" i="3" s="1"/>
  <c r="J60" i="2"/>
  <c r="L65" i="3" s="1"/>
  <c r="D57" i="2"/>
  <c r="C62" i="3" s="1"/>
  <c r="S58" i="2"/>
  <c r="T58" i="2" s="1"/>
  <c r="B59" i="2"/>
  <c r="C59" i="2" s="1"/>
  <c r="F37" i="7"/>
  <c r="L63" i="7"/>
  <c r="A63" i="7"/>
  <c r="K63" i="7"/>
  <c r="D62" i="7"/>
  <c r="I63" i="7"/>
  <c r="A60" i="2"/>
  <c r="A64" i="3"/>
  <c r="B62" i="3"/>
  <c r="K61" i="2" l="1"/>
  <c r="M66" i="3" s="1"/>
  <c r="N61" i="2"/>
  <c r="AE5" i="2" s="1"/>
  <c r="L61" i="2"/>
  <c r="N66" i="3" s="1"/>
  <c r="J61" i="2"/>
  <c r="L66" i="3" s="1"/>
  <c r="M61" i="2"/>
  <c r="I66" i="3" s="1"/>
  <c r="Y5" i="2"/>
  <c r="I61" i="2"/>
  <c r="K66" i="3" s="1"/>
  <c r="D58" i="2"/>
  <c r="C63" i="3" s="1"/>
  <c r="S59" i="2"/>
  <c r="T59" i="2" s="1"/>
  <c r="B60" i="2"/>
  <c r="C60" i="2" s="1"/>
  <c r="H37" i="7"/>
  <c r="E37" i="7"/>
  <c r="I64" i="7"/>
  <c r="A64" i="7"/>
  <c r="D63" i="7"/>
  <c r="L64" i="7"/>
  <c r="K64" i="7"/>
  <c r="A65" i="3"/>
  <c r="A61" i="2"/>
  <c r="N62" i="2" s="1"/>
  <c r="B63" i="3"/>
  <c r="J66" i="3" l="1"/>
  <c r="Z5" i="2"/>
  <c r="P62" i="2"/>
  <c r="O67" i="3" s="1"/>
  <c r="M62" i="2"/>
  <c r="I67" i="3" s="1"/>
  <c r="J62" i="2"/>
  <c r="L67" i="3" s="1"/>
  <c r="Q62" i="2"/>
  <c r="P67" i="3" s="1"/>
  <c r="J67" i="3"/>
  <c r="L62" i="2"/>
  <c r="N67" i="3" s="1"/>
  <c r="I62" i="2"/>
  <c r="K67" i="3" s="1"/>
  <c r="D59" i="2"/>
  <c r="C64" i="3" s="1"/>
  <c r="S60" i="2"/>
  <c r="T60" i="2" s="1"/>
  <c r="B61" i="2"/>
  <c r="C61" i="2" s="1"/>
  <c r="G38" i="7"/>
  <c r="K65" i="7"/>
  <c r="L65" i="7"/>
  <c r="I65" i="7"/>
  <c r="D64" i="7"/>
  <c r="A65" i="7"/>
  <c r="A62" i="2"/>
  <c r="N63" i="2" s="1"/>
  <c r="A66" i="3"/>
  <c r="B64" i="3"/>
  <c r="Q63" i="2" l="1"/>
  <c r="P68" i="3" s="1"/>
  <c r="J68" i="3"/>
  <c r="L63" i="2"/>
  <c r="N68" i="3" s="1"/>
  <c r="I63" i="2"/>
  <c r="K68" i="3" s="1"/>
  <c r="P63" i="2"/>
  <c r="O68" i="3" s="1"/>
  <c r="M63" i="2"/>
  <c r="I68" i="3" s="1"/>
  <c r="J63" i="2"/>
  <c r="L68" i="3" s="1"/>
  <c r="D60" i="2"/>
  <c r="C65" i="3" s="1"/>
  <c r="S61" i="2"/>
  <c r="T61" i="2" s="1"/>
  <c r="B62" i="2"/>
  <c r="C62" i="2" s="1"/>
  <c r="F38" i="7"/>
  <c r="L66" i="7"/>
  <c r="K66" i="7"/>
  <c r="I66" i="7"/>
  <c r="A66" i="7"/>
  <c r="D65" i="7"/>
  <c r="A63" i="2"/>
  <c r="N64" i="2" s="1"/>
  <c r="A67" i="3"/>
  <c r="B65" i="3"/>
  <c r="P64" i="2" l="1"/>
  <c r="O69" i="3" s="1"/>
  <c r="M64" i="2"/>
  <c r="I69" i="3" s="1"/>
  <c r="J64" i="2"/>
  <c r="L69" i="3" s="1"/>
  <c r="Q64" i="2"/>
  <c r="P69" i="3" s="1"/>
  <c r="J69" i="3"/>
  <c r="L64" i="2"/>
  <c r="N69" i="3" s="1"/>
  <c r="I64" i="2"/>
  <c r="K69" i="3" s="1"/>
  <c r="D61" i="2"/>
  <c r="C66" i="3" s="1"/>
  <c r="S62" i="2"/>
  <c r="T62" i="2" s="1"/>
  <c r="B63" i="2"/>
  <c r="C63" i="2" s="1"/>
  <c r="H38" i="7"/>
  <c r="E38" i="7"/>
  <c r="K67" i="7"/>
  <c r="I67" i="7"/>
  <c r="A67" i="7"/>
  <c r="L67" i="7"/>
  <c r="D66" i="7"/>
  <c r="A68" i="3"/>
  <c r="A64" i="2"/>
  <c r="N65" i="2" s="1"/>
  <c r="B66" i="3"/>
  <c r="Q65" i="2" l="1"/>
  <c r="P70" i="3" s="1"/>
  <c r="J70" i="3"/>
  <c r="L65" i="2"/>
  <c r="N70" i="3" s="1"/>
  <c r="I65" i="2"/>
  <c r="K70" i="3" s="1"/>
  <c r="P65" i="2"/>
  <c r="O70" i="3" s="1"/>
  <c r="M65" i="2"/>
  <c r="I70" i="3" s="1"/>
  <c r="J65" i="2"/>
  <c r="L70" i="3" s="1"/>
  <c r="D62" i="2"/>
  <c r="C67" i="3" s="1"/>
  <c r="S63" i="2"/>
  <c r="T63" i="2" s="1"/>
  <c r="B64" i="2"/>
  <c r="C64" i="2" s="1"/>
  <c r="G39" i="7"/>
  <c r="I68" i="7"/>
  <c r="A68" i="7"/>
  <c r="D67" i="7"/>
  <c r="K68" i="7"/>
  <c r="L68" i="7"/>
  <c r="A65" i="2"/>
  <c r="N66" i="2" s="1"/>
  <c r="A69" i="3"/>
  <c r="B67" i="3"/>
  <c r="P66" i="2" l="1"/>
  <c r="O71" i="3" s="1"/>
  <c r="M66" i="2"/>
  <c r="I71" i="3" s="1"/>
  <c r="J66" i="2"/>
  <c r="L71" i="3" s="1"/>
  <c r="Q66" i="2"/>
  <c r="P71" i="3" s="1"/>
  <c r="J71" i="3"/>
  <c r="L66" i="2"/>
  <c r="N71" i="3" s="1"/>
  <c r="I66" i="2"/>
  <c r="K71" i="3" s="1"/>
  <c r="D63" i="2"/>
  <c r="C68" i="3" s="1"/>
  <c r="S64" i="2"/>
  <c r="T64" i="2" s="1"/>
  <c r="B65" i="2"/>
  <c r="C65" i="2" s="1"/>
  <c r="F39" i="7"/>
  <c r="K69" i="7"/>
  <c r="I69" i="7"/>
  <c r="D68" i="7"/>
  <c r="A69" i="7"/>
  <c r="L69" i="7"/>
  <c r="A66" i="2"/>
  <c r="N67" i="2" s="1"/>
  <c r="A70" i="3"/>
  <c r="B68" i="3"/>
  <c r="Q67" i="2" l="1"/>
  <c r="P72" i="3" s="1"/>
  <c r="J72" i="3"/>
  <c r="L67" i="2"/>
  <c r="N72" i="3" s="1"/>
  <c r="I67" i="2"/>
  <c r="K72" i="3" s="1"/>
  <c r="P67" i="2"/>
  <c r="O72" i="3" s="1"/>
  <c r="M67" i="2"/>
  <c r="I72" i="3" s="1"/>
  <c r="J67" i="2"/>
  <c r="L72" i="3" s="1"/>
  <c r="D64" i="2"/>
  <c r="C69" i="3" s="1"/>
  <c r="S65" i="2"/>
  <c r="T65" i="2" s="1"/>
  <c r="B66" i="2"/>
  <c r="C66" i="2" s="1"/>
  <c r="H39" i="7"/>
  <c r="E39" i="7"/>
  <c r="L70" i="7"/>
  <c r="I70" i="7"/>
  <c r="D69" i="7"/>
  <c r="A70" i="7"/>
  <c r="K70" i="7"/>
  <c r="A67" i="2"/>
  <c r="N68" i="2" s="1"/>
  <c r="A71" i="3"/>
  <c r="B69" i="3"/>
  <c r="P68" i="2" l="1"/>
  <c r="O73" i="3" s="1"/>
  <c r="M68" i="2"/>
  <c r="I73" i="3" s="1"/>
  <c r="J68" i="2"/>
  <c r="L73" i="3" s="1"/>
  <c r="Q68" i="2"/>
  <c r="P73" i="3" s="1"/>
  <c r="J73" i="3"/>
  <c r="L68" i="2"/>
  <c r="N73" i="3" s="1"/>
  <c r="I68" i="2"/>
  <c r="K73" i="3" s="1"/>
  <c r="D65" i="2"/>
  <c r="C70" i="3" s="1"/>
  <c r="S66" i="2"/>
  <c r="T66" i="2" s="1"/>
  <c r="B67" i="2"/>
  <c r="C67" i="2" s="1"/>
  <c r="G40" i="7"/>
  <c r="I71" i="7"/>
  <c r="D70" i="7"/>
  <c r="A71" i="7"/>
  <c r="L71" i="7"/>
  <c r="K71" i="7"/>
  <c r="A68" i="2"/>
  <c r="N69" i="2" s="1"/>
  <c r="A72" i="3"/>
  <c r="B70" i="3"/>
  <c r="Q69" i="2" l="1"/>
  <c r="P74" i="3" s="1"/>
  <c r="J74" i="3"/>
  <c r="L69" i="2"/>
  <c r="N74" i="3" s="1"/>
  <c r="I69" i="2"/>
  <c r="K74" i="3" s="1"/>
  <c r="P69" i="2"/>
  <c r="O74" i="3" s="1"/>
  <c r="M69" i="2"/>
  <c r="I74" i="3" s="1"/>
  <c r="J69" i="2"/>
  <c r="L74" i="3" s="1"/>
  <c r="D66" i="2"/>
  <c r="C71" i="3" s="1"/>
  <c r="S67" i="2"/>
  <c r="T67" i="2" s="1"/>
  <c r="B68" i="2"/>
  <c r="C68" i="2" s="1"/>
  <c r="F40" i="7"/>
  <c r="L72" i="7"/>
  <c r="I72" i="7"/>
  <c r="A72" i="7"/>
  <c r="D71" i="7"/>
  <c r="K72" i="7"/>
  <c r="A69" i="2"/>
  <c r="N70" i="2" s="1"/>
  <c r="A73" i="3"/>
  <c r="B71" i="3"/>
  <c r="P70" i="2" l="1"/>
  <c r="O75" i="3" s="1"/>
  <c r="M70" i="2"/>
  <c r="I75" i="3" s="1"/>
  <c r="J70" i="2"/>
  <c r="L75" i="3" s="1"/>
  <c r="Q70" i="2"/>
  <c r="P75" i="3" s="1"/>
  <c r="J75" i="3"/>
  <c r="L70" i="2"/>
  <c r="N75" i="3" s="1"/>
  <c r="I70" i="2"/>
  <c r="K75" i="3" s="1"/>
  <c r="D67" i="2"/>
  <c r="C72" i="3" s="1"/>
  <c r="S68" i="2"/>
  <c r="T68" i="2" s="1"/>
  <c r="B69" i="2"/>
  <c r="C69" i="2" s="1"/>
  <c r="H40" i="7"/>
  <c r="E40" i="7"/>
  <c r="K73" i="7"/>
  <c r="D72" i="7"/>
  <c r="I73" i="7"/>
  <c r="A73" i="7"/>
  <c r="L73" i="7"/>
  <c r="A74" i="3"/>
  <c r="A70" i="2"/>
  <c r="N71" i="2" s="1"/>
  <c r="B72" i="3"/>
  <c r="Q71" i="2" l="1"/>
  <c r="P76" i="3" s="1"/>
  <c r="J76" i="3"/>
  <c r="L71" i="2"/>
  <c r="N76" i="3" s="1"/>
  <c r="I71" i="2"/>
  <c r="K76" i="3" s="1"/>
  <c r="P71" i="2"/>
  <c r="O76" i="3" s="1"/>
  <c r="M71" i="2"/>
  <c r="I76" i="3" s="1"/>
  <c r="J71" i="2"/>
  <c r="L76" i="3" s="1"/>
  <c r="D68" i="2"/>
  <c r="C73" i="3" s="1"/>
  <c r="S69" i="2"/>
  <c r="T69" i="2" s="1"/>
  <c r="B70" i="2"/>
  <c r="C70" i="2" s="1"/>
  <c r="G41" i="7"/>
  <c r="I74" i="7"/>
  <c r="A74" i="7"/>
  <c r="D73" i="7"/>
  <c r="L74" i="7"/>
  <c r="K74" i="7"/>
  <c r="A71" i="2"/>
  <c r="N72" i="2" s="1"/>
  <c r="A75" i="3"/>
  <c r="B73" i="3"/>
  <c r="P72" i="2" l="1"/>
  <c r="O77" i="3" s="1"/>
  <c r="M72" i="2"/>
  <c r="I77" i="3" s="1"/>
  <c r="J72" i="2"/>
  <c r="L77" i="3" s="1"/>
  <c r="Q72" i="2"/>
  <c r="P77" i="3" s="1"/>
  <c r="J77" i="3"/>
  <c r="L72" i="2"/>
  <c r="N77" i="3" s="1"/>
  <c r="I72" i="2"/>
  <c r="K77" i="3" s="1"/>
  <c r="D69" i="2"/>
  <c r="C74" i="3" s="1"/>
  <c r="S70" i="2"/>
  <c r="T70" i="2" s="1"/>
  <c r="B71" i="2"/>
  <c r="C71" i="2" s="1"/>
  <c r="F41" i="7"/>
  <c r="K75" i="7"/>
  <c r="I75" i="7"/>
  <c r="A75" i="7"/>
  <c r="D74" i="7"/>
  <c r="L75" i="7"/>
  <c r="A72" i="2"/>
  <c r="A76" i="3"/>
  <c r="B74" i="3"/>
  <c r="K73" i="2" l="1"/>
  <c r="M78" i="3" s="1"/>
  <c r="N73" i="2"/>
  <c r="AE6" i="2" s="1"/>
  <c r="P73" i="2"/>
  <c r="O78" i="3" s="1"/>
  <c r="M73" i="2"/>
  <c r="I78" i="3" s="1"/>
  <c r="Y6" i="2"/>
  <c r="I73" i="2"/>
  <c r="K78" i="3" s="1"/>
  <c r="Q73" i="2"/>
  <c r="P78" i="3" s="1"/>
  <c r="J78" i="3"/>
  <c r="L73" i="2"/>
  <c r="N78" i="3" s="1"/>
  <c r="J73" i="2"/>
  <c r="L78" i="3" s="1"/>
  <c r="S71" i="2"/>
  <c r="T71" i="2" s="1"/>
  <c r="D70" i="2"/>
  <c r="C75" i="3" s="1"/>
  <c r="B72" i="2"/>
  <c r="C72" i="2" s="1"/>
  <c r="H41" i="7"/>
  <c r="E41" i="7"/>
  <c r="L76" i="7"/>
  <c r="I76" i="7"/>
  <c r="A76" i="7"/>
  <c r="D75" i="7"/>
  <c r="K76" i="7"/>
  <c r="A73" i="2"/>
  <c r="N74" i="2" s="1"/>
  <c r="A77" i="3"/>
  <c r="B75" i="3"/>
  <c r="Z6" i="2" l="1"/>
  <c r="Q74" i="2"/>
  <c r="P79" i="3" s="1"/>
  <c r="J79" i="3"/>
  <c r="L74" i="2"/>
  <c r="N79" i="3" s="1"/>
  <c r="I74" i="2"/>
  <c r="K79" i="3" s="1"/>
  <c r="P74" i="2"/>
  <c r="O79" i="3" s="1"/>
  <c r="M74" i="2"/>
  <c r="I79" i="3" s="1"/>
  <c r="J74" i="2"/>
  <c r="L79" i="3" s="1"/>
  <c r="D71" i="2"/>
  <c r="C76" i="3" s="1"/>
  <c r="S72" i="2"/>
  <c r="T72" i="2" s="1"/>
  <c r="B73" i="2"/>
  <c r="C73" i="2" s="1"/>
  <c r="G42" i="7"/>
  <c r="K77" i="7"/>
  <c r="L77" i="7"/>
  <c r="A77" i="7"/>
  <c r="D76" i="7"/>
  <c r="I77" i="7"/>
  <c r="A78" i="3"/>
  <c r="A74" i="2"/>
  <c r="N75" i="2" s="1"/>
  <c r="B76" i="3"/>
  <c r="Q75" i="2" l="1"/>
  <c r="P80" i="3" s="1"/>
  <c r="J80" i="3"/>
  <c r="L75" i="2"/>
  <c r="N80" i="3" s="1"/>
  <c r="P75" i="2"/>
  <c r="O80" i="3" s="1"/>
  <c r="M75" i="2"/>
  <c r="I80" i="3" s="1"/>
  <c r="J75" i="2"/>
  <c r="L80" i="3" s="1"/>
  <c r="I75" i="2"/>
  <c r="K80" i="3" s="1"/>
  <c r="D72" i="2"/>
  <c r="C77" i="3" s="1"/>
  <c r="S73" i="2"/>
  <c r="T73" i="2" s="1"/>
  <c r="B74" i="2"/>
  <c r="C74" i="2" s="1"/>
  <c r="F42" i="7"/>
  <c r="I78" i="7"/>
  <c r="A78" i="7"/>
  <c r="D77" i="7"/>
  <c r="L78" i="7"/>
  <c r="K78" i="7"/>
  <c r="A75" i="2"/>
  <c r="N76" i="2" s="1"/>
  <c r="A79" i="3"/>
  <c r="B77" i="3"/>
  <c r="P76" i="2" l="1"/>
  <c r="O81" i="3" s="1"/>
  <c r="M76" i="2"/>
  <c r="I81" i="3" s="1"/>
  <c r="J76" i="2"/>
  <c r="L81" i="3" s="1"/>
  <c r="Q76" i="2"/>
  <c r="P81" i="3" s="1"/>
  <c r="J81" i="3"/>
  <c r="L76" i="2"/>
  <c r="N81" i="3" s="1"/>
  <c r="I76" i="2"/>
  <c r="K81" i="3" s="1"/>
  <c r="D73" i="2"/>
  <c r="C78" i="3" s="1"/>
  <c r="S74" i="2"/>
  <c r="T74" i="2" s="1"/>
  <c r="B75" i="2"/>
  <c r="C75" i="2" s="1"/>
  <c r="H42" i="7"/>
  <c r="E42" i="7"/>
  <c r="L79" i="7"/>
  <c r="I79" i="7"/>
  <c r="K79" i="7"/>
  <c r="D78" i="7"/>
  <c r="A79" i="7"/>
  <c r="A76" i="2"/>
  <c r="N77" i="2" s="1"/>
  <c r="A80" i="3"/>
  <c r="B78" i="3"/>
  <c r="Q77" i="2" l="1"/>
  <c r="P82" i="3" s="1"/>
  <c r="J82" i="3"/>
  <c r="L77" i="2"/>
  <c r="N82" i="3" s="1"/>
  <c r="I77" i="2"/>
  <c r="K82" i="3" s="1"/>
  <c r="P77" i="2"/>
  <c r="O82" i="3" s="1"/>
  <c r="M77" i="2"/>
  <c r="I82" i="3" s="1"/>
  <c r="J77" i="2"/>
  <c r="L82" i="3" s="1"/>
  <c r="D74" i="2"/>
  <c r="C79" i="3" s="1"/>
  <c r="S75" i="2"/>
  <c r="T75" i="2" s="1"/>
  <c r="B76" i="2"/>
  <c r="C76" i="2" s="1"/>
  <c r="G43" i="7"/>
  <c r="L80" i="7"/>
  <c r="A80" i="7"/>
  <c r="I80" i="7"/>
  <c r="D79" i="7"/>
  <c r="K80" i="7"/>
  <c r="A81" i="3"/>
  <c r="A77" i="2"/>
  <c r="N78" i="2" s="1"/>
  <c r="B79" i="3"/>
  <c r="P78" i="2" l="1"/>
  <c r="O83" i="3" s="1"/>
  <c r="M78" i="2"/>
  <c r="I83" i="3" s="1"/>
  <c r="J78" i="2"/>
  <c r="L83" i="3" s="1"/>
  <c r="Q78" i="2"/>
  <c r="P83" i="3" s="1"/>
  <c r="J83" i="3"/>
  <c r="L78" i="2"/>
  <c r="N83" i="3" s="1"/>
  <c r="I78" i="2"/>
  <c r="K83" i="3" s="1"/>
  <c r="D75" i="2"/>
  <c r="C80" i="3" s="1"/>
  <c r="S76" i="2"/>
  <c r="T76" i="2" s="1"/>
  <c r="B77" i="2"/>
  <c r="C77" i="2" s="1"/>
  <c r="F43" i="7"/>
  <c r="I81" i="7"/>
  <c r="A81" i="7"/>
  <c r="D80" i="7"/>
  <c r="L81" i="7"/>
  <c r="K81" i="7"/>
  <c r="A82" i="3"/>
  <c r="A78" i="2"/>
  <c r="N79" i="2" s="1"/>
  <c r="B80" i="3"/>
  <c r="Q79" i="2" l="1"/>
  <c r="P84" i="3" s="1"/>
  <c r="J84" i="3"/>
  <c r="L79" i="2"/>
  <c r="N84" i="3" s="1"/>
  <c r="I79" i="2"/>
  <c r="K84" i="3" s="1"/>
  <c r="P79" i="2"/>
  <c r="O84" i="3" s="1"/>
  <c r="M79" i="2"/>
  <c r="I84" i="3" s="1"/>
  <c r="J79" i="2"/>
  <c r="L84" i="3" s="1"/>
  <c r="D76" i="2"/>
  <c r="C81" i="3" s="1"/>
  <c r="S77" i="2"/>
  <c r="T77" i="2" s="1"/>
  <c r="B78" i="2"/>
  <c r="C78" i="2" s="1"/>
  <c r="H43" i="7"/>
  <c r="E43" i="7"/>
  <c r="K82" i="7"/>
  <c r="L82" i="7"/>
  <c r="D81" i="7"/>
  <c r="I82" i="7"/>
  <c r="A82" i="7"/>
  <c r="A83" i="3"/>
  <c r="A79" i="2"/>
  <c r="N80" i="2" s="1"/>
  <c r="B81" i="3"/>
  <c r="P80" i="2" l="1"/>
  <c r="O85" i="3" s="1"/>
  <c r="M80" i="2"/>
  <c r="I85" i="3" s="1"/>
  <c r="J80" i="2"/>
  <c r="L85" i="3" s="1"/>
  <c r="Q80" i="2"/>
  <c r="P85" i="3" s="1"/>
  <c r="J85" i="3"/>
  <c r="L80" i="2"/>
  <c r="N85" i="3" s="1"/>
  <c r="I80" i="2"/>
  <c r="K85" i="3" s="1"/>
  <c r="D77" i="2"/>
  <c r="C82" i="3" s="1"/>
  <c r="S78" i="2"/>
  <c r="T78" i="2" s="1"/>
  <c r="B79" i="2"/>
  <c r="C79" i="2" s="1"/>
  <c r="G44" i="7"/>
  <c r="L83" i="7"/>
  <c r="K83" i="7"/>
  <c r="D82" i="7"/>
  <c r="I83" i="7"/>
  <c r="A83" i="7"/>
  <c r="A80" i="2"/>
  <c r="N81" i="2" s="1"/>
  <c r="A84" i="3"/>
  <c r="B82" i="3"/>
  <c r="Q81" i="2" l="1"/>
  <c r="P86" i="3" s="1"/>
  <c r="J86" i="3"/>
  <c r="L81" i="2"/>
  <c r="N86" i="3" s="1"/>
  <c r="I81" i="2"/>
  <c r="K86" i="3" s="1"/>
  <c r="P81" i="2"/>
  <c r="O86" i="3" s="1"/>
  <c r="M81" i="2"/>
  <c r="I86" i="3" s="1"/>
  <c r="J81" i="2"/>
  <c r="L86" i="3" s="1"/>
  <c r="D78" i="2"/>
  <c r="C83" i="3" s="1"/>
  <c r="S79" i="2"/>
  <c r="T79" i="2" s="1"/>
  <c r="B80" i="2"/>
  <c r="C80" i="2" s="1"/>
  <c r="F44" i="7"/>
  <c r="K84" i="7"/>
  <c r="D83" i="7"/>
  <c r="I84" i="7"/>
  <c r="A84" i="7"/>
  <c r="L84" i="7"/>
  <c r="A81" i="2"/>
  <c r="N82" i="2" s="1"/>
  <c r="A85" i="3"/>
  <c r="B83" i="3"/>
  <c r="P82" i="2" l="1"/>
  <c r="O87" i="3" s="1"/>
  <c r="M82" i="2"/>
  <c r="I87" i="3" s="1"/>
  <c r="J82" i="2"/>
  <c r="L87" i="3" s="1"/>
  <c r="Q82" i="2"/>
  <c r="P87" i="3" s="1"/>
  <c r="J87" i="3"/>
  <c r="L82" i="2"/>
  <c r="N87" i="3" s="1"/>
  <c r="I82" i="2"/>
  <c r="K87" i="3" s="1"/>
  <c r="D79" i="2"/>
  <c r="C84" i="3" s="1"/>
  <c r="S80" i="2"/>
  <c r="T80" i="2" s="1"/>
  <c r="B81" i="2"/>
  <c r="C81" i="2" s="1"/>
  <c r="H44" i="7"/>
  <c r="E44" i="7"/>
  <c r="I85" i="7"/>
  <c r="A85" i="7"/>
  <c r="D84" i="7"/>
  <c r="A86" i="3"/>
  <c r="A82" i="2"/>
  <c r="N83" i="2" s="1"/>
  <c r="B84" i="3"/>
  <c r="Q83" i="2" l="1"/>
  <c r="P88" i="3" s="1"/>
  <c r="J88" i="3"/>
  <c r="L83" i="2"/>
  <c r="N88" i="3" s="1"/>
  <c r="I83" i="2"/>
  <c r="K88" i="3" s="1"/>
  <c r="P83" i="2"/>
  <c r="O88" i="3" s="1"/>
  <c r="M83" i="2"/>
  <c r="I88" i="3" s="1"/>
  <c r="J83" i="2"/>
  <c r="L88" i="3" s="1"/>
  <c r="D80" i="2"/>
  <c r="C85" i="3" s="1"/>
  <c r="S81" i="2"/>
  <c r="T81" i="2" s="1"/>
  <c r="B82" i="2"/>
  <c r="C82" i="2" s="1"/>
  <c r="G45" i="7"/>
  <c r="K86" i="7"/>
  <c r="I86" i="7"/>
  <c r="D85" i="7"/>
  <c r="A86" i="7"/>
  <c r="L86" i="7"/>
  <c r="A83" i="2"/>
  <c r="N84" i="2" s="1"/>
  <c r="A87" i="3"/>
  <c r="B85" i="3"/>
  <c r="P84" i="2" l="1"/>
  <c r="O89" i="3" s="1"/>
  <c r="M84" i="2"/>
  <c r="I89" i="3" s="1"/>
  <c r="J84" i="2"/>
  <c r="L89" i="3" s="1"/>
  <c r="Q84" i="2"/>
  <c r="P89" i="3" s="1"/>
  <c r="J89" i="3"/>
  <c r="L84" i="2"/>
  <c r="N89" i="3" s="1"/>
  <c r="I84" i="2"/>
  <c r="K89" i="3" s="1"/>
  <c r="D81" i="2"/>
  <c r="C86" i="3" s="1"/>
  <c r="S82" i="2"/>
  <c r="T82" i="2" s="1"/>
  <c r="B83" i="2"/>
  <c r="C83" i="2" s="1"/>
  <c r="F45" i="7"/>
  <c r="L87" i="7"/>
  <c r="I87" i="7"/>
  <c r="D86" i="7"/>
  <c r="A87" i="7"/>
  <c r="K87" i="7"/>
  <c r="A84" i="2"/>
  <c r="A88" i="3"/>
  <c r="B86" i="3"/>
  <c r="K85" i="2" l="1"/>
  <c r="M90" i="3" s="1"/>
  <c r="N85" i="2"/>
  <c r="AE7" i="2" s="1"/>
  <c r="M85" i="2"/>
  <c r="I90" i="3" s="1"/>
  <c r="Y7" i="2"/>
  <c r="I85" i="2"/>
  <c r="K90" i="3" s="1"/>
  <c r="J90" i="3"/>
  <c r="L85" i="2"/>
  <c r="N90" i="3" s="1"/>
  <c r="J85" i="2"/>
  <c r="L90" i="3" s="1"/>
  <c r="D82" i="2"/>
  <c r="C87" i="3" s="1"/>
  <c r="S83" i="2"/>
  <c r="T83" i="2" s="1"/>
  <c r="B84" i="2"/>
  <c r="C84" i="2" s="1"/>
  <c r="H45" i="7"/>
  <c r="E45" i="7"/>
  <c r="I88" i="7"/>
  <c r="D87" i="7"/>
  <c r="L88" i="7"/>
  <c r="A88" i="7"/>
  <c r="K88" i="7"/>
  <c r="A85" i="2"/>
  <c r="N86" i="2" s="1"/>
  <c r="A89" i="3"/>
  <c r="B87" i="3"/>
  <c r="Z7" i="2" l="1"/>
  <c r="Q86" i="2"/>
  <c r="P91" i="3" s="1"/>
  <c r="J91" i="3"/>
  <c r="L86" i="2"/>
  <c r="N91" i="3" s="1"/>
  <c r="I86" i="2"/>
  <c r="K91" i="3" s="1"/>
  <c r="P86" i="2"/>
  <c r="O91" i="3" s="1"/>
  <c r="M86" i="2"/>
  <c r="I91" i="3" s="1"/>
  <c r="J86" i="2"/>
  <c r="L91" i="3" s="1"/>
  <c r="D83" i="2"/>
  <c r="C88" i="3" s="1"/>
  <c r="S84" i="2"/>
  <c r="T84" i="2" s="1"/>
  <c r="B85" i="2"/>
  <c r="C85" i="2" s="1"/>
  <c r="G46" i="7"/>
  <c r="I89" i="7"/>
  <c r="A89" i="7"/>
  <c r="D88" i="7"/>
  <c r="L89" i="7"/>
  <c r="K89" i="7"/>
  <c r="A86" i="2"/>
  <c r="N87" i="2" s="1"/>
  <c r="A90" i="3"/>
  <c r="B88" i="3"/>
  <c r="P87" i="2" l="1"/>
  <c r="O92" i="3" s="1"/>
  <c r="M87" i="2"/>
  <c r="I92" i="3" s="1"/>
  <c r="J87" i="2"/>
  <c r="L92" i="3" s="1"/>
  <c r="Q87" i="2"/>
  <c r="P92" i="3" s="1"/>
  <c r="J92" i="3"/>
  <c r="L87" i="2"/>
  <c r="N92" i="3" s="1"/>
  <c r="I87" i="2"/>
  <c r="K92" i="3" s="1"/>
  <c r="D84" i="2"/>
  <c r="C89" i="3" s="1"/>
  <c r="S85" i="2"/>
  <c r="T85" i="2" s="1"/>
  <c r="B86" i="2"/>
  <c r="C86" i="2" s="1"/>
  <c r="F46" i="7"/>
  <c r="K90" i="7"/>
  <c r="L90" i="7"/>
  <c r="D89" i="7"/>
  <c r="A90" i="7"/>
  <c r="I90" i="7"/>
  <c r="A87" i="2"/>
  <c r="N88" i="2" s="1"/>
  <c r="A91" i="3"/>
  <c r="Q88" i="2" l="1"/>
  <c r="P93" i="3" s="1"/>
  <c r="J93" i="3"/>
  <c r="L88" i="2"/>
  <c r="N93" i="3" s="1"/>
  <c r="I88" i="2"/>
  <c r="K93" i="3" s="1"/>
  <c r="P88" i="2"/>
  <c r="O93" i="3" s="1"/>
  <c r="M88" i="2"/>
  <c r="I93" i="3" s="1"/>
  <c r="J88" i="2"/>
  <c r="L93" i="3" s="1"/>
  <c r="D85" i="2"/>
  <c r="C90" i="3" s="1"/>
  <c r="S86" i="2"/>
  <c r="T86" i="2" s="1"/>
  <c r="B90" i="3"/>
  <c r="B87" i="2"/>
  <c r="C87" i="2" s="1"/>
  <c r="H46" i="7"/>
  <c r="E46" i="7"/>
  <c r="L91" i="7"/>
  <c r="K91" i="7"/>
  <c r="D90" i="7"/>
  <c r="A91" i="7"/>
  <c r="I91" i="7"/>
  <c r="A88" i="2"/>
  <c r="N89" i="2" s="1"/>
  <c r="A92" i="3"/>
  <c r="B89" i="3"/>
  <c r="P89" i="2" l="1"/>
  <c r="O94" i="3" s="1"/>
  <c r="M89" i="2"/>
  <c r="I94" i="3" s="1"/>
  <c r="J89" i="2"/>
  <c r="L94" i="3" s="1"/>
  <c r="Q89" i="2"/>
  <c r="P94" i="3" s="1"/>
  <c r="J94" i="3"/>
  <c r="L89" i="2"/>
  <c r="N94" i="3" s="1"/>
  <c r="I89" i="2"/>
  <c r="K94" i="3" s="1"/>
  <c r="D86" i="2"/>
  <c r="C91" i="3" s="1"/>
  <c r="B91" i="3"/>
  <c r="S87" i="2"/>
  <c r="T87" i="2" s="1"/>
  <c r="B88" i="2"/>
  <c r="C88" i="2" s="1"/>
  <c r="G47" i="7"/>
  <c r="K92" i="7"/>
  <c r="D91" i="7"/>
  <c r="L92" i="7"/>
  <c r="A92" i="7"/>
  <c r="I92" i="7"/>
  <c r="A89" i="2"/>
  <c r="N90" i="2" s="1"/>
  <c r="A93" i="3"/>
  <c r="Q90" i="2" l="1"/>
  <c r="P95" i="3" s="1"/>
  <c r="J95" i="3"/>
  <c r="L90" i="2"/>
  <c r="N95" i="3" s="1"/>
  <c r="I90" i="2"/>
  <c r="K95" i="3" s="1"/>
  <c r="P90" i="2"/>
  <c r="O95" i="3" s="1"/>
  <c r="M90" i="2"/>
  <c r="I95" i="3" s="1"/>
  <c r="J90" i="2"/>
  <c r="L95" i="3" s="1"/>
  <c r="D87" i="2"/>
  <c r="C92" i="3" s="1"/>
  <c r="B92" i="3"/>
  <c r="S88" i="2"/>
  <c r="T88" i="2" s="1"/>
  <c r="B89" i="2"/>
  <c r="C89" i="2" s="1"/>
  <c r="F47" i="7"/>
  <c r="L93" i="7"/>
  <c r="I93" i="7"/>
  <c r="A93" i="7"/>
  <c r="D92" i="7"/>
  <c r="K93" i="7"/>
  <c r="A90" i="2"/>
  <c r="N91" i="2" s="1"/>
  <c r="A94" i="3"/>
  <c r="P91" i="2" l="1"/>
  <c r="O96" i="3" s="1"/>
  <c r="M91" i="2"/>
  <c r="I96" i="3" s="1"/>
  <c r="J91" i="2"/>
  <c r="L96" i="3" s="1"/>
  <c r="Q91" i="2"/>
  <c r="P96" i="3" s="1"/>
  <c r="J96" i="3"/>
  <c r="L91" i="2"/>
  <c r="N96" i="3" s="1"/>
  <c r="I91" i="2"/>
  <c r="K96" i="3" s="1"/>
  <c r="D88" i="2"/>
  <c r="C93" i="3" s="1"/>
  <c r="B93" i="3"/>
  <c r="S89" i="2"/>
  <c r="T89" i="2" s="1"/>
  <c r="B90" i="2"/>
  <c r="C90" i="2" s="1"/>
  <c r="H47" i="7"/>
  <c r="E47" i="7"/>
  <c r="K94" i="7"/>
  <c r="I94" i="7"/>
  <c r="A94" i="7"/>
  <c r="D93" i="7"/>
  <c r="L94" i="7"/>
  <c r="A95" i="3"/>
  <c r="A91" i="2"/>
  <c r="N92" i="2" s="1"/>
  <c r="Q92" i="2" l="1"/>
  <c r="P97" i="3" s="1"/>
  <c r="J97" i="3"/>
  <c r="L92" i="2"/>
  <c r="N97" i="3" s="1"/>
  <c r="I92" i="2"/>
  <c r="K97" i="3" s="1"/>
  <c r="P92" i="2"/>
  <c r="O97" i="3" s="1"/>
  <c r="M92" i="2"/>
  <c r="I97" i="3" s="1"/>
  <c r="J92" i="2"/>
  <c r="L97" i="3" s="1"/>
  <c r="D89" i="2"/>
  <c r="C94" i="3" s="1"/>
  <c r="B94" i="3"/>
  <c r="S90" i="2"/>
  <c r="T90" i="2" s="1"/>
  <c r="B91" i="2"/>
  <c r="C91" i="2" s="1"/>
  <c r="G48" i="7"/>
  <c r="I95" i="7"/>
  <c r="A95" i="7"/>
  <c r="D94" i="7"/>
  <c r="L95" i="7"/>
  <c r="K95" i="7"/>
  <c r="A92" i="2"/>
  <c r="N93" i="2" s="1"/>
  <c r="A96" i="3"/>
  <c r="P93" i="2" l="1"/>
  <c r="O98" i="3" s="1"/>
  <c r="M93" i="2"/>
  <c r="I98" i="3" s="1"/>
  <c r="J93" i="2"/>
  <c r="L98" i="3" s="1"/>
  <c r="Q93" i="2"/>
  <c r="P98" i="3" s="1"/>
  <c r="J98" i="3"/>
  <c r="L93" i="2"/>
  <c r="N98" i="3" s="1"/>
  <c r="I93" i="2"/>
  <c r="K98" i="3" s="1"/>
  <c r="D90" i="2"/>
  <c r="C95" i="3" s="1"/>
  <c r="B95" i="3"/>
  <c r="S91" i="2"/>
  <c r="T91" i="2" s="1"/>
  <c r="B92" i="2"/>
  <c r="C92" i="2" s="1"/>
  <c r="F48" i="7"/>
  <c r="K96" i="7"/>
  <c r="L96" i="7"/>
  <c r="A96" i="7"/>
  <c r="I96" i="7"/>
  <c r="D95" i="7"/>
  <c r="A93" i="2"/>
  <c r="N94" i="2" s="1"/>
  <c r="A97" i="3"/>
  <c r="Q94" i="2" l="1"/>
  <c r="P99" i="3" s="1"/>
  <c r="J99" i="3"/>
  <c r="L94" i="2"/>
  <c r="N99" i="3" s="1"/>
  <c r="I94" i="2"/>
  <c r="K99" i="3" s="1"/>
  <c r="P94" i="2"/>
  <c r="O99" i="3" s="1"/>
  <c r="M94" i="2"/>
  <c r="I99" i="3" s="1"/>
  <c r="J94" i="2"/>
  <c r="L99" i="3" s="1"/>
  <c r="D91" i="2"/>
  <c r="C96" i="3" s="1"/>
  <c r="B96" i="3"/>
  <c r="S92" i="2"/>
  <c r="T92" i="2" s="1"/>
  <c r="B93" i="2"/>
  <c r="C93" i="2" s="1"/>
  <c r="H48" i="7"/>
  <c r="E48" i="7"/>
  <c r="L97" i="7"/>
  <c r="I97" i="7"/>
  <c r="A97" i="7"/>
  <c r="D96" i="7"/>
  <c r="K97" i="7"/>
  <c r="A94" i="2"/>
  <c r="N95" i="2" s="1"/>
  <c r="A98" i="3"/>
  <c r="P95" i="2" l="1"/>
  <c r="O100" i="3" s="1"/>
  <c r="M95" i="2"/>
  <c r="I100" i="3" s="1"/>
  <c r="J95" i="2"/>
  <c r="L100" i="3" s="1"/>
  <c r="Q95" i="2"/>
  <c r="P100" i="3" s="1"/>
  <c r="J100" i="3"/>
  <c r="L95" i="2"/>
  <c r="N100" i="3" s="1"/>
  <c r="I95" i="2"/>
  <c r="K100" i="3" s="1"/>
  <c r="D92" i="2"/>
  <c r="C97" i="3" s="1"/>
  <c r="B97" i="3"/>
  <c r="S93" i="2"/>
  <c r="T93" i="2" s="1"/>
  <c r="B94" i="2"/>
  <c r="C94" i="2" s="1"/>
  <c r="G49" i="7"/>
  <c r="K98" i="7"/>
  <c r="I98" i="7"/>
  <c r="A98" i="7"/>
  <c r="D97" i="7"/>
  <c r="L98" i="7"/>
  <c r="A95" i="2"/>
  <c r="N96" i="2" s="1"/>
  <c r="A99" i="3"/>
  <c r="Q96" i="2" l="1"/>
  <c r="P101" i="3" s="1"/>
  <c r="J101" i="3"/>
  <c r="L96" i="2"/>
  <c r="N101" i="3" s="1"/>
  <c r="I96" i="2"/>
  <c r="K101" i="3" s="1"/>
  <c r="P96" i="2"/>
  <c r="O101" i="3" s="1"/>
  <c r="M96" i="2"/>
  <c r="I101" i="3" s="1"/>
  <c r="J96" i="2"/>
  <c r="L101" i="3" s="1"/>
  <c r="B98" i="3"/>
  <c r="D93" i="2"/>
  <c r="C98" i="3" s="1"/>
  <c r="S94" i="2"/>
  <c r="T94" i="2" s="1"/>
  <c r="B95" i="2"/>
  <c r="C95" i="2" s="1"/>
  <c r="F49" i="7"/>
  <c r="H49" i="7" s="1"/>
  <c r="I99" i="7"/>
  <c r="A99" i="7"/>
  <c r="D98" i="7"/>
  <c r="L99" i="7"/>
  <c r="K99" i="7"/>
  <c r="A96" i="2"/>
  <c r="A100" i="3"/>
  <c r="K97" i="2" l="1"/>
  <c r="M102" i="3" s="1"/>
  <c r="N97" i="2"/>
  <c r="AE8" i="2" s="1"/>
  <c r="Q97" i="2"/>
  <c r="P102" i="3" s="1"/>
  <c r="J102" i="3"/>
  <c r="L97" i="2"/>
  <c r="N102" i="3" s="1"/>
  <c r="J97" i="2"/>
  <c r="L102" i="3" s="1"/>
  <c r="P97" i="2"/>
  <c r="O102" i="3" s="1"/>
  <c r="M97" i="2"/>
  <c r="I102" i="3" s="1"/>
  <c r="Y8" i="2"/>
  <c r="Z8" i="2" s="1"/>
  <c r="I97" i="2"/>
  <c r="K102" i="3" s="1"/>
  <c r="D94" i="2"/>
  <c r="C99" i="3" s="1"/>
  <c r="B99" i="3"/>
  <c r="S95" i="2"/>
  <c r="T95" i="2" s="1"/>
  <c r="B96" i="2"/>
  <c r="C96" i="2" s="1"/>
  <c r="E49" i="7"/>
  <c r="K100" i="7"/>
  <c r="L100" i="7"/>
  <c r="A100" i="7"/>
  <c r="D99" i="7"/>
  <c r="I100" i="7"/>
  <c r="A97" i="2"/>
  <c r="N98" i="2" s="1"/>
  <c r="A101" i="3"/>
  <c r="P98" i="2" l="1"/>
  <c r="O103" i="3" s="1"/>
  <c r="M98" i="2"/>
  <c r="I103" i="3" s="1"/>
  <c r="J98" i="2"/>
  <c r="L103" i="3" s="1"/>
  <c r="Q98" i="2"/>
  <c r="P103" i="3" s="1"/>
  <c r="J103" i="3"/>
  <c r="L98" i="2"/>
  <c r="N103" i="3" s="1"/>
  <c r="I98" i="2"/>
  <c r="K103" i="3" s="1"/>
  <c r="D95" i="2"/>
  <c r="C100" i="3" s="1"/>
  <c r="B100" i="3"/>
  <c r="S96" i="2"/>
  <c r="T96" i="2" s="1"/>
  <c r="B97" i="2"/>
  <c r="C97" i="2" s="1"/>
  <c r="G50" i="7"/>
  <c r="L101" i="7"/>
  <c r="I101" i="7"/>
  <c r="A101" i="7"/>
  <c r="D100" i="7"/>
  <c r="K101" i="7"/>
  <c r="A98" i="2"/>
  <c r="N99" i="2" s="1"/>
  <c r="A102" i="3"/>
  <c r="Q99" i="2" l="1"/>
  <c r="P104" i="3" s="1"/>
  <c r="J104" i="3"/>
  <c r="L99" i="2"/>
  <c r="N104" i="3" s="1"/>
  <c r="I99" i="2"/>
  <c r="K104" i="3" s="1"/>
  <c r="P99" i="2"/>
  <c r="O104" i="3" s="1"/>
  <c r="M99" i="2"/>
  <c r="I104" i="3" s="1"/>
  <c r="J99" i="2"/>
  <c r="L104" i="3" s="1"/>
  <c r="D96" i="2"/>
  <c r="C101" i="3" s="1"/>
  <c r="B101" i="3"/>
  <c r="S97" i="2"/>
  <c r="T97" i="2" s="1"/>
  <c r="B98" i="2"/>
  <c r="C98" i="2" s="1"/>
  <c r="F50" i="7"/>
  <c r="K102" i="7"/>
  <c r="I102" i="7"/>
  <c r="A102" i="7"/>
  <c r="D101" i="7"/>
  <c r="L102" i="7"/>
  <c r="A99" i="2"/>
  <c r="N100" i="2" s="1"/>
  <c r="A103" i="3"/>
  <c r="P100" i="2" l="1"/>
  <c r="O105" i="3" s="1"/>
  <c r="M100" i="2"/>
  <c r="I105" i="3" s="1"/>
  <c r="J100" i="2"/>
  <c r="L105" i="3" s="1"/>
  <c r="Q100" i="2"/>
  <c r="P105" i="3" s="1"/>
  <c r="J105" i="3"/>
  <c r="L100" i="2"/>
  <c r="N105" i="3" s="1"/>
  <c r="I100" i="2"/>
  <c r="K105" i="3" s="1"/>
  <c r="D97" i="2"/>
  <c r="C102" i="3" s="1"/>
  <c r="B102" i="3"/>
  <c r="S98" i="2"/>
  <c r="T98" i="2" s="1"/>
  <c r="B99" i="2"/>
  <c r="C99" i="2" s="1"/>
  <c r="H50" i="7"/>
  <c r="E50" i="7"/>
  <c r="I103" i="7"/>
  <c r="A103" i="7"/>
  <c r="D102" i="7"/>
  <c r="L103" i="7"/>
  <c r="K103" i="7"/>
  <c r="A104" i="3"/>
  <c r="A100" i="2"/>
  <c r="N101" i="2" s="1"/>
  <c r="Q101" i="2" l="1"/>
  <c r="P106" i="3" s="1"/>
  <c r="J106" i="3"/>
  <c r="L101" i="2"/>
  <c r="N106" i="3" s="1"/>
  <c r="I101" i="2"/>
  <c r="K106" i="3" s="1"/>
  <c r="P101" i="2"/>
  <c r="O106" i="3" s="1"/>
  <c r="M101" i="2"/>
  <c r="I106" i="3" s="1"/>
  <c r="J101" i="2"/>
  <c r="L106" i="3" s="1"/>
  <c r="D98" i="2"/>
  <c r="C103" i="3" s="1"/>
  <c r="B103" i="3"/>
  <c r="S99" i="2"/>
  <c r="T99" i="2" s="1"/>
  <c r="B100" i="2"/>
  <c r="C100" i="2" s="1"/>
  <c r="G51" i="7"/>
  <c r="K104" i="7"/>
  <c r="L104" i="7"/>
  <c r="I104" i="7"/>
  <c r="D103" i="7"/>
  <c r="A104" i="7"/>
  <c r="A101" i="2"/>
  <c r="N102" i="2" s="1"/>
  <c r="A105" i="3"/>
  <c r="P102" i="2" l="1"/>
  <c r="O107" i="3" s="1"/>
  <c r="M102" i="2"/>
  <c r="I107" i="3" s="1"/>
  <c r="J102" i="2"/>
  <c r="L107" i="3" s="1"/>
  <c r="Q102" i="2"/>
  <c r="P107" i="3" s="1"/>
  <c r="J107" i="3"/>
  <c r="L102" i="2"/>
  <c r="N107" i="3" s="1"/>
  <c r="I102" i="2"/>
  <c r="K107" i="3" s="1"/>
  <c r="D99" i="2"/>
  <c r="C104" i="3" s="1"/>
  <c r="B104" i="3"/>
  <c r="S100" i="2"/>
  <c r="T100" i="2" s="1"/>
  <c r="B101" i="2"/>
  <c r="C101" i="2" s="1"/>
  <c r="F51" i="7"/>
  <c r="H51" i="7" s="1"/>
  <c r="L105" i="7"/>
  <c r="I105" i="7"/>
  <c r="A105" i="7"/>
  <c r="D104" i="7"/>
  <c r="K105" i="7"/>
  <c r="A102" i="2"/>
  <c r="N103" i="2" s="1"/>
  <c r="A106" i="3"/>
  <c r="Q103" i="2" l="1"/>
  <c r="P108" i="3" s="1"/>
  <c r="J108" i="3"/>
  <c r="L103" i="2"/>
  <c r="N108" i="3" s="1"/>
  <c r="I103" i="2"/>
  <c r="K108" i="3" s="1"/>
  <c r="P103" i="2"/>
  <c r="O108" i="3" s="1"/>
  <c r="M103" i="2"/>
  <c r="I108" i="3" s="1"/>
  <c r="J103" i="2"/>
  <c r="L108" i="3" s="1"/>
  <c r="D100" i="2"/>
  <c r="C105" i="3" s="1"/>
  <c r="B105" i="3"/>
  <c r="S101" i="2"/>
  <c r="T101" i="2" s="1"/>
  <c r="B102" i="2"/>
  <c r="C102" i="2" s="1"/>
  <c r="E51" i="7"/>
  <c r="K106" i="7"/>
  <c r="I106" i="7"/>
  <c r="A106" i="7"/>
  <c r="D105" i="7"/>
  <c r="L106" i="7"/>
  <c r="A103" i="2"/>
  <c r="N104" i="2" s="1"/>
  <c r="A107" i="3"/>
  <c r="P104" i="2" l="1"/>
  <c r="O109" i="3" s="1"/>
  <c r="M104" i="2"/>
  <c r="I109" i="3" s="1"/>
  <c r="J104" i="2"/>
  <c r="L109" i="3" s="1"/>
  <c r="Q104" i="2"/>
  <c r="P109" i="3" s="1"/>
  <c r="J109" i="3"/>
  <c r="L104" i="2"/>
  <c r="N109" i="3" s="1"/>
  <c r="I104" i="2"/>
  <c r="K109" i="3" s="1"/>
  <c r="D101" i="2"/>
  <c r="C106" i="3" s="1"/>
  <c r="B106" i="3"/>
  <c r="S102" i="2"/>
  <c r="T102" i="2" s="1"/>
  <c r="B103" i="2"/>
  <c r="C103" i="2" s="1"/>
  <c r="G52" i="7"/>
  <c r="I107" i="7"/>
  <c r="A107" i="7"/>
  <c r="D106" i="7"/>
  <c r="L107" i="7"/>
  <c r="K107" i="7"/>
  <c r="A104" i="2"/>
  <c r="N105" i="2" s="1"/>
  <c r="A108" i="3"/>
  <c r="Q105" i="2" l="1"/>
  <c r="P110" i="3" s="1"/>
  <c r="J110" i="3"/>
  <c r="L105" i="2"/>
  <c r="N110" i="3" s="1"/>
  <c r="I105" i="2"/>
  <c r="K110" i="3" s="1"/>
  <c r="P105" i="2"/>
  <c r="O110" i="3" s="1"/>
  <c r="M105" i="2"/>
  <c r="I110" i="3" s="1"/>
  <c r="J105" i="2"/>
  <c r="L110" i="3" s="1"/>
  <c r="D102" i="2"/>
  <c r="C107" i="3" s="1"/>
  <c r="S103" i="2"/>
  <c r="T103" i="2" s="1"/>
  <c r="B107" i="3"/>
  <c r="B104" i="2"/>
  <c r="C104" i="2" s="1"/>
  <c r="F52" i="7"/>
  <c r="K108" i="7"/>
  <c r="L108" i="7"/>
  <c r="I108" i="7"/>
  <c r="D107" i="7"/>
  <c r="A108" i="7"/>
  <c r="A105" i="2"/>
  <c r="N106" i="2" s="1"/>
  <c r="A109" i="3"/>
  <c r="P106" i="2" l="1"/>
  <c r="O111" i="3" s="1"/>
  <c r="M106" i="2"/>
  <c r="I111" i="3" s="1"/>
  <c r="J106" i="2"/>
  <c r="L111" i="3" s="1"/>
  <c r="Q106" i="2"/>
  <c r="P111" i="3" s="1"/>
  <c r="J111" i="3"/>
  <c r="L106" i="2"/>
  <c r="N111" i="3" s="1"/>
  <c r="I106" i="2"/>
  <c r="K111" i="3" s="1"/>
  <c r="D103" i="2"/>
  <c r="C108" i="3" s="1"/>
  <c r="B108" i="3"/>
  <c r="S104" i="2"/>
  <c r="T104" i="2" s="1"/>
  <c r="B105" i="2"/>
  <c r="C105" i="2" s="1"/>
  <c r="H52" i="7"/>
  <c r="E52" i="7"/>
  <c r="L109" i="7"/>
  <c r="I109" i="7"/>
  <c r="A109" i="7"/>
  <c r="D108" i="7"/>
  <c r="K109" i="7"/>
  <c r="A106" i="2"/>
  <c r="N107" i="2" s="1"/>
  <c r="A110" i="3"/>
  <c r="Q107" i="2" l="1"/>
  <c r="P112" i="3" s="1"/>
  <c r="J112" i="3"/>
  <c r="L107" i="2"/>
  <c r="N112" i="3" s="1"/>
  <c r="I107" i="2"/>
  <c r="K112" i="3" s="1"/>
  <c r="P107" i="2"/>
  <c r="O112" i="3" s="1"/>
  <c r="M107" i="2"/>
  <c r="I112" i="3" s="1"/>
  <c r="J107" i="2"/>
  <c r="L112" i="3" s="1"/>
  <c r="D104" i="2"/>
  <c r="C109" i="3" s="1"/>
  <c r="B109" i="3"/>
  <c r="S105" i="2"/>
  <c r="T105" i="2" s="1"/>
  <c r="B106" i="2"/>
  <c r="C106" i="2" s="1"/>
  <c r="G53" i="7"/>
  <c r="I110" i="7"/>
  <c r="A110" i="7"/>
  <c r="A107" i="2"/>
  <c r="N108" i="2" s="1"/>
  <c r="A111" i="3"/>
  <c r="P108" i="2" l="1"/>
  <c r="O113" i="3" s="1"/>
  <c r="M108" i="2"/>
  <c r="I113" i="3" s="1"/>
  <c r="J108" i="2"/>
  <c r="L113" i="3" s="1"/>
  <c r="Q108" i="2"/>
  <c r="P113" i="3" s="1"/>
  <c r="J113" i="3"/>
  <c r="L108" i="2"/>
  <c r="N113" i="3" s="1"/>
  <c r="I108" i="2"/>
  <c r="K113" i="3" s="1"/>
  <c r="B110" i="3"/>
  <c r="D105" i="2"/>
  <c r="C110" i="3" s="1"/>
  <c r="B111" i="3"/>
  <c r="B107" i="2"/>
  <c r="C107" i="2" s="1"/>
  <c r="F53" i="7"/>
  <c r="I111" i="7"/>
  <c r="A111" i="7"/>
  <c r="A108" i="2"/>
  <c r="A112" i="3"/>
  <c r="K109" i="2" l="1"/>
  <c r="M114" i="3" s="1"/>
  <c r="N109" i="2"/>
  <c r="AE9" i="2" s="1"/>
  <c r="P109" i="2"/>
  <c r="O114" i="3" s="1"/>
  <c r="M109" i="2"/>
  <c r="I114" i="3" s="1"/>
  <c r="Y9" i="2"/>
  <c r="Z9" i="2" s="1"/>
  <c r="I109" i="2"/>
  <c r="K114" i="3" s="1"/>
  <c r="Q109" i="2"/>
  <c r="P114" i="3" s="1"/>
  <c r="J114" i="3"/>
  <c r="L109" i="2"/>
  <c r="N114" i="3" s="1"/>
  <c r="J109" i="2"/>
  <c r="L114" i="3" s="1"/>
  <c r="D106" i="2"/>
  <c r="C111" i="3" s="1"/>
  <c r="S107" i="2"/>
  <c r="T107" i="2" s="1"/>
  <c r="S106" i="2"/>
  <c r="T106" i="2" s="1"/>
  <c r="B108" i="2"/>
  <c r="C108" i="2" s="1"/>
  <c r="H53" i="7"/>
  <c r="E53" i="7"/>
  <c r="I112" i="7"/>
  <c r="A112" i="7"/>
  <c r="I113" i="7" s="1"/>
  <c r="A113" i="3"/>
  <c r="A109" i="2"/>
  <c r="N110" i="2" s="1"/>
  <c r="Q110" i="2" l="1"/>
  <c r="P115" i="3" s="1"/>
  <c r="J115" i="3"/>
  <c r="L110" i="2"/>
  <c r="N115" i="3" s="1"/>
  <c r="I110" i="2"/>
  <c r="K115" i="3" s="1"/>
  <c r="P110" i="2"/>
  <c r="O115" i="3" s="1"/>
  <c r="M110" i="2"/>
  <c r="I115" i="3" s="1"/>
  <c r="J110" i="2"/>
  <c r="L115" i="3" s="1"/>
  <c r="B112" i="3"/>
  <c r="D107" i="2"/>
  <c r="C112" i="3" s="1"/>
  <c r="D108" i="2"/>
  <c r="C113" i="3" s="1"/>
  <c r="A114" i="3"/>
  <c r="B109" i="2"/>
  <c r="C109" i="2" s="1"/>
  <c r="G54" i="7"/>
  <c r="A110" i="2"/>
  <c r="N111" i="2" s="1"/>
  <c r="P111" i="2" l="1"/>
  <c r="O116" i="3" s="1"/>
  <c r="M111" i="2"/>
  <c r="I116" i="3" s="1"/>
  <c r="J111" i="2"/>
  <c r="L116" i="3" s="1"/>
  <c r="Q111" i="2"/>
  <c r="P116" i="3" s="1"/>
  <c r="J116" i="3"/>
  <c r="L111" i="2"/>
  <c r="N116" i="3" s="1"/>
  <c r="I111" i="2"/>
  <c r="K116" i="3" s="1"/>
  <c r="S108" i="2"/>
  <c r="T108" i="2" s="1"/>
  <c r="B113" i="3"/>
  <c r="S109" i="2"/>
  <c r="T109" i="2" s="1"/>
  <c r="A115" i="3"/>
  <c r="B110" i="2"/>
  <c r="C110" i="2" s="1"/>
  <c r="F54" i="7"/>
  <c r="A111" i="2"/>
  <c r="N112" i="2" s="1"/>
  <c r="Q112" i="2" l="1"/>
  <c r="P117" i="3" s="1"/>
  <c r="J117" i="3"/>
  <c r="L112" i="2"/>
  <c r="N117" i="3" s="1"/>
  <c r="I112" i="2"/>
  <c r="K117" i="3" s="1"/>
  <c r="P112" i="2"/>
  <c r="O117" i="3" s="1"/>
  <c r="M112" i="2"/>
  <c r="I117" i="3" s="1"/>
  <c r="J112" i="2"/>
  <c r="L117" i="3" s="1"/>
  <c r="B114" i="3"/>
  <c r="D109" i="2"/>
  <c r="C114" i="3" s="1"/>
  <c r="B115" i="3"/>
  <c r="A116" i="3"/>
  <c r="B111" i="2"/>
  <c r="C111" i="2" s="1"/>
  <c r="H54" i="7"/>
  <c r="E54" i="7"/>
  <c r="A112" i="2"/>
  <c r="N113" i="2" s="1"/>
  <c r="P113" i="2" l="1"/>
  <c r="O118" i="3" s="1"/>
  <c r="M113" i="2"/>
  <c r="I118" i="3" s="1"/>
  <c r="J113" i="2"/>
  <c r="L118" i="3" s="1"/>
  <c r="Q113" i="2"/>
  <c r="P118" i="3" s="1"/>
  <c r="J118" i="3"/>
  <c r="L113" i="2"/>
  <c r="N118" i="3" s="1"/>
  <c r="I113" i="2"/>
  <c r="K118" i="3" s="1"/>
  <c r="S110" i="2"/>
  <c r="T110" i="2" s="1"/>
  <c r="D110" i="2"/>
  <c r="C115" i="3" s="1"/>
  <c r="D111" i="2"/>
  <c r="C116" i="3" s="1"/>
  <c r="A117" i="3"/>
  <c r="A113" i="2"/>
  <c r="N114" i="2" s="1"/>
  <c r="B112" i="2"/>
  <c r="C112" i="2" s="1"/>
  <c r="G55" i="7"/>
  <c r="Q114" i="2" l="1"/>
  <c r="P119" i="3" s="1"/>
  <c r="J119" i="3"/>
  <c r="L114" i="2"/>
  <c r="N119" i="3" s="1"/>
  <c r="I114" i="2"/>
  <c r="K119" i="3" s="1"/>
  <c r="P114" i="2"/>
  <c r="O119" i="3" s="1"/>
  <c r="M114" i="2"/>
  <c r="I119" i="3" s="1"/>
  <c r="J114" i="2"/>
  <c r="L119" i="3" s="1"/>
  <c r="S111" i="2"/>
  <c r="T111" i="2" s="1"/>
  <c r="B116" i="3"/>
  <c r="D112" i="2"/>
  <c r="C117" i="3" s="1"/>
  <c r="A114" i="2"/>
  <c r="N115" i="2" s="1"/>
  <c r="A118" i="3"/>
  <c r="B113" i="2"/>
  <c r="C113" i="2" s="1"/>
  <c r="F55" i="7"/>
  <c r="P115" i="2" l="1"/>
  <c r="O120" i="3" s="1"/>
  <c r="M115" i="2"/>
  <c r="I120" i="3" s="1"/>
  <c r="J115" i="2"/>
  <c r="L120" i="3" s="1"/>
  <c r="Q115" i="2"/>
  <c r="P120" i="3" s="1"/>
  <c r="J120" i="3"/>
  <c r="L115" i="2"/>
  <c r="N120" i="3" s="1"/>
  <c r="I115" i="2"/>
  <c r="K120" i="3" s="1"/>
  <c r="B117" i="3"/>
  <c r="S112" i="2"/>
  <c r="T112" i="2" s="1"/>
  <c r="D113" i="2"/>
  <c r="C118" i="3" s="1"/>
  <c r="A115" i="2"/>
  <c r="N116" i="2" s="1"/>
  <c r="A119" i="3"/>
  <c r="B114" i="2"/>
  <c r="C114" i="2" s="1"/>
  <c r="H55" i="7"/>
  <c r="E55" i="7"/>
  <c r="Q116" i="2" l="1"/>
  <c r="P121" i="3" s="1"/>
  <c r="J121" i="3"/>
  <c r="L116" i="2"/>
  <c r="N121" i="3" s="1"/>
  <c r="I116" i="2"/>
  <c r="K121" i="3" s="1"/>
  <c r="P116" i="2"/>
  <c r="O121" i="3" s="1"/>
  <c r="M116" i="2"/>
  <c r="I121" i="3" s="1"/>
  <c r="J116" i="2"/>
  <c r="L121" i="3" s="1"/>
  <c r="S113" i="2"/>
  <c r="T113" i="2" s="1"/>
  <c r="B118" i="3"/>
  <c r="D114" i="2"/>
  <c r="C119" i="3" s="1"/>
  <c r="A116" i="2"/>
  <c r="N117" i="2" s="1"/>
  <c r="A120" i="3"/>
  <c r="B115" i="2"/>
  <c r="C115" i="2" s="1"/>
  <c r="G56" i="7"/>
  <c r="P117" i="2" l="1"/>
  <c r="O122" i="3" s="1"/>
  <c r="M117" i="2"/>
  <c r="I122" i="3" s="1"/>
  <c r="J117" i="2"/>
  <c r="L122" i="3" s="1"/>
  <c r="Q117" i="2"/>
  <c r="P122" i="3" s="1"/>
  <c r="J122" i="3"/>
  <c r="L117" i="2"/>
  <c r="N122" i="3" s="1"/>
  <c r="I117" i="2"/>
  <c r="K122" i="3" s="1"/>
  <c r="B119" i="3"/>
  <c r="S114" i="2"/>
  <c r="T114" i="2" s="1"/>
  <c r="D115" i="2"/>
  <c r="C120" i="3" s="1"/>
  <c r="A117" i="2"/>
  <c r="N118" i="2" s="1"/>
  <c r="A121" i="3"/>
  <c r="B116" i="2"/>
  <c r="C116" i="2" s="1"/>
  <c r="F56" i="7"/>
  <c r="Q118" i="2" l="1"/>
  <c r="P123" i="3" s="1"/>
  <c r="J123" i="3"/>
  <c r="L118" i="2"/>
  <c r="N123" i="3" s="1"/>
  <c r="I118" i="2"/>
  <c r="K123" i="3" s="1"/>
  <c r="P118" i="2"/>
  <c r="O123" i="3" s="1"/>
  <c r="M118" i="2"/>
  <c r="I123" i="3" s="1"/>
  <c r="J118" i="2"/>
  <c r="L123" i="3" s="1"/>
  <c r="S115" i="2"/>
  <c r="T115" i="2" s="1"/>
  <c r="B120" i="3"/>
  <c r="D116" i="2"/>
  <c r="C121" i="3" s="1"/>
  <c r="A118" i="2"/>
  <c r="N119" i="2" s="1"/>
  <c r="A122" i="3"/>
  <c r="B117" i="2"/>
  <c r="C117" i="2" s="1"/>
  <c r="H56" i="7"/>
  <c r="E56" i="7"/>
  <c r="P119" i="2" l="1"/>
  <c r="O124" i="3" s="1"/>
  <c r="M119" i="2"/>
  <c r="I124" i="3" s="1"/>
  <c r="J119" i="2"/>
  <c r="L124" i="3" s="1"/>
  <c r="Q119" i="2"/>
  <c r="P124" i="3" s="1"/>
  <c r="J124" i="3"/>
  <c r="L119" i="2"/>
  <c r="N124" i="3" s="1"/>
  <c r="I119" i="2"/>
  <c r="K124" i="3" s="1"/>
  <c r="B121" i="3"/>
  <c r="D117" i="2"/>
  <c r="C122" i="3" s="1"/>
  <c r="S116" i="2"/>
  <c r="T116" i="2" s="1"/>
  <c r="A119" i="2"/>
  <c r="N120" i="2" s="1"/>
  <c r="A123" i="3"/>
  <c r="B118" i="2"/>
  <c r="C118" i="2" s="1"/>
  <c r="G57" i="7"/>
  <c r="Q120" i="2" l="1"/>
  <c r="P125" i="3" s="1"/>
  <c r="J125" i="3"/>
  <c r="L120" i="2"/>
  <c r="N125" i="3" s="1"/>
  <c r="I120" i="2"/>
  <c r="K125" i="3" s="1"/>
  <c r="P120" i="2"/>
  <c r="O125" i="3" s="1"/>
  <c r="M120" i="2"/>
  <c r="I125" i="3" s="1"/>
  <c r="J120" i="2"/>
  <c r="L125" i="3" s="1"/>
  <c r="B122" i="3"/>
  <c r="S117" i="2"/>
  <c r="T117" i="2" s="1"/>
  <c r="D118" i="2"/>
  <c r="C123" i="3" s="1"/>
  <c r="A120" i="2"/>
  <c r="A124" i="3"/>
  <c r="B119" i="2"/>
  <c r="C119" i="2" s="1"/>
  <c r="F57" i="7"/>
  <c r="K121" i="2" l="1"/>
  <c r="M126" i="3" s="1"/>
  <c r="N121" i="2"/>
  <c r="AE10" i="2" s="1"/>
  <c r="Q121" i="2"/>
  <c r="P126" i="3" s="1"/>
  <c r="L121" i="2"/>
  <c r="N126" i="3" s="1"/>
  <c r="J121" i="2"/>
  <c r="L126" i="3" s="1"/>
  <c r="P121" i="2"/>
  <c r="O126" i="3" s="1"/>
  <c r="M121" i="2"/>
  <c r="I126" i="3" s="1"/>
  <c r="Y10" i="2"/>
  <c r="Z10" i="2" s="1"/>
  <c r="I121" i="2"/>
  <c r="K126" i="3" s="1"/>
  <c r="S118" i="2"/>
  <c r="T118" i="2" s="1"/>
  <c r="B123" i="3"/>
  <c r="S119" i="2"/>
  <c r="T119" i="2" s="1"/>
  <c r="A121" i="2"/>
  <c r="N122" i="2" s="1"/>
  <c r="A125" i="3"/>
  <c r="B120" i="2"/>
  <c r="C120" i="2" s="1"/>
  <c r="H57" i="7"/>
  <c r="E57" i="7"/>
  <c r="J126" i="3" l="1"/>
  <c r="P122" i="2"/>
  <c r="O127" i="3" s="1"/>
  <c r="M122" i="2"/>
  <c r="I127" i="3" s="1"/>
  <c r="J122" i="2"/>
  <c r="L127" i="3" s="1"/>
  <c r="Q122" i="2"/>
  <c r="P127" i="3" s="1"/>
  <c r="J127" i="3"/>
  <c r="L122" i="2"/>
  <c r="N127" i="3" s="1"/>
  <c r="I122" i="2"/>
  <c r="K127" i="3" s="1"/>
  <c r="B124" i="3"/>
  <c r="D119" i="2"/>
  <c r="C124" i="3" s="1"/>
  <c r="D120" i="2"/>
  <c r="C125" i="3" s="1"/>
  <c r="A122" i="2"/>
  <c r="N123" i="2" s="1"/>
  <c r="A126" i="3"/>
  <c r="B121" i="2"/>
  <c r="C121" i="2" s="1"/>
  <c r="G58" i="7"/>
  <c r="Q123" i="2" l="1"/>
  <c r="P128" i="3" s="1"/>
  <c r="J128" i="3"/>
  <c r="L123" i="2"/>
  <c r="N128" i="3" s="1"/>
  <c r="I123" i="2"/>
  <c r="K128" i="3" s="1"/>
  <c r="P123" i="2"/>
  <c r="O128" i="3" s="1"/>
  <c r="M123" i="2"/>
  <c r="I128" i="3" s="1"/>
  <c r="J123" i="2"/>
  <c r="L128" i="3" s="1"/>
  <c r="S120" i="2"/>
  <c r="T120" i="2" s="1"/>
  <c r="B125" i="3"/>
  <c r="D121" i="2"/>
  <c r="C126" i="3" s="1"/>
  <c r="A123" i="2"/>
  <c r="N124" i="2" s="1"/>
  <c r="A127" i="3"/>
  <c r="B122" i="2"/>
  <c r="C122" i="2" s="1"/>
  <c r="F58" i="7"/>
  <c r="P124" i="2" l="1"/>
  <c r="O129" i="3" s="1"/>
  <c r="M124" i="2"/>
  <c r="I129" i="3" s="1"/>
  <c r="J124" i="2"/>
  <c r="L129" i="3" s="1"/>
  <c r="Q124" i="2"/>
  <c r="P129" i="3" s="1"/>
  <c r="J129" i="3"/>
  <c r="L124" i="2"/>
  <c r="N129" i="3" s="1"/>
  <c r="I124" i="2"/>
  <c r="K129" i="3" s="1"/>
  <c r="S121" i="2"/>
  <c r="T121" i="2" s="1"/>
  <c r="B126" i="3"/>
  <c r="D122" i="2"/>
  <c r="C127" i="3" s="1"/>
  <c r="A124" i="2"/>
  <c r="N125" i="2" s="1"/>
  <c r="A128" i="3"/>
  <c r="B123" i="2"/>
  <c r="C123" i="2" s="1"/>
  <c r="H58" i="7"/>
  <c r="E58" i="7"/>
  <c r="Q125" i="2" l="1"/>
  <c r="P130" i="3" s="1"/>
  <c r="J130" i="3"/>
  <c r="L125" i="2"/>
  <c r="N130" i="3" s="1"/>
  <c r="I125" i="2"/>
  <c r="K130" i="3" s="1"/>
  <c r="P125" i="2"/>
  <c r="O130" i="3" s="1"/>
  <c r="M125" i="2"/>
  <c r="I130" i="3" s="1"/>
  <c r="J125" i="2"/>
  <c r="L130" i="3" s="1"/>
  <c r="D123" i="2"/>
  <c r="C128" i="3" s="1"/>
  <c r="B127" i="3"/>
  <c r="S122" i="2"/>
  <c r="T122" i="2" s="1"/>
  <c r="A125" i="2"/>
  <c r="N126" i="2" s="1"/>
  <c r="A129" i="3"/>
  <c r="B124" i="2"/>
  <c r="C124" i="2" s="1"/>
  <c r="G59" i="7"/>
  <c r="P126" i="2" l="1"/>
  <c r="O131" i="3" s="1"/>
  <c r="M126" i="2"/>
  <c r="I131" i="3" s="1"/>
  <c r="J126" i="2"/>
  <c r="L131" i="3" s="1"/>
  <c r="Q126" i="2"/>
  <c r="P131" i="3" s="1"/>
  <c r="J131" i="3"/>
  <c r="L126" i="2"/>
  <c r="N131" i="3" s="1"/>
  <c r="I126" i="2"/>
  <c r="K131" i="3" s="1"/>
  <c r="B128" i="3"/>
  <c r="S123" i="2"/>
  <c r="T123" i="2" s="1"/>
  <c r="D124" i="2"/>
  <c r="C129" i="3" s="1"/>
  <c r="A126" i="2"/>
  <c r="N127" i="2" s="1"/>
  <c r="A130" i="3"/>
  <c r="B125" i="2"/>
  <c r="C125" i="2" s="1"/>
  <c r="F59" i="7"/>
  <c r="Q127" i="2" l="1"/>
  <c r="P132" i="3" s="1"/>
  <c r="J132" i="3"/>
  <c r="L127" i="2"/>
  <c r="N132" i="3" s="1"/>
  <c r="I127" i="2"/>
  <c r="K132" i="3" s="1"/>
  <c r="P127" i="2"/>
  <c r="O132" i="3" s="1"/>
  <c r="M127" i="2"/>
  <c r="I132" i="3" s="1"/>
  <c r="J127" i="2"/>
  <c r="L132" i="3" s="1"/>
  <c r="B129" i="3"/>
  <c r="S124" i="2"/>
  <c r="T124" i="2" s="1"/>
  <c r="D125" i="2"/>
  <c r="C130" i="3" s="1"/>
  <c r="A127" i="2"/>
  <c r="N128" i="2" s="1"/>
  <c r="A131" i="3"/>
  <c r="B126" i="2"/>
  <c r="C126" i="2" s="1"/>
  <c r="H59" i="7"/>
  <c r="E59" i="7"/>
  <c r="P128" i="2" l="1"/>
  <c r="O133" i="3" s="1"/>
  <c r="M128" i="2"/>
  <c r="I133" i="3" s="1"/>
  <c r="J128" i="2"/>
  <c r="L133" i="3" s="1"/>
  <c r="Q128" i="2"/>
  <c r="P133" i="3" s="1"/>
  <c r="J133" i="3"/>
  <c r="L128" i="2"/>
  <c r="N133" i="3" s="1"/>
  <c r="I128" i="2"/>
  <c r="K133" i="3" s="1"/>
  <c r="S125" i="2"/>
  <c r="T125" i="2" s="1"/>
  <c r="B130" i="3"/>
  <c r="D126" i="2"/>
  <c r="C131" i="3" s="1"/>
  <c r="A128" i="2"/>
  <c r="N129" i="2" s="1"/>
  <c r="A132" i="3"/>
  <c r="B127" i="2"/>
  <c r="C127" i="2" s="1"/>
  <c r="G60" i="7"/>
  <c r="Q129" i="2" l="1"/>
  <c r="P134" i="3" s="1"/>
  <c r="J134" i="3"/>
  <c r="L129" i="2"/>
  <c r="N134" i="3" s="1"/>
  <c r="I129" i="2"/>
  <c r="K134" i="3" s="1"/>
  <c r="P129" i="2"/>
  <c r="O134" i="3" s="1"/>
  <c r="M129" i="2"/>
  <c r="I134" i="3" s="1"/>
  <c r="J129" i="2"/>
  <c r="L134" i="3" s="1"/>
  <c r="B132" i="3"/>
  <c r="S126" i="2"/>
  <c r="T126" i="2" s="1"/>
  <c r="B131" i="3"/>
  <c r="A129" i="2"/>
  <c r="N130" i="2" s="1"/>
  <c r="A133" i="3"/>
  <c r="B128" i="2"/>
  <c r="C128" i="2" s="1"/>
  <c r="F60" i="7"/>
  <c r="P130" i="2" l="1"/>
  <c r="O135" i="3" s="1"/>
  <c r="M130" i="2"/>
  <c r="I135" i="3" s="1"/>
  <c r="J130" i="2"/>
  <c r="L135" i="3" s="1"/>
  <c r="Q130" i="2"/>
  <c r="P135" i="3" s="1"/>
  <c r="J135" i="3"/>
  <c r="L130" i="2"/>
  <c r="N135" i="3" s="1"/>
  <c r="I130" i="2"/>
  <c r="K135" i="3" s="1"/>
  <c r="S127" i="2"/>
  <c r="T127" i="2" s="1"/>
  <c r="D127" i="2"/>
  <c r="C132" i="3" s="1"/>
  <c r="D128" i="2"/>
  <c r="C133" i="3" s="1"/>
  <c r="A130" i="2"/>
  <c r="N131" i="2" s="1"/>
  <c r="A134" i="3"/>
  <c r="B129" i="2"/>
  <c r="C129" i="2" s="1"/>
  <c r="H60" i="7"/>
  <c r="E60" i="7"/>
  <c r="Q131" i="2" l="1"/>
  <c r="P136" i="3" s="1"/>
  <c r="J136" i="3"/>
  <c r="L131" i="2"/>
  <c r="N136" i="3" s="1"/>
  <c r="I131" i="2"/>
  <c r="K136" i="3" s="1"/>
  <c r="P131" i="2"/>
  <c r="O136" i="3" s="1"/>
  <c r="M131" i="2"/>
  <c r="I136" i="3" s="1"/>
  <c r="J131" i="2"/>
  <c r="L136" i="3" s="1"/>
  <c r="S128" i="2"/>
  <c r="T128" i="2" s="1"/>
  <c r="D129" i="2"/>
  <c r="C134" i="3" s="1"/>
  <c r="B133" i="3"/>
  <c r="A131" i="2"/>
  <c r="N132" i="2" s="1"/>
  <c r="A135" i="3"/>
  <c r="B130" i="2"/>
  <c r="C130" i="2" s="1"/>
  <c r="G61" i="7"/>
  <c r="P132" i="2" l="1"/>
  <c r="O137" i="3" s="1"/>
  <c r="M132" i="2"/>
  <c r="I137" i="3" s="1"/>
  <c r="J132" i="2"/>
  <c r="L137" i="3" s="1"/>
  <c r="Q132" i="2"/>
  <c r="P137" i="3" s="1"/>
  <c r="J137" i="3"/>
  <c r="L132" i="2"/>
  <c r="N137" i="3" s="1"/>
  <c r="I132" i="2"/>
  <c r="K137" i="3" s="1"/>
  <c r="S129" i="2"/>
  <c r="T129" i="2" s="1"/>
  <c r="B134" i="3"/>
  <c r="D130" i="2"/>
  <c r="C135" i="3" s="1"/>
  <c r="A132" i="2"/>
  <c r="A136" i="3"/>
  <c r="B131" i="2"/>
  <c r="C131" i="2" s="1"/>
  <c r="F61" i="7"/>
  <c r="K133" i="2" l="1"/>
  <c r="M138" i="3" s="1"/>
  <c r="N133" i="2"/>
  <c r="AE11" i="2" s="1"/>
  <c r="P133" i="2"/>
  <c r="O138" i="3" s="1"/>
  <c r="M133" i="2"/>
  <c r="I138" i="3" s="1"/>
  <c r="I133" i="2"/>
  <c r="K138" i="3" s="1"/>
  <c r="Q133" i="2"/>
  <c r="P138" i="3" s="1"/>
  <c r="J138" i="3"/>
  <c r="L133" i="2"/>
  <c r="N138" i="3" s="1"/>
  <c r="J133" i="2"/>
  <c r="L138" i="3" s="1"/>
  <c r="S130" i="2"/>
  <c r="T130" i="2" s="1"/>
  <c r="B135" i="3"/>
  <c r="D131" i="2"/>
  <c r="C136" i="3" s="1"/>
  <c r="A133" i="2"/>
  <c r="N134" i="2" s="1"/>
  <c r="A137" i="3"/>
  <c r="B132" i="2"/>
  <c r="C132" i="2" s="1"/>
  <c r="H61" i="7"/>
  <c r="E61" i="7"/>
  <c r="Y11" i="2" l="1"/>
  <c r="Z11" i="2" s="1"/>
  <c r="Q134" i="2"/>
  <c r="P139" i="3" s="1"/>
  <c r="J139" i="3"/>
  <c r="L134" i="2"/>
  <c r="N139" i="3" s="1"/>
  <c r="I134" i="2"/>
  <c r="K139" i="3" s="1"/>
  <c r="P134" i="2"/>
  <c r="O139" i="3" s="1"/>
  <c r="M134" i="2"/>
  <c r="I139" i="3" s="1"/>
  <c r="J134" i="2"/>
  <c r="L139" i="3" s="1"/>
  <c r="B136" i="3"/>
  <c r="S131" i="2"/>
  <c r="T131" i="2" s="1"/>
  <c r="D132" i="2"/>
  <c r="C137" i="3" s="1"/>
  <c r="A134" i="2"/>
  <c r="N135" i="2" s="1"/>
  <c r="A138" i="3"/>
  <c r="B133" i="2"/>
  <c r="C133" i="2" s="1"/>
  <c r="G62" i="7"/>
  <c r="P135" i="2" l="1"/>
  <c r="O140" i="3" s="1"/>
  <c r="M135" i="2"/>
  <c r="I140" i="3" s="1"/>
  <c r="J135" i="2"/>
  <c r="L140" i="3" s="1"/>
  <c r="Q135" i="2"/>
  <c r="P140" i="3" s="1"/>
  <c r="J140" i="3"/>
  <c r="L135" i="2"/>
  <c r="N140" i="3" s="1"/>
  <c r="I135" i="2"/>
  <c r="K140" i="3" s="1"/>
  <c r="B137" i="3"/>
  <c r="S132" i="2"/>
  <c r="T132" i="2" s="1"/>
  <c r="D133" i="2"/>
  <c r="C138" i="3" s="1"/>
  <c r="A135" i="2"/>
  <c r="N136" i="2" s="1"/>
  <c r="A139" i="3"/>
  <c r="B134" i="2"/>
  <c r="C134" i="2" s="1"/>
  <c r="F62" i="7"/>
  <c r="Q136" i="2" l="1"/>
  <c r="P141" i="3" s="1"/>
  <c r="J141" i="3"/>
  <c r="L136" i="2"/>
  <c r="N141" i="3" s="1"/>
  <c r="I136" i="2"/>
  <c r="K141" i="3" s="1"/>
  <c r="P136" i="2"/>
  <c r="O141" i="3" s="1"/>
  <c r="M136" i="2"/>
  <c r="I141" i="3" s="1"/>
  <c r="J136" i="2"/>
  <c r="L141" i="3" s="1"/>
  <c r="S133" i="2"/>
  <c r="T133" i="2" s="1"/>
  <c r="B138" i="3"/>
  <c r="B139" i="3"/>
  <c r="A136" i="2"/>
  <c r="N137" i="2" s="1"/>
  <c r="A140" i="3"/>
  <c r="B135" i="2"/>
  <c r="C135" i="2" s="1"/>
  <c r="H62" i="7"/>
  <c r="E62" i="7"/>
  <c r="P137" i="2" l="1"/>
  <c r="O142" i="3" s="1"/>
  <c r="M137" i="2"/>
  <c r="I142" i="3" s="1"/>
  <c r="J137" i="2"/>
  <c r="L142" i="3" s="1"/>
  <c r="Q137" i="2"/>
  <c r="P142" i="3" s="1"/>
  <c r="J142" i="3"/>
  <c r="L137" i="2"/>
  <c r="N142" i="3" s="1"/>
  <c r="I137" i="2"/>
  <c r="K142" i="3" s="1"/>
  <c r="S134" i="2"/>
  <c r="T134" i="2" s="1"/>
  <c r="D134" i="2"/>
  <c r="C139" i="3" s="1"/>
  <c r="D135" i="2"/>
  <c r="C140" i="3" s="1"/>
  <c r="A137" i="2"/>
  <c r="N138" i="2" s="1"/>
  <c r="A141" i="3"/>
  <c r="B136" i="2"/>
  <c r="C136" i="2" s="1"/>
  <c r="G63" i="7"/>
  <c r="Q138" i="2" l="1"/>
  <c r="P143" i="3" s="1"/>
  <c r="J143" i="3"/>
  <c r="L138" i="2"/>
  <c r="N143" i="3" s="1"/>
  <c r="I138" i="2"/>
  <c r="K143" i="3" s="1"/>
  <c r="P138" i="2"/>
  <c r="O143" i="3" s="1"/>
  <c r="M138" i="2"/>
  <c r="I143" i="3" s="1"/>
  <c r="J138" i="2"/>
  <c r="L143" i="3" s="1"/>
  <c r="B140" i="3"/>
  <c r="B141" i="3"/>
  <c r="S135" i="2"/>
  <c r="T135" i="2" s="1"/>
  <c r="A138" i="2"/>
  <c r="N139" i="2" s="1"/>
  <c r="A142" i="3"/>
  <c r="B137" i="2"/>
  <c r="C137" i="2" s="1"/>
  <c r="F63" i="7"/>
  <c r="P139" i="2" l="1"/>
  <c r="O144" i="3" s="1"/>
  <c r="M139" i="2"/>
  <c r="I144" i="3" s="1"/>
  <c r="J139" i="2"/>
  <c r="L144" i="3" s="1"/>
  <c r="Q139" i="2"/>
  <c r="P144" i="3" s="1"/>
  <c r="J144" i="3"/>
  <c r="L139" i="2"/>
  <c r="N144" i="3" s="1"/>
  <c r="I139" i="2"/>
  <c r="K144" i="3" s="1"/>
  <c r="S136" i="2"/>
  <c r="T136" i="2" s="1"/>
  <c r="D136" i="2"/>
  <c r="C141" i="3" s="1"/>
  <c r="D137" i="2"/>
  <c r="C142" i="3" s="1"/>
  <c r="A139" i="2"/>
  <c r="N140" i="2" s="1"/>
  <c r="A143" i="3"/>
  <c r="B138" i="2"/>
  <c r="C138" i="2" s="1"/>
  <c r="H63" i="7"/>
  <c r="E63" i="7"/>
  <c r="Q140" i="2" l="1"/>
  <c r="P145" i="3" s="1"/>
  <c r="J145" i="3"/>
  <c r="L140" i="2"/>
  <c r="N145" i="3" s="1"/>
  <c r="I140" i="2"/>
  <c r="K145" i="3" s="1"/>
  <c r="P140" i="2"/>
  <c r="O145" i="3" s="1"/>
  <c r="M140" i="2"/>
  <c r="I145" i="3" s="1"/>
  <c r="J140" i="2"/>
  <c r="L145" i="3" s="1"/>
  <c r="B142" i="3"/>
  <c r="D138" i="2"/>
  <c r="C143" i="3" s="1"/>
  <c r="S137" i="2"/>
  <c r="T137" i="2" s="1"/>
  <c r="A140" i="2"/>
  <c r="N141" i="2" s="1"/>
  <c r="A144" i="3"/>
  <c r="B139" i="2"/>
  <c r="C139" i="2" s="1"/>
  <c r="G64" i="7"/>
  <c r="P141" i="2" l="1"/>
  <c r="O146" i="3" s="1"/>
  <c r="M141" i="2"/>
  <c r="I146" i="3" s="1"/>
  <c r="J141" i="2"/>
  <c r="L146" i="3" s="1"/>
  <c r="Q141" i="2"/>
  <c r="P146" i="3" s="1"/>
  <c r="J146" i="3"/>
  <c r="L141" i="2"/>
  <c r="N146" i="3" s="1"/>
  <c r="I141" i="2"/>
  <c r="K146" i="3" s="1"/>
  <c r="S138" i="2"/>
  <c r="T138" i="2" s="1"/>
  <c r="B143" i="3"/>
  <c r="D139" i="2"/>
  <c r="C144" i="3" s="1"/>
  <c r="A141" i="2"/>
  <c r="N142" i="2" s="1"/>
  <c r="A145" i="3"/>
  <c r="B140" i="2"/>
  <c r="C140" i="2" s="1"/>
  <c r="F64" i="7"/>
  <c r="Q142" i="2" l="1"/>
  <c r="P147" i="3" s="1"/>
  <c r="J147" i="3"/>
  <c r="L142" i="2"/>
  <c r="N147" i="3" s="1"/>
  <c r="I142" i="2"/>
  <c r="K147" i="3" s="1"/>
  <c r="P142" i="2"/>
  <c r="O147" i="3" s="1"/>
  <c r="M142" i="2"/>
  <c r="I147" i="3" s="1"/>
  <c r="J142" i="2"/>
  <c r="L147" i="3" s="1"/>
  <c r="S139" i="2"/>
  <c r="T139" i="2" s="1"/>
  <c r="B144" i="3"/>
  <c r="D140" i="2"/>
  <c r="C145" i="3" s="1"/>
  <c r="A142" i="2"/>
  <c r="N143" i="2" s="1"/>
  <c r="A146" i="3"/>
  <c r="B141" i="2"/>
  <c r="C141" i="2" s="1"/>
  <c r="H64" i="7"/>
  <c r="E64" i="7"/>
  <c r="P143" i="2" l="1"/>
  <c r="O148" i="3" s="1"/>
  <c r="M143" i="2"/>
  <c r="I148" i="3" s="1"/>
  <c r="J143" i="2"/>
  <c r="L148" i="3" s="1"/>
  <c r="Q143" i="2"/>
  <c r="P148" i="3" s="1"/>
  <c r="J148" i="3"/>
  <c r="L143" i="2"/>
  <c r="N148" i="3" s="1"/>
  <c r="I143" i="2"/>
  <c r="K148" i="3" s="1"/>
  <c r="S140" i="2"/>
  <c r="T140" i="2" s="1"/>
  <c r="B145" i="3"/>
  <c r="S141" i="2"/>
  <c r="T141" i="2" s="1"/>
  <c r="A143" i="2"/>
  <c r="N144" i="2" s="1"/>
  <c r="A147" i="3"/>
  <c r="B142" i="2"/>
  <c r="C142" i="2" s="1"/>
  <c r="G65" i="7"/>
  <c r="Q144" i="2" l="1"/>
  <c r="P149" i="3" s="1"/>
  <c r="J149" i="3"/>
  <c r="L144" i="2"/>
  <c r="N149" i="3" s="1"/>
  <c r="I144" i="2"/>
  <c r="K149" i="3" s="1"/>
  <c r="P144" i="2"/>
  <c r="O149" i="3" s="1"/>
  <c r="M144" i="2"/>
  <c r="I149" i="3" s="1"/>
  <c r="J144" i="2"/>
  <c r="L149" i="3" s="1"/>
  <c r="B146" i="3"/>
  <c r="D141" i="2"/>
  <c r="C146" i="3" s="1"/>
  <c r="D142" i="2"/>
  <c r="C147" i="3" s="1"/>
  <c r="A144" i="2"/>
  <c r="A148" i="3"/>
  <c r="B143" i="2"/>
  <c r="C143" i="2" s="1"/>
  <c r="F65" i="7"/>
  <c r="K145" i="2" l="1"/>
  <c r="M150" i="3" s="1"/>
  <c r="N145" i="2"/>
  <c r="L145" i="2"/>
  <c r="N150" i="3" s="1"/>
  <c r="J145" i="2"/>
  <c r="L150" i="3" s="1"/>
  <c r="M145" i="2"/>
  <c r="I150" i="3" s="1"/>
  <c r="Y12" i="2"/>
  <c r="Z12" i="2" s="1"/>
  <c r="I145" i="2"/>
  <c r="K150" i="3" s="1"/>
  <c r="S142" i="2"/>
  <c r="T142" i="2" s="1"/>
  <c r="B147" i="3"/>
  <c r="D143" i="2"/>
  <c r="C148" i="3" s="1"/>
  <c r="A145" i="2"/>
  <c r="N146" i="2" s="1"/>
  <c r="A149" i="3"/>
  <c r="B144" i="2"/>
  <c r="C144" i="2" s="1"/>
  <c r="H65" i="7"/>
  <c r="E65" i="7"/>
  <c r="J150" i="3" l="1"/>
  <c r="AE12" i="2"/>
  <c r="P146" i="2"/>
  <c r="O151" i="3" s="1"/>
  <c r="M146" i="2"/>
  <c r="I151" i="3" s="1"/>
  <c r="J146" i="2"/>
  <c r="L151" i="3" s="1"/>
  <c r="Q146" i="2"/>
  <c r="P151" i="3" s="1"/>
  <c r="J151" i="3"/>
  <c r="L146" i="2"/>
  <c r="N151" i="3" s="1"/>
  <c r="I146" i="2"/>
  <c r="K151" i="3" s="1"/>
  <c r="S143" i="2"/>
  <c r="T143" i="2" s="1"/>
  <c r="B148" i="3"/>
  <c r="D144" i="2"/>
  <c r="C149" i="3" s="1"/>
  <c r="A150" i="3"/>
  <c r="A146" i="2"/>
  <c r="N147" i="2" s="1"/>
  <c r="B145" i="2"/>
  <c r="C145" i="2" s="1"/>
  <c r="G66" i="7"/>
  <c r="Q147" i="2" l="1"/>
  <c r="P152" i="3" s="1"/>
  <c r="J152" i="3"/>
  <c r="L147" i="2"/>
  <c r="N152" i="3" s="1"/>
  <c r="I147" i="2"/>
  <c r="K152" i="3" s="1"/>
  <c r="P147" i="2"/>
  <c r="O152" i="3" s="1"/>
  <c r="M147" i="2"/>
  <c r="I152" i="3" s="1"/>
  <c r="J147" i="2"/>
  <c r="L152" i="3" s="1"/>
  <c r="B149" i="3"/>
  <c r="S144" i="2"/>
  <c r="T144" i="2" s="1"/>
  <c r="D145" i="2"/>
  <c r="C150" i="3" s="1"/>
  <c r="A147" i="2"/>
  <c r="N148" i="2" s="1"/>
  <c r="A151" i="3"/>
  <c r="B146" i="2"/>
  <c r="C146" i="2" s="1"/>
  <c r="F66" i="7"/>
  <c r="P148" i="2" l="1"/>
  <c r="O153" i="3" s="1"/>
  <c r="M148" i="2"/>
  <c r="I153" i="3" s="1"/>
  <c r="J148" i="2"/>
  <c r="L153" i="3" s="1"/>
  <c r="Q148" i="2"/>
  <c r="P153" i="3" s="1"/>
  <c r="J153" i="3"/>
  <c r="L148" i="2"/>
  <c r="N153" i="3" s="1"/>
  <c r="I148" i="2"/>
  <c r="K153" i="3" s="1"/>
  <c r="B150" i="3"/>
  <c r="S145" i="2"/>
  <c r="T145" i="2" s="1"/>
  <c r="D146" i="2"/>
  <c r="C151" i="3" s="1"/>
  <c r="A148" i="2"/>
  <c r="N149" i="2" s="1"/>
  <c r="A152" i="3"/>
  <c r="B147" i="2"/>
  <c r="C147" i="2" s="1"/>
  <c r="H66" i="7"/>
  <c r="E66" i="7"/>
  <c r="Q149" i="2" l="1"/>
  <c r="P154" i="3" s="1"/>
  <c r="J154" i="3"/>
  <c r="L149" i="2"/>
  <c r="N154" i="3" s="1"/>
  <c r="I149" i="2"/>
  <c r="K154" i="3" s="1"/>
  <c r="P149" i="2"/>
  <c r="O154" i="3" s="1"/>
  <c r="M149" i="2"/>
  <c r="I154" i="3" s="1"/>
  <c r="J149" i="2"/>
  <c r="L154" i="3" s="1"/>
  <c r="S146" i="2"/>
  <c r="T146" i="2" s="1"/>
  <c r="B151" i="3"/>
  <c r="S147" i="2"/>
  <c r="T147" i="2" s="1"/>
  <c r="A149" i="2"/>
  <c r="N150" i="2" s="1"/>
  <c r="A153" i="3"/>
  <c r="B148" i="2"/>
  <c r="C148" i="2" s="1"/>
  <c r="G67" i="7"/>
  <c r="P150" i="2" l="1"/>
  <c r="O155" i="3" s="1"/>
  <c r="M150" i="2"/>
  <c r="I155" i="3" s="1"/>
  <c r="J150" i="2"/>
  <c r="L155" i="3" s="1"/>
  <c r="Q150" i="2"/>
  <c r="P155" i="3" s="1"/>
  <c r="J155" i="3"/>
  <c r="L150" i="2"/>
  <c r="N155" i="3" s="1"/>
  <c r="I150" i="2"/>
  <c r="K155" i="3" s="1"/>
  <c r="B152" i="3"/>
  <c r="D147" i="2"/>
  <c r="C152" i="3" s="1"/>
  <c r="D148" i="2"/>
  <c r="C153" i="3" s="1"/>
  <c r="A150" i="2"/>
  <c r="N151" i="2" s="1"/>
  <c r="A154" i="3"/>
  <c r="B149" i="2"/>
  <c r="C149" i="2" s="1"/>
  <c r="F67" i="7"/>
  <c r="Q151" i="2" l="1"/>
  <c r="P156" i="3" s="1"/>
  <c r="J156" i="3"/>
  <c r="L151" i="2"/>
  <c r="N156" i="3" s="1"/>
  <c r="I151" i="2"/>
  <c r="K156" i="3" s="1"/>
  <c r="P151" i="2"/>
  <c r="O156" i="3" s="1"/>
  <c r="M151" i="2"/>
  <c r="I156" i="3" s="1"/>
  <c r="J151" i="2"/>
  <c r="L156" i="3" s="1"/>
  <c r="B153" i="3"/>
  <c r="S148" i="2"/>
  <c r="T148" i="2" s="1"/>
  <c r="D149" i="2"/>
  <c r="C154" i="3" s="1"/>
  <c r="A151" i="2"/>
  <c r="N152" i="2" s="1"/>
  <c r="A155" i="3"/>
  <c r="B150" i="2"/>
  <c r="C150" i="2" s="1"/>
  <c r="H67" i="7"/>
  <c r="E67" i="7"/>
  <c r="P152" i="2" l="1"/>
  <c r="O157" i="3" s="1"/>
  <c r="M152" i="2"/>
  <c r="I157" i="3" s="1"/>
  <c r="J152" i="2"/>
  <c r="L157" i="3" s="1"/>
  <c r="Q152" i="2"/>
  <c r="P157" i="3" s="1"/>
  <c r="J157" i="3"/>
  <c r="L152" i="2"/>
  <c r="N157" i="3" s="1"/>
  <c r="I152" i="2"/>
  <c r="K157" i="3" s="1"/>
  <c r="S149" i="2"/>
  <c r="T149" i="2" s="1"/>
  <c r="B154" i="3"/>
  <c r="D150" i="2"/>
  <c r="C155" i="3" s="1"/>
  <c r="A152" i="2"/>
  <c r="N153" i="2" s="1"/>
  <c r="A156" i="3"/>
  <c r="B151" i="2"/>
  <c r="C151" i="2" s="1"/>
  <c r="G68" i="7"/>
  <c r="Q153" i="2" l="1"/>
  <c r="P158" i="3" s="1"/>
  <c r="J158" i="3"/>
  <c r="L153" i="2"/>
  <c r="N158" i="3" s="1"/>
  <c r="I153" i="2"/>
  <c r="K158" i="3" s="1"/>
  <c r="P153" i="2"/>
  <c r="O158" i="3" s="1"/>
  <c r="M153" i="2"/>
  <c r="I158" i="3" s="1"/>
  <c r="J153" i="2"/>
  <c r="L158" i="3" s="1"/>
  <c r="S150" i="2"/>
  <c r="T150" i="2" s="1"/>
  <c r="B155" i="3"/>
  <c r="D151" i="2"/>
  <c r="C156" i="3" s="1"/>
  <c r="A153" i="2"/>
  <c r="N154" i="2" s="1"/>
  <c r="A157" i="3"/>
  <c r="B152" i="2"/>
  <c r="C152" i="2" s="1"/>
  <c r="F68" i="7"/>
  <c r="P154" i="2" l="1"/>
  <c r="O159" i="3" s="1"/>
  <c r="M154" i="2"/>
  <c r="I159" i="3" s="1"/>
  <c r="J154" i="2"/>
  <c r="L159" i="3" s="1"/>
  <c r="Q154" i="2"/>
  <c r="P159" i="3" s="1"/>
  <c r="J159" i="3"/>
  <c r="L154" i="2"/>
  <c r="N159" i="3" s="1"/>
  <c r="I154" i="2"/>
  <c r="K159" i="3" s="1"/>
  <c r="S151" i="2"/>
  <c r="T151" i="2" s="1"/>
  <c r="B156" i="3"/>
  <c r="D152" i="2"/>
  <c r="C157" i="3" s="1"/>
  <c r="A154" i="2"/>
  <c r="N155" i="2" s="1"/>
  <c r="A158" i="3"/>
  <c r="B153" i="2"/>
  <c r="C153" i="2" s="1"/>
  <c r="H68" i="7"/>
  <c r="E68" i="7"/>
  <c r="Q155" i="2" l="1"/>
  <c r="P160" i="3" s="1"/>
  <c r="J160" i="3"/>
  <c r="L155" i="2"/>
  <c r="N160" i="3" s="1"/>
  <c r="I155" i="2"/>
  <c r="K160" i="3" s="1"/>
  <c r="P155" i="2"/>
  <c r="O160" i="3" s="1"/>
  <c r="M155" i="2"/>
  <c r="I160" i="3" s="1"/>
  <c r="J155" i="2"/>
  <c r="L160" i="3" s="1"/>
  <c r="S152" i="2"/>
  <c r="T152" i="2" s="1"/>
  <c r="B157" i="3"/>
  <c r="D153" i="2"/>
  <c r="C158" i="3" s="1"/>
  <c r="A155" i="2"/>
  <c r="N156" i="2" s="1"/>
  <c r="A159" i="3"/>
  <c r="B154" i="2"/>
  <c r="C154" i="2" s="1"/>
  <c r="G69" i="7"/>
  <c r="P156" i="2" l="1"/>
  <c r="O161" i="3" s="1"/>
  <c r="M156" i="2"/>
  <c r="I161" i="3" s="1"/>
  <c r="J156" i="2"/>
  <c r="L161" i="3" s="1"/>
  <c r="Q156" i="2"/>
  <c r="P161" i="3" s="1"/>
  <c r="J161" i="3"/>
  <c r="L156" i="2"/>
  <c r="N161" i="3" s="1"/>
  <c r="I156" i="2"/>
  <c r="K161" i="3" s="1"/>
  <c r="B158" i="3"/>
  <c r="S153" i="2"/>
  <c r="T153" i="2" s="1"/>
  <c r="S154" i="2"/>
  <c r="T154" i="2" s="1"/>
  <c r="A156" i="2"/>
  <c r="A160" i="3"/>
  <c r="B155" i="2"/>
  <c r="C155" i="2" s="1"/>
  <c r="F69" i="7"/>
  <c r="K157" i="2" l="1"/>
  <c r="M162" i="3" s="1"/>
  <c r="N157" i="2"/>
  <c r="AE13" i="2" s="1"/>
  <c r="P157" i="2"/>
  <c r="O162" i="3" s="1"/>
  <c r="M157" i="2"/>
  <c r="I162" i="3" s="1"/>
  <c r="Y13" i="2"/>
  <c r="Z13" i="2" s="1"/>
  <c r="I157" i="2"/>
  <c r="K162" i="3" s="1"/>
  <c r="Q157" i="2"/>
  <c r="P162" i="3" s="1"/>
  <c r="J162" i="3"/>
  <c r="L157" i="2"/>
  <c r="N162" i="3" s="1"/>
  <c r="J157" i="2"/>
  <c r="L162" i="3" s="1"/>
  <c r="B159" i="3"/>
  <c r="D154" i="2"/>
  <c r="C159" i="3" s="1"/>
  <c r="B160" i="3"/>
  <c r="A157" i="2"/>
  <c r="N158" i="2" s="1"/>
  <c r="A161" i="3"/>
  <c r="B156" i="2"/>
  <c r="C156" i="2" s="1"/>
  <c r="H69" i="7"/>
  <c r="E69" i="7"/>
  <c r="Q158" i="2" l="1"/>
  <c r="P163" i="3" s="1"/>
  <c r="J163" i="3"/>
  <c r="L158" i="2"/>
  <c r="N163" i="3" s="1"/>
  <c r="I158" i="2"/>
  <c r="K163" i="3" s="1"/>
  <c r="P158" i="2"/>
  <c r="O163" i="3" s="1"/>
  <c r="M158" i="2"/>
  <c r="I163" i="3" s="1"/>
  <c r="J158" i="2"/>
  <c r="L163" i="3" s="1"/>
  <c r="S155" i="2"/>
  <c r="T155" i="2" s="1"/>
  <c r="D155" i="2"/>
  <c r="C160" i="3" s="1"/>
  <c r="B161" i="3"/>
  <c r="A158" i="2"/>
  <c r="N159" i="2" s="1"/>
  <c r="A162" i="3"/>
  <c r="B157" i="2"/>
  <c r="C157" i="2" s="1"/>
  <c r="G70" i="7"/>
  <c r="P159" i="2" l="1"/>
  <c r="O164" i="3" s="1"/>
  <c r="M159" i="2"/>
  <c r="I164" i="3" s="1"/>
  <c r="J159" i="2"/>
  <c r="L164" i="3" s="1"/>
  <c r="Q159" i="2"/>
  <c r="P164" i="3" s="1"/>
  <c r="J164" i="3"/>
  <c r="L159" i="2"/>
  <c r="N164" i="3" s="1"/>
  <c r="I159" i="2"/>
  <c r="K164" i="3" s="1"/>
  <c r="S156" i="2"/>
  <c r="T156" i="2" s="1"/>
  <c r="D156" i="2"/>
  <c r="C161" i="3" s="1"/>
  <c r="D157" i="2"/>
  <c r="C162" i="3" s="1"/>
  <c r="A159" i="2"/>
  <c r="N160" i="2" s="1"/>
  <c r="A163" i="3"/>
  <c r="B158" i="2"/>
  <c r="C158" i="2" s="1"/>
  <c r="F70" i="7"/>
  <c r="Q160" i="2" l="1"/>
  <c r="P165" i="3" s="1"/>
  <c r="J165" i="3"/>
  <c r="L160" i="2"/>
  <c r="N165" i="3" s="1"/>
  <c r="I160" i="2"/>
  <c r="K165" i="3" s="1"/>
  <c r="P160" i="2"/>
  <c r="O165" i="3" s="1"/>
  <c r="M160" i="2"/>
  <c r="I165" i="3" s="1"/>
  <c r="J160" i="2"/>
  <c r="L165" i="3" s="1"/>
  <c r="S157" i="2"/>
  <c r="T157" i="2" s="1"/>
  <c r="B162" i="3"/>
  <c r="D158" i="2"/>
  <c r="C163" i="3" s="1"/>
  <c r="A160" i="2"/>
  <c r="N161" i="2" s="1"/>
  <c r="A164" i="3"/>
  <c r="B159" i="2"/>
  <c r="C159" i="2" s="1"/>
  <c r="H70" i="7"/>
  <c r="E70" i="7"/>
  <c r="P161" i="2" l="1"/>
  <c r="O166" i="3" s="1"/>
  <c r="M161" i="2"/>
  <c r="I166" i="3" s="1"/>
  <c r="J161" i="2"/>
  <c r="L166" i="3" s="1"/>
  <c r="Q161" i="2"/>
  <c r="P166" i="3" s="1"/>
  <c r="J166" i="3"/>
  <c r="L161" i="2"/>
  <c r="N166" i="3" s="1"/>
  <c r="I161" i="2"/>
  <c r="K166" i="3" s="1"/>
  <c r="B163" i="3"/>
  <c r="S158" i="2"/>
  <c r="T158" i="2" s="1"/>
  <c r="D159" i="2"/>
  <c r="C164" i="3" s="1"/>
  <c r="A161" i="2"/>
  <c r="N162" i="2" s="1"/>
  <c r="A165" i="3"/>
  <c r="B160" i="2"/>
  <c r="C160" i="2" s="1"/>
  <c r="G71" i="7"/>
  <c r="Q162" i="2" l="1"/>
  <c r="P167" i="3" s="1"/>
  <c r="J167" i="3"/>
  <c r="L162" i="2"/>
  <c r="N167" i="3" s="1"/>
  <c r="I162" i="2"/>
  <c r="K167" i="3" s="1"/>
  <c r="P162" i="2"/>
  <c r="O167" i="3" s="1"/>
  <c r="M162" i="2"/>
  <c r="I167" i="3" s="1"/>
  <c r="J162" i="2"/>
  <c r="L167" i="3" s="1"/>
  <c r="D160" i="2"/>
  <c r="C165" i="3" s="1"/>
  <c r="B164" i="3"/>
  <c r="S159" i="2"/>
  <c r="T159" i="2" s="1"/>
  <c r="A162" i="2"/>
  <c r="N163" i="2" s="1"/>
  <c r="A166" i="3"/>
  <c r="B161" i="2"/>
  <c r="C161" i="2" s="1"/>
  <c r="F71" i="7"/>
  <c r="P163" i="2" l="1"/>
  <c r="O168" i="3" s="1"/>
  <c r="M163" i="2"/>
  <c r="I168" i="3" s="1"/>
  <c r="J163" i="2"/>
  <c r="L168" i="3" s="1"/>
  <c r="Q163" i="2"/>
  <c r="P168" i="3" s="1"/>
  <c r="J168" i="3"/>
  <c r="L163" i="2"/>
  <c r="N168" i="3" s="1"/>
  <c r="I163" i="2"/>
  <c r="K168" i="3" s="1"/>
  <c r="B165" i="3"/>
  <c r="S160" i="2"/>
  <c r="T160" i="2" s="1"/>
  <c r="D161" i="2"/>
  <c r="C166" i="3" s="1"/>
  <c r="A163" i="2"/>
  <c r="N164" i="2" s="1"/>
  <c r="A167" i="3"/>
  <c r="B162" i="2"/>
  <c r="C162" i="2" s="1"/>
  <c r="H71" i="7"/>
  <c r="E71" i="7"/>
  <c r="Q164" i="2" l="1"/>
  <c r="P169" i="3" s="1"/>
  <c r="J169" i="3"/>
  <c r="L164" i="2"/>
  <c r="N169" i="3" s="1"/>
  <c r="I164" i="2"/>
  <c r="K169" i="3" s="1"/>
  <c r="P164" i="2"/>
  <c r="O169" i="3" s="1"/>
  <c r="M164" i="2"/>
  <c r="I169" i="3" s="1"/>
  <c r="J164" i="2"/>
  <c r="L169" i="3" s="1"/>
  <c r="S161" i="2"/>
  <c r="T161" i="2" s="1"/>
  <c r="B166" i="3"/>
  <c r="S162" i="2"/>
  <c r="T162" i="2" s="1"/>
  <c r="A164" i="2"/>
  <c r="N165" i="2" s="1"/>
  <c r="A168" i="3"/>
  <c r="B163" i="2"/>
  <c r="C163" i="2" s="1"/>
  <c r="G72" i="7"/>
  <c r="P165" i="2" l="1"/>
  <c r="O170" i="3" s="1"/>
  <c r="M165" i="2"/>
  <c r="I170" i="3" s="1"/>
  <c r="J165" i="2"/>
  <c r="L170" i="3" s="1"/>
  <c r="Q165" i="2"/>
  <c r="P170" i="3" s="1"/>
  <c r="J170" i="3"/>
  <c r="L165" i="2"/>
  <c r="N170" i="3" s="1"/>
  <c r="I165" i="2"/>
  <c r="K170" i="3" s="1"/>
  <c r="B167" i="3"/>
  <c r="D162" i="2"/>
  <c r="C167" i="3" s="1"/>
  <c r="D163" i="2"/>
  <c r="C168" i="3" s="1"/>
  <c r="A165" i="2"/>
  <c r="N166" i="2" s="1"/>
  <c r="A169" i="3"/>
  <c r="B164" i="2"/>
  <c r="C164" i="2" s="1"/>
  <c r="F72" i="7"/>
  <c r="Q166" i="2" l="1"/>
  <c r="P171" i="3" s="1"/>
  <c r="J171" i="3"/>
  <c r="L166" i="2"/>
  <c r="N171" i="3" s="1"/>
  <c r="I166" i="2"/>
  <c r="K171" i="3" s="1"/>
  <c r="P166" i="2"/>
  <c r="O171" i="3" s="1"/>
  <c r="M166" i="2"/>
  <c r="I171" i="3" s="1"/>
  <c r="J166" i="2"/>
  <c r="L171" i="3" s="1"/>
  <c r="S163" i="2"/>
  <c r="T163" i="2" s="1"/>
  <c r="B168" i="3"/>
  <c r="S164" i="2"/>
  <c r="T164" i="2" s="1"/>
  <c r="A166" i="2"/>
  <c r="N167" i="2" s="1"/>
  <c r="A170" i="3"/>
  <c r="B165" i="2"/>
  <c r="C165" i="2" s="1"/>
  <c r="H72" i="7"/>
  <c r="E72" i="7"/>
  <c r="P167" i="2" l="1"/>
  <c r="O172" i="3" s="1"/>
  <c r="M167" i="2"/>
  <c r="I172" i="3" s="1"/>
  <c r="J167" i="2"/>
  <c r="L172" i="3" s="1"/>
  <c r="Q167" i="2"/>
  <c r="P172" i="3" s="1"/>
  <c r="J172" i="3"/>
  <c r="L167" i="2"/>
  <c r="N172" i="3" s="1"/>
  <c r="I167" i="2"/>
  <c r="K172" i="3" s="1"/>
  <c r="B169" i="3"/>
  <c r="D165" i="2"/>
  <c r="C170" i="3" s="1"/>
  <c r="D164" i="2"/>
  <c r="C169" i="3" s="1"/>
  <c r="A167" i="2"/>
  <c r="N168" i="2" s="1"/>
  <c r="A171" i="3"/>
  <c r="B166" i="2"/>
  <c r="C166" i="2" s="1"/>
  <c r="G73" i="7"/>
  <c r="Q168" i="2" l="1"/>
  <c r="P173" i="3" s="1"/>
  <c r="J173" i="3"/>
  <c r="L168" i="2"/>
  <c r="N173" i="3" s="1"/>
  <c r="I168" i="2"/>
  <c r="K173" i="3" s="1"/>
  <c r="P168" i="2"/>
  <c r="O173" i="3" s="1"/>
  <c r="M168" i="2"/>
  <c r="I173" i="3" s="1"/>
  <c r="J168" i="2"/>
  <c r="L173" i="3" s="1"/>
  <c r="B170" i="3"/>
  <c r="S165" i="2"/>
  <c r="T165" i="2" s="1"/>
  <c r="B171" i="3"/>
  <c r="A168" i="2"/>
  <c r="A172" i="3"/>
  <c r="B167" i="2"/>
  <c r="C167" i="2" s="1"/>
  <c r="F73" i="7"/>
  <c r="K169" i="2" l="1"/>
  <c r="M174" i="3" s="1"/>
  <c r="N169" i="2"/>
  <c r="AE14" i="2" s="1"/>
  <c r="Q169" i="2"/>
  <c r="P174" i="3" s="1"/>
  <c r="L169" i="2"/>
  <c r="N174" i="3" s="1"/>
  <c r="J169" i="2"/>
  <c r="L174" i="3" s="1"/>
  <c r="P169" i="2"/>
  <c r="O174" i="3" s="1"/>
  <c r="M169" i="2"/>
  <c r="I174" i="3" s="1"/>
  <c r="I169" i="2"/>
  <c r="K174" i="3" s="1"/>
  <c r="S166" i="2"/>
  <c r="T166" i="2" s="1"/>
  <c r="D166" i="2"/>
  <c r="C171" i="3" s="1"/>
  <c r="D167" i="2"/>
  <c r="C172" i="3" s="1"/>
  <c r="A169" i="2"/>
  <c r="N170" i="2" s="1"/>
  <c r="A173" i="3"/>
  <c r="B168" i="2"/>
  <c r="C168" i="2" s="1"/>
  <c r="H73" i="7"/>
  <c r="E73" i="7"/>
  <c r="Y14" i="2" l="1"/>
  <c r="Z14" i="2" s="1"/>
  <c r="J174" i="3"/>
  <c r="P170" i="2"/>
  <c r="O175" i="3" s="1"/>
  <c r="M170" i="2"/>
  <c r="I175" i="3" s="1"/>
  <c r="J170" i="2"/>
  <c r="L175" i="3" s="1"/>
  <c r="Q170" i="2"/>
  <c r="P175" i="3" s="1"/>
  <c r="J175" i="3"/>
  <c r="L170" i="2"/>
  <c r="N175" i="3" s="1"/>
  <c r="I170" i="2"/>
  <c r="K175" i="3" s="1"/>
  <c r="S167" i="2"/>
  <c r="T167" i="2" s="1"/>
  <c r="B172" i="3"/>
  <c r="D168" i="2"/>
  <c r="C173" i="3" s="1"/>
  <c r="A170" i="2"/>
  <c r="N171" i="2" s="1"/>
  <c r="A174" i="3"/>
  <c r="B169" i="2"/>
  <c r="C169" i="2" s="1"/>
  <c r="G74" i="7"/>
  <c r="Q171" i="2" l="1"/>
  <c r="P176" i="3" s="1"/>
  <c r="J176" i="3"/>
  <c r="L171" i="2"/>
  <c r="N176" i="3" s="1"/>
  <c r="P171" i="2"/>
  <c r="O176" i="3" s="1"/>
  <c r="M171" i="2"/>
  <c r="I176" i="3" s="1"/>
  <c r="J171" i="2"/>
  <c r="L176" i="3" s="1"/>
  <c r="I171" i="2"/>
  <c r="K176" i="3" s="1"/>
  <c r="B173" i="3"/>
  <c r="S168" i="2"/>
  <c r="T168" i="2" s="1"/>
  <c r="D169" i="2"/>
  <c r="C174" i="3" s="1"/>
  <c r="A171" i="2"/>
  <c r="N172" i="2" s="1"/>
  <c r="A175" i="3"/>
  <c r="B170" i="2"/>
  <c r="C170" i="2" s="1"/>
  <c r="F74" i="7"/>
  <c r="P172" i="2" l="1"/>
  <c r="O177" i="3" s="1"/>
  <c r="M172" i="2"/>
  <c r="I177" i="3" s="1"/>
  <c r="J172" i="2"/>
  <c r="L177" i="3" s="1"/>
  <c r="Q172" i="2"/>
  <c r="P177" i="3" s="1"/>
  <c r="J177" i="3"/>
  <c r="L172" i="2"/>
  <c r="N177" i="3" s="1"/>
  <c r="I172" i="2"/>
  <c r="K177" i="3" s="1"/>
  <c r="B174" i="3"/>
  <c r="S169" i="2"/>
  <c r="T169" i="2" s="1"/>
  <c r="B175" i="3"/>
  <c r="A172" i="2"/>
  <c r="N173" i="2" s="1"/>
  <c r="A176" i="3"/>
  <c r="B171" i="2"/>
  <c r="C171" i="2" s="1"/>
  <c r="H74" i="7"/>
  <c r="E74" i="7"/>
  <c r="Q173" i="2" l="1"/>
  <c r="P178" i="3" s="1"/>
  <c r="J178" i="3"/>
  <c r="L173" i="2"/>
  <c r="N178" i="3" s="1"/>
  <c r="I173" i="2"/>
  <c r="K178" i="3" s="1"/>
  <c r="P173" i="2"/>
  <c r="O178" i="3" s="1"/>
  <c r="M173" i="2"/>
  <c r="I178" i="3" s="1"/>
  <c r="J173" i="2"/>
  <c r="L178" i="3" s="1"/>
  <c r="S170" i="2"/>
  <c r="T170" i="2" s="1"/>
  <c r="D170" i="2"/>
  <c r="C175" i="3" s="1"/>
  <c r="D171" i="2"/>
  <c r="C176" i="3" s="1"/>
  <c r="A173" i="2"/>
  <c r="N174" i="2" s="1"/>
  <c r="A177" i="3"/>
  <c r="B172" i="2"/>
  <c r="C172" i="2" s="1"/>
  <c r="G75" i="7"/>
  <c r="P174" i="2" l="1"/>
  <c r="O179" i="3" s="1"/>
  <c r="M174" i="2"/>
  <c r="I179" i="3" s="1"/>
  <c r="J174" i="2"/>
  <c r="L179" i="3" s="1"/>
  <c r="Q174" i="2"/>
  <c r="P179" i="3" s="1"/>
  <c r="J179" i="3"/>
  <c r="L174" i="2"/>
  <c r="N179" i="3" s="1"/>
  <c r="I174" i="2"/>
  <c r="K179" i="3" s="1"/>
  <c r="S171" i="2"/>
  <c r="T171" i="2" s="1"/>
  <c r="B176" i="3"/>
  <c r="D172" i="2"/>
  <c r="C177" i="3" s="1"/>
  <c r="A174" i="2"/>
  <c r="N175" i="2" s="1"/>
  <c r="A178" i="3"/>
  <c r="B173" i="2"/>
  <c r="C173" i="2" s="1"/>
  <c r="F75" i="7"/>
  <c r="Q175" i="2" l="1"/>
  <c r="P180" i="3" s="1"/>
  <c r="J180" i="3"/>
  <c r="L175" i="2"/>
  <c r="N180" i="3" s="1"/>
  <c r="I175" i="2"/>
  <c r="K180" i="3" s="1"/>
  <c r="P175" i="2"/>
  <c r="O180" i="3" s="1"/>
  <c r="M175" i="2"/>
  <c r="I180" i="3" s="1"/>
  <c r="J175" i="2"/>
  <c r="L180" i="3" s="1"/>
  <c r="S172" i="2"/>
  <c r="T172" i="2" s="1"/>
  <c r="B177" i="3"/>
  <c r="D173" i="2"/>
  <c r="C178" i="3" s="1"/>
  <c r="A175" i="2"/>
  <c r="N176" i="2" s="1"/>
  <c r="A179" i="3"/>
  <c r="B174" i="2"/>
  <c r="C174" i="2" s="1"/>
  <c r="H75" i="7"/>
  <c r="E75" i="7"/>
  <c r="P176" i="2" l="1"/>
  <c r="O181" i="3" s="1"/>
  <c r="M176" i="2"/>
  <c r="I181" i="3" s="1"/>
  <c r="J176" i="2"/>
  <c r="L181" i="3" s="1"/>
  <c r="Q176" i="2"/>
  <c r="P181" i="3" s="1"/>
  <c r="J181" i="3"/>
  <c r="L176" i="2"/>
  <c r="N181" i="3" s="1"/>
  <c r="I176" i="2"/>
  <c r="K181" i="3" s="1"/>
  <c r="B178" i="3"/>
  <c r="D174" i="2"/>
  <c r="C179" i="3" s="1"/>
  <c r="S173" i="2"/>
  <c r="T173" i="2" s="1"/>
  <c r="A176" i="2"/>
  <c r="N177" i="2" s="1"/>
  <c r="A180" i="3"/>
  <c r="B175" i="2"/>
  <c r="C175" i="2" s="1"/>
  <c r="G76" i="7"/>
  <c r="Q177" i="2" l="1"/>
  <c r="P182" i="3" s="1"/>
  <c r="J182" i="3"/>
  <c r="L177" i="2"/>
  <c r="N182" i="3" s="1"/>
  <c r="I177" i="2"/>
  <c r="K182" i="3" s="1"/>
  <c r="P177" i="2"/>
  <c r="O182" i="3" s="1"/>
  <c r="M177" i="2"/>
  <c r="I182" i="3" s="1"/>
  <c r="J177" i="2"/>
  <c r="L182" i="3" s="1"/>
  <c r="S174" i="2"/>
  <c r="T174" i="2" s="1"/>
  <c r="B179" i="3"/>
  <c r="B180" i="3"/>
  <c r="A177" i="2"/>
  <c r="N178" i="2" s="1"/>
  <c r="A181" i="3"/>
  <c r="B176" i="2"/>
  <c r="C176" i="2" s="1"/>
  <c r="F76" i="7"/>
  <c r="P178" i="2" l="1"/>
  <c r="O183" i="3" s="1"/>
  <c r="M178" i="2"/>
  <c r="I183" i="3" s="1"/>
  <c r="J178" i="2"/>
  <c r="L183" i="3" s="1"/>
  <c r="Q178" i="2"/>
  <c r="P183" i="3" s="1"/>
  <c r="J183" i="3"/>
  <c r="L178" i="2"/>
  <c r="N183" i="3" s="1"/>
  <c r="I178" i="2"/>
  <c r="K183" i="3" s="1"/>
  <c r="S175" i="2"/>
  <c r="T175" i="2" s="1"/>
  <c r="D175" i="2"/>
  <c r="C180" i="3" s="1"/>
  <c r="D176" i="2"/>
  <c r="C181" i="3" s="1"/>
  <c r="A178" i="2"/>
  <c r="N179" i="2" s="1"/>
  <c r="A182" i="3"/>
  <c r="B177" i="2"/>
  <c r="C177" i="2" s="1"/>
  <c r="H76" i="7"/>
  <c r="E76" i="7"/>
  <c r="Q179" i="2" l="1"/>
  <c r="P184" i="3" s="1"/>
  <c r="J184" i="3"/>
  <c r="L179" i="2"/>
  <c r="N184" i="3" s="1"/>
  <c r="I179" i="2"/>
  <c r="K184" i="3" s="1"/>
  <c r="P179" i="2"/>
  <c r="O184" i="3" s="1"/>
  <c r="M179" i="2"/>
  <c r="I184" i="3" s="1"/>
  <c r="J179" i="2"/>
  <c r="L184" i="3" s="1"/>
  <c r="B181" i="3"/>
  <c r="S176" i="2"/>
  <c r="T176" i="2" s="1"/>
  <c r="D177" i="2"/>
  <c r="C182" i="3" s="1"/>
  <c r="A179" i="2"/>
  <c r="N180" i="2" s="1"/>
  <c r="A183" i="3"/>
  <c r="B178" i="2"/>
  <c r="C178" i="2" s="1"/>
  <c r="G77" i="7"/>
  <c r="P180" i="2" l="1"/>
  <c r="O185" i="3" s="1"/>
  <c r="M180" i="2"/>
  <c r="I185" i="3" s="1"/>
  <c r="J180" i="2"/>
  <c r="L185" i="3" s="1"/>
  <c r="Q180" i="2"/>
  <c r="P185" i="3" s="1"/>
  <c r="J185" i="3"/>
  <c r="L180" i="2"/>
  <c r="N185" i="3" s="1"/>
  <c r="I180" i="2"/>
  <c r="K185" i="3" s="1"/>
  <c r="S177" i="2"/>
  <c r="T177" i="2" s="1"/>
  <c r="B182" i="3"/>
  <c r="D178" i="2"/>
  <c r="C183" i="3" s="1"/>
  <c r="A180" i="2"/>
  <c r="A184" i="3"/>
  <c r="B179" i="2"/>
  <c r="C179" i="2" s="1"/>
  <c r="F77" i="7"/>
  <c r="K181" i="2" l="1"/>
  <c r="M186" i="3" s="1"/>
  <c r="N181" i="2"/>
  <c r="AE15" i="2" s="1"/>
  <c r="P181" i="2"/>
  <c r="O186" i="3" s="1"/>
  <c r="M181" i="2"/>
  <c r="I186" i="3" s="1"/>
  <c r="Y15" i="2"/>
  <c r="Z15" i="2" s="1"/>
  <c r="I181" i="2"/>
  <c r="K186" i="3" s="1"/>
  <c r="Q181" i="2"/>
  <c r="P186" i="3" s="1"/>
  <c r="J186" i="3"/>
  <c r="L181" i="2"/>
  <c r="N186" i="3" s="1"/>
  <c r="J181" i="2"/>
  <c r="L186" i="3" s="1"/>
  <c r="S178" i="2"/>
  <c r="T178" i="2" s="1"/>
  <c r="B183" i="3"/>
  <c r="D179" i="2"/>
  <c r="C184" i="3" s="1"/>
  <c r="A181" i="2"/>
  <c r="N182" i="2" s="1"/>
  <c r="A185" i="3"/>
  <c r="B180" i="2"/>
  <c r="C180" i="2" s="1"/>
  <c r="H77" i="7"/>
  <c r="E77" i="7"/>
  <c r="Q182" i="2" l="1"/>
  <c r="P187" i="3" s="1"/>
  <c r="J187" i="3"/>
  <c r="L182" i="2"/>
  <c r="N187" i="3" s="1"/>
  <c r="I182" i="2"/>
  <c r="K187" i="3" s="1"/>
  <c r="P182" i="2"/>
  <c r="O187" i="3" s="1"/>
  <c r="M182" i="2"/>
  <c r="I187" i="3" s="1"/>
  <c r="J182" i="2"/>
  <c r="L187" i="3" s="1"/>
  <c r="S179" i="2"/>
  <c r="T179" i="2" s="1"/>
  <c r="B184" i="3"/>
  <c r="D180" i="2"/>
  <c r="C185" i="3" s="1"/>
  <c r="A182" i="2"/>
  <c r="N183" i="2" s="1"/>
  <c r="A186" i="3"/>
  <c r="B181" i="2"/>
  <c r="C181" i="2" s="1"/>
  <c r="G78" i="7"/>
  <c r="P183" i="2" l="1"/>
  <c r="O188" i="3" s="1"/>
  <c r="M183" i="2"/>
  <c r="I188" i="3" s="1"/>
  <c r="J183" i="2"/>
  <c r="L188" i="3" s="1"/>
  <c r="Q183" i="2"/>
  <c r="P188" i="3" s="1"/>
  <c r="J188" i="3"/>
  <c r="L183" i="2"/>
  <c r="N188" i="3" s="1"/>
  <c r="I183" i="2"/>
  <c r="K188" i="3" s="1"/>
  <c r="S180" i="2"/>
  <c r="T180" i="2" s="1"/>
  <c r="B185" i="3"/>
  <c r="D181" i="2"/>
  <c r="C186" i="3" s="1"/>
  <c r="A183" i="2"/>
  <c r="N184" i="2" s="1"/>
  <c r="A187" i="3"/>
  <c r="B182" i="2"/>
  <c r="C182" i="2" s="1"/>
  <c r="F78" i="7"/>
  <c r="Q184" i="2" l="1"/>
  <c r="P189" i="3" s="1"/>
  <c r="J189" i="3"/>
  <c r="L184" i="2"/>
  <c r="N189" i="3" s="1"/>
  <c r="I184" i="2"/>
  <c r="K189" i="3" s="1"/>
  <c r="P184" i="2"/>
  <c r="O189" i="3" s="1"/>
  <c r="M184" i="2"/>
  <c r="I189" i="3" s="1"/>
  <c r="J184" i="2"/>
  <c r="L189" i="3" s="1"/>
  <c r="S181" i="2"/>
  <c r="T181" i="2" s="1"/>
  <c r="B186" i="3"/>
  <c r="D182" i="2"/>
  <c r="C187" i="3" s="1"/>
  <c r="A184" i="2"/>
  <c r="N185" i="2" s="1"/>
  <c r="A188" i="3"/>
  <c r="B183" i="2"/>
  <c r="C183" i="2" s="1"/>
  <c r="H78" i="7"/>
  <c r="E78" i="7"/>
  <c r="P185" i="2" l="1"/>
  <c r="O190" i="3" s="1"/>
  <c r="M185" i="2"/>
  <c r="I190" i="3" s="1"/>
  <c r="J185" i="2"/>
  <c r="L190" i="3" s="1"/>
  <c r="Q185" i="2"/>
  <c r="P190" i="3" s="1"/>
  <c r="J190" i="3"/>
  <c r="L185" i="2"/>
  <c r="N190" i="3" s="1"/>
  <c r="I185" i="2"/>
  <c r="K190" i="3" s="1"/>
  <c r="S182" i="2"/>
  <c r="T182" i="2" s="1"/>
  <c r="D183" i="2"/>
  <c r="C188" i="3" s="1"/>
  <c r="B187" i="3"/>
  <c r="A185" i="2"/>
  <c r="N186" i="2" s="1"/>
  <c r="A189" i="3"/>
  <c r="B184" i="2"/>
  <c r="C184" i="2" s="1"/>
  <c r="G79" i="7"/>
  <c r="Q186" i="2" l="1"/>
  <c r="P191" i="3" s="1"/>
  <c r="J191" i="3"/>
  <c r="L186" i="2"/>
  <c r="N191" i="3" s="1"/>
  <c r="I186" i="2"/>
  <c r="K191" i="3" s="1"/>
  <c r="P186" i="2"/>
  <c r="O191" i="3" s="1"/>
  <c r="M186" i="2"/>
  <c r="I191" i="3" s="1"/>
  <c r="J186" i="2"/>
  <c r="L191" i="3" s="1"/>
  <c r="D184" i="2"/>
  <c r="C189" i="3" s="1"/>
  <c r="B188" i="3"/>
  <c r="S183" i="2"/>
  <c r="T183" i="2" s="1"/>
  <c r="A186" i="2"/>
  <c r="N187" i="2" s="1"/>
  <c r="A190" i="3"/>
  <c r="B185" i="2"/>
  <c r="C185" i="2" s="1"/>
  <c r="F79" i="7"/>
  <c r="P187" i="2" l="1"/>
  <c r="O192" i="3" s="1"/>
  <c r="M187" i="2"/>
  <c r="I192" i="3" s="1"/>
  <c r="J187" i="2"/>
  <c r="L192" i="3" s="1"/>
  <c r="Q187" i="2"/>
  <c r="P192" i="3" s="1"/>
  <c r="J192" i="3"/>
  <c r="L187" i="2"/>
  <c r="N192" i="3" s="1"/>
  <c r="I187" i="2"/>
  <c r="K192" i="3" s="1"/>
  <c r="S184" i="2"/>
  <c r="T184" i="2" s="1"/>
  <c r="D185" i="2"/>
  <c r="C190" i="3" s="1"/>
  <c r="B189" i="3"/>
  <c r="A187" i="2"/>
  <c r="N188" i="2" s="1"/>
  <c r="A191" i="3"/>
  <c r="B186" i="2"/>
  <c r="C186" i="2" s="1"/>
  <c r="H79" i="7"/>
  <c r="E79" i="7"/>
  <c r="Q188" i="2" l="1"/>
  <c r="P193" i="3" s="1"/>
  <c r="J193" i="3"/>
  <c r="L188" i="2"/>
  <c r="N193" i="3" s="1"/>
  <c r="I188" i="2"/>
  <c r="K193" i="3" s="1"/>
  <c r="P188" i="2"/>
  <c r="O193" i="3" s="1"/>
  <c r="M188" i="2"/>
  <c r="I193" i="3" s="1"/>
  <c r="J188" i="2"/>
  <c r="L193" i="3" s="1"/>
  <c r="S185" i="2"/>
  <c r="T185" i="2" s="1"/>
  <c r="B190" i="3"/>
  <c r="D186" i="2"/>
  <c r="C191" i="3" s="1"/>
  <c r="A188" i="2"/>
  <c r="N189" i="2" s="1"/>
  <c r="A192" i="3"/>
  <c r="B187" i="2"/>
  <c r="C187" i="2" s="1"/>
  <c r="G80" i="7"/>
  <c r="P189" i="2" l="1"/>
  <c r="O194" i="3" s="1"/>
  <c r="M189" i="2"/>
  <c r="I194" i="3" s="1"/>
  <c r="J189" i="2"/>
  <c r="L194" i="3" s="1"/>
  <c r="Q189" i="2"/>
  <c r="P194" i="3" s="1"/>
  <c r="J194" i="3"/>
  <c r="L189" i="2"/>
  <c r="N194" i="3" s="1"/>
  <c r="I189" i="2"/>
  <c r="K194" i="3" s="1"/>
  <c r="B191" i="3"/>
  <c r="D187" i="2"/>
  <c r="C192" i="3" s="1"/>
  <c r="S186" i="2"/>
  <c r="T186" i="2" s="1"/>
  <c r="A189" i="2"/>
  <c r="N190" i="2" s="1"/>
  <c r="A193" i="3"/>
  <c r="B188" i="2"/>
  <c r="C188" i="2" s="1"/>
  <c r="F80" i="7"/>
  <c r="Q190" i="2" l="1"/>
  <c r="P195" i="3" s="1"/>
  <c r="J195" i="3"/>
  <c r="L190" i="2"/>
  <c r="N195" i="3" s="1"/>
  <c r="I190" i="2"/>
  <c r="K195" i="3" s="1"/>
  <c r="P190" i="2"/>
  <c r="O195" i="3" s="1"/>
  <c r="M190" i="2"/>
  <c r="I195" i="3" s="1"/>
  <c r="J190" i="2"/>
  <c r="L195" i="3" s="1"/>
  <c r="B192" i="3"/>
  <c r="S187" i="2"/>
  <c r="T187" i="2" s="1"/>
  <c r="S188" i="2"/>
  <c r="T188" i="2" s="1"/>
  <c r="A190" i="2"/>
  <c r="N191" i="2" s="1"/>
  <c r="A194" i="3"/>
  <c r="B189" i="2"/>
  <c r="C189" i="2" s="1"/>
  <c r="H80" i="7"/>
  <c r="E80" i="7"/>
  <c r="P191" i="2" l="1"/>
  <c r="O196" i="3" s="1"/>
  <c r="M191" i="2"/>
  <c r="I196" i="3" s="1"/>
  <c r="J191" i="2"/>
  <c r="L196" i="3" s="1"/>
  <c r="Q191" i="2"/>
  <c r="P196" i="3" s="1"/>
  <c r="J196" i="3"/>
  <c r="L191" i="2"/>
  <c r="N196" i="3" s="1"/>
  <c r="I191" i="2"/>
  <c r="K196" i="3" s="1"/>
  <c r="B193" i="3"/>
  <c r="D188" i="2"/>
  <c r="C193" i="3" s="1"/>
  <c r="D189" i="2"/>
  <c r="C194" i="3" s="1"/>
  <c r="A191" i="2"/>
  <c r="N192" i="2" s="1"/>
  <c r="A195" i="3"/>
  <c r="B190" i="2"/>
  <c r="C190" i="2" s="1"/>
  <c r="G81" i="7"/>
  <c r="Q192" i="2" l="1"/>
  <c r="P197" i="3" s="1"/>
  <c r="J197" i="3"/>
  <c r="L192" i="2"/>
  <c r="N197" i="3" s="1"/>
  <c r="I192" i="2"/>
  <c r="K197" i="3" s="1"/>
  <c r="P192" i="2"/>
  <c r="O197" i="3" s="1"/>
  <c r="M192" i="2"/>
  <c r="I197" i="3" s="1"/>
  <c r="J192" i="2"/>
  <c r="L197" i="3" s="1"/>
  <c r="B194" i="3"/>
  <c r="S189" i="2"/>
  <c r="T189" i="2" s="1"/>
  <c r="S190" i="2"/>
  <c r="T190" i="2" s="1"/>
  <c r="A192" i="2"/>
  <c r="A196" i="3"/>
  <c r="B191" i="2"/>
  <c r="C191" i="2" s="1"/>
  <c r="F81" i="7"/>
  <c r="K193" i="2" l="1"/>
  <c r="M198" i="3" s="1"/>
  <c r="N193" i="2"/>
  <c r="Q193" i="2"/>
  <c r="P198" i="3" s="1"/>
  <c r="L193" i="2"/>
  <c r="N198" i="3" s="1"/>
  <c r="J193" i="2"/>
  <c r="L198" i="3" s="1"/>
  <c r="P193" i="2"/>
  <c r="O198" i="3" s="1"/>
  <c r="M193" i="2"/>
  <c r="I198" i="3" s="1"/>
  <c r="Y16" i="2"/>
  <c r="Z16" i="2" s="1"/>
  <c r="I193" i="2"/>
  <c r="K198" i="3" s="1"/>
  <c r="B195" i="3"/>
  <c r="D190" i="2"/>
  <c r="C195" i="3" s="1"/>
  <c r="B196" i="3"/>
  <c r="A193" i="2"/>
  <c r="N194" i="2" s="1"/>
  <c r="A197" i="3"/>
  <c r="B192" i="2"/>
  <c r="C192" i="2" s="1"/>
  <c r="H81" i="7"/>
  <c r="E81" i="7"/>
  <c r="J198" i="3" l="1"/>
  <c r="AE16" i="2"/>
  <c r="P194" i="2"/>
  <c r="O199" i="3" s="1"/>
  <c r="M194" i="2"/>
  <c r="I199" i="3" s="1"/>
  <c r="J194" i="2"/>
  <c r="L199" i="3" s="1"/>
  <c r="Q194" i="2"/>
  <c r="P199" i="3" s="1"/>
  <c r="J199" i="3"/>
  <c r="L194" i="2"/>
  <c r="N199" i="3" s="1"/>
  <c r="I194" i="2"/>
  <c r="K199" i="3" s="1"/>
  <c r="S191" i="2"/>
  <c r="T191" i="2" s="1"/>
  <c r="D191" i="2"/>
  <c r="C196" i="3" s="1"/>
  <c r="D192" i="2"/>
  <c r="C197" i="3" s="1"/>
  <c r="A194" i="2"/>
  <c r="N195" i="2" s="1"/>
  <c r="A198" i="3"/>
  <c r="B193" i="2"/>
  <c r="C193" i="2" s="1"/>
  <c r="G82" i="7"/>
  <c r="Q195" i="2" l="1"/>
  <c r="P200" i="3" s="1"/>
  <c r="J200" i="3"/>
  <c r="L195" i="2"/>
  <c r="N200" i="3" s="1"/>
  <c r="I195" i="2"/>
  <c r="K200" i="3" s="1"/>
  <c r="P195" i="2"/>
  <c r="O200" i="3" s="1"/>
  <c r="M195" i="2"/>
  <c r="I200" i="3" s="1"/>
  <c r="J195" i="2"/>
  <c r="L200" i="3" s="1"/>
  <c r="B197" i="3"/>
  <c r="D193" i="2"/>
  <c r="C198" i="3" s="1"/>
  <c r="S192" i="2"/>
  <c r="T192" i="2" s="1"/>
  <c r="A195" i="2"/>
  <c r="N196" i="2" s="1"/>
  <c r="A199" i="3"/>
  <c r="B194" i="2"/>
  <c r="C194" i="2" s="1"/>
  <c r="F82" i="7"/>
  <c r="P196" i="2" l="1"/>
  <c r="O201" i="3" s="1"/>
  <c r="M196" i="2"/>
  <c r="I201" i="3" s="1"/>
  <c r="J196" i="2"/>
  <c r="L201" i="3" s="1"/>
  <c r="Q196" i="2"/>
  <c r="P201" i="3" s="1"/>
  <c r="J201" i="3"/>
  <c r="L196" i="2"/>
  <c r="N201" i="3" s="1"/>
  <c r="I196" i="2"/>
  <c r="K201" i="3" s="1"/>
  <c r="B198" i="3"/>
  <c r="S193" i="2"/>
  <c r="T193" i="2" s="1"/>
  <c r="D194" i="2"/>
  <c r="C199" i="3" s="1"/>
  <c r="A196" i="2"/>
  <c r="N197" i="2" s="1"/>
  <c r="A200" i="3"/>
  <c r="B195" i="2"/>
  <c r="C195" i="2" s="1"/>
  <c r="H82" i="7"/>
  <c r="E82" i="7"/>
  <c r="Q197" i="2" l="1"/>
  <c r="P202" i="3" s="1"/>
  <c r="J202" i="3"/>
  <c r="L197" i="2"/>
  <c r="N202" i="3" s="1"/>
  <c r="I197" i="2"/>
  <c r="K202" i="3" s="1"/>
  <c r="P197" i="2"/>
  <c r="O202" i="3" s="1"/>
  <c r="M197" i="2"/>
  <c r="I202" i="3" s="1"/>
  <c r="J197" i="2"/>
  <c r="L202" i="3" s="1"/>
  <c r="B199" i="3"/>
  <c r="D195" i="2"/>
  <c r="C200" i="3" s="1"/>
  <c r="S194" i="2"/>
  <c r="T194" i="2" s="1"/>
  <c r="A197" i="2"/>
  <c r="N198" i="2" s="1"/>
  <c r="A201" i="3"/>
  <c r="B196" i="2"/>
  <c r="C196" i="2" s="1"/>
  <c r="G83" i="7"/>
  <c r="P198" i="2" l="1"/>
  <c r="O203" i="3" s="1"/>
  <c r="M198" i="2"/>
  <c r="I203" i="3" s="1"/>
  <c r="J198" i="2"/>
  <c r="L203" i="3" s="1"/>
  <c r="Q198" i="2"/>
  <c r="P203" i="3" s="1"/>
  <c r="J203" i="3"/>
  <c r="L198" i="2"/>
  <c r="N203" i="3" s="1"/>
  <c r="I198" i="2"/>
  <c r="K203" i="3" s="1"/>
  <c r="S195" i="2"/>
  <c r="T195" i="2" s="1"/>
  <c r="B200" i="3"/>
  <c r="S196" i="2"/>
  <c r="T196" i="2" s="1"/>
  <c r="A198" i="2"/>
  <c r="N199" i="2" s="1"/>
  <c r="A202" i="3"/>
  <c r="B197" i="2"/>
  <c r="C197" i="2" s="1"/>
  <c r="F83" i="7"/>
  <c r="Q199" i="2" l="1"/>
  <c r="P204" i="3" s="1"/>
  <c r="J204" i="3"/>
  <c r="L199" i="2"/>
  <c r="N204" i="3" s="1"/>
  <c r="I199" i="2"/>
  <c r="K204" i="3" s="1"/>
  <c r="P199" i="2"/>
  <c r="O204" i="3" s="1"/>
  <c r="M199" i="2"/>
  <c r="I204" i="3" s="1"/>
  <c r="J199" i="2"/>
  <c r="L204" i="3" s="1"/>
  <c r="B201" i="3"/>
  <c r="D196" i="2"/>
  <c r="C201" i="3" s="1"/>
  <c r="D197" i="2"/>
  <c r="C202" i="3" s="1"/>
  <c r="A199" i="2"/>
  <c r="N200" i="2" s="1"/>
  <c r="A203" i="3"/>
  <c r="B198" i="2"/>
  <c r="C198" i="2" s="1"/>
  <c r="H83" i="7"/>
  <c r="E83" i="7"/>
  <c r="P200" i="2" l="1"/>
  <c r="O205" i="3" s="1"/>
  <c r="M200" i="2"/>
  <c r="I205" i="3" s="1"/>
  <c r="J200" i="2"/>
  <c r="L205" i="3" s="1"/>
  <c r="Q200" i="2"/>
  <c r="P205" i="3" s="1"/>
  <c r="J205" i="3"/>
  <c r="L200" i="2"/>
  <c r="N205" i="3" s="1"/>
  <c r="I200" i="2"/>
  <c r="K205" i="3" s="1"/>
  <c r="B202" i="3"/>
  <c r="S197" i="2"/>
  <c r="T197" i="2" s="1"/>
  <c r="D198" i="2"/>
  <c r="C203" i="3" s="1"/>
  <c r="A200" i="2"/>
  <c r="N201" i="2" s="1"/>
  <c r="A204" i="3"/>
  <c r="B199" i="2"/>
  <c r="C199" i="2" s="1"/>
  <c r="G84" i="7"/>
  <c r="F84" i="7" s="1"/>
  <c r="E84" i="7" s="1"/>
  <c r="Q201" i="2" l="1"/>
  <c r="P206" i="3" s="1"/>
  <c r="J206" i="3"/>
  <c r="L201" i="2"/>
  <c r="N206" i="3" s="1"/>
  <c r="I201" i="2"/>
  <c r="K206" i="3" s="1"/>
  <c r="P201" i="2"/>
  <c r="O206" i="3" s="1"/>
  <c r="M201" i="2"/>
  <c r="I206" i="3" s="1"/>
  <c r="J201" i="2"/>
  <c r="L206" i="3" s="1"/>
  <c r="B203" i="3"/>
  <c r="S198" i="2"/>
  <c r="T198" i="2" s="1"/>
  <c r="D199" i="2"/>
  <c r="C204" i="3" s="1"/>
  <c r="S199" i="2"/>
  <c r="T199" i="2" s="1"/>
  <c r="B204" i="3"/>
  <c r="A201" i="2"/>
  <c r="N202" i="2" s="1"/>
  <c r="A205" i="3"/>
  <c r="B200" i="2"/>
  <c r="C200" i="2" s="1"/>
  <c r="H84" i="7"/>
  <c r="G85" i="7"/>
  <c r="F85" i="7" s="1"/>
  <c r="E85" i="7" s="1"/>
  <c r="P202" i="2" l="1"/>
  <c r="O207" i="3" s="1"/>
  <c r="M202" i="2"/>
  <c r="I207" i="3" s="1"/>
  <c r="J202" i="2"/>
  <c r="L207" i="3" s="1"/>
  <c r="Q202" i="2"/>
  <c r="P207" i="3" s="1"/>
  <c r="J207" i="3"/>
  <c r="L202" i="2"/>
  <c r="N207" i="3" s="1"/>
  <c r="I202" i="2"/>
  <c r="K207" i="3" s="1"/>
  <c r="D200" i="2"/>
  <c r="C205" i="3" s="1"/>
  <c r="A202" i="2"/>
  <c r="N203" i="2" s="1"/>
  <c r="A206" i="3"/>
  <c r="B201" i="2"/>
  <c r="C201" i="2" s="1"/>
  <c r="G86" i="7"/>
  <c r="H85" i="7"/>
  <c r="Q203" i="2" l="1"/>
  <c r="P208" i="3" s="1"/>
  <c r="J208" i="3"/>
  <c r="L203" i="2"/>
  <c r="N208" i="3" s="1"/>
  <c r="I203" i="2"/>
  <c r="K208" i="3" s="1"/>
  <c r="P203" i="2"/>
  <c r="O208" i="3" s="1"/>
  <c r="M203" i="2"/>
  <c r="I208" i="3" s="1"/>
  <c r="J203" i="2"/>
  <c r="L208" i="3" s="1"/>
  <c r="B205" i="3"/>
  <c r="S200" i="2"/>
  <c r="T200" i="2" s="1"/>
  <c r="D201" i="2"/>
  <c r="C206" i="3" s="1"/>
  <c r="S201" i="2"/>
  <c r="T201" i="2" s="1"/>
  <c r="B206" i="3"/>
  <c r="A203" i="2"/>
  <c r="N204" i="2" s="1"/>
  <c r="A207" i="3"/>
  <c r="B202" i="2"/>
  <c r="C202" i="2" s="1"/>
  <c r="F86" i="7"/>
  <c r="E86" i="7" s="1"/>
  <c r="P204" i="2" l="1"/>
  <c r="O209" i="3" s="1"/>
  <c r="M204" i="2"/>
  <c r="I209" i="3" s="1"/>
  <c r="J204" i="2"/>
  <c r="L209" i="3" s="1"/>
  <c r="Q204" i="2"/>
  <c r="P209" i="3" s="1"/>
  <c r="J209" i="3"/>
  <c r="L204" i="2"/>
  <c r="N209" i="3" s="1"/>
  <c r="I204" i="2"/>
  <c r="K209" i="3" s="1"/>
  <c r="D202" i="2"/>
  <c r="C207" i="3" s="1"/>
  <c r="A204" i="2"/>
  <c r="A208" i="3"/>
  <c r="B203" i="2"/>
  <c r="C203" i="2" s="1"/>
  <c r="H86" i="7"/>
  <c r="G87" i="7"/>
  <c r="K205" i="2" l="1"/>
  <c r="M210" i="3" s="1"/>
  <c r="N205" i="2"/>
  <c r="AE17" i="2" s="1"/>
  <c r="P205" i="2"/>
  <c r="O210" i="3" s="1"/>
  <c r="M205" i="2"/>
  <c r="I210" i="3" s="1"/>
  <c r="I205" i="2"/>
  <c r="K210" i="3" s="1"/>
  <c r="Q205" i="2"/>
  <c r="P210" i="3" s="1"/>
  <c r="J210" i="3"/>
  <c r="L205" i="2"/>
  <c r="N210" i="3" s="1"/>
  <c r="J205" i="2"/>
  <c r="L210" i="3" s="1"/>
  <c r="B207" i="3"/>
  <c r="D203" i="2"/>
  <c r="C208" i="3" s="1"/>
  <c r="S202" i="2"/>
  <c r="T202" i="2" s="1"/>
  <c r="A205" i="2"/>
  <c r="N206" i="2" s="1"/>
  <c r="A209" i="3"/>
  <c r="B204" i="2"/>
  <c r="C204" i="2" s="1"/>
  <c r="F87" i="7"/>
  <c r="E87" i="7" s="1"/>
  <c r="Y17" i="2" l="1"/>
  <c r="Z17" i="2" s="1"/>
  <c r="Q206" i="2"/>
  <c r="P211" i="3" s="1"/>
  <c r="J211" i="3"/>
  <c r="L206" i="2"/>
  <c r="N211" i="3" s="1"/>
  <c r="I206" i="2"/>
  <c r="K211" i="3" s="1"/>
  <c r="P206" i="2"/>
  <c r="O211" i="3" s="1"/>
  <c r="M206" i="2"/>
  <c r="I211" i="3" s="1"/>
  <c r="J206" i="2"/>
  <c r="L211" i="3" s="1"/>
  <c r="B208" i="3"/>
  <c r="S203" i="2"/>
  <c r="T203" i="2" s="1"/>
  <c r="S204" i="2"/>
  <c r="T204" i="2" s="1"/>
  <c r="A206" i="2"/>
  <c r="N207" i="2" s="1"/>
  <c r="A210" i="3"/>
  <c r="B205" i="2"/>
  <c r="C205" i="2" s="1"/>
  <c r="H87" i="7"/>
  <c r="G88" i="7"/>
  <c r="P207" i="2" l="1"/>
  <c r="O212" i="3" s="1"/>
  <c r="M207" i="2"/>
  <c r="I212" i="3" s="1"/>
  <c r="J207" i="2"/>
  <c r="L212" i="3" s="1"/>
  <c r="Q207" i="2"/>
  <c r="P212" i="3" s="1"/>
  <c r="J212" i="3"/>
  <c r="L207" i="2"/>
  <c r="N212" i="3" s="1"/>
  <c r="I207" i="2"/>
  <c r="K212" i="3" s="1"/>
  <c r="D205" i="2"/>
  <c r="C210" i="3" s="1"/>
  <c r="B209" i="3"/>
  <c r="D204" i="2"/>
  <c r="C209" i="3" s="1"/>
  <c r="S205" i="2"/>
  <c r="T205" i="2" s="1"/>
  <c r="B210" i="3"/>
  <c r="A207" i="2"/>
  <c r="N208" i="2" s="1"/>
  <c r="A211" i="3"/>
  <c r="B206" i="2"/>
  <c r="C206" i="2" s="1"/>
  <c r="F88" i="7"/>
  <c r="E88" i="7" s="1"/>
  <c r="Q208" i="2" l="1"/>
  <c r="P213" i="3" s="1"/>
  <c r="J213" i="3"/>
  <c r="L208" i="2"/>
  <c r="N213" i="3" s="1"/>
  <c r="I208" i="2"/>
  <c r="K213" i="3" s="1"/>
  <c r="P208" i="2"/>
  <c r="O213" i="3" s="1"/>
  <c r="M208" i="2"/>
  <c r="I213" i="3" s="1"/>
  <c r="J208" i="2"/>
  <c r="L213" i="3" s="1"/>
  <c r="D206" i="2"/>
  <c r="C211" i="3" s="1"/>
  <c r="A208" i="2"/>
  <c r="N209" i="2" s="1"/>
  <c r="A212" i="3"/>
  <c r="B207" i="2"/>
  <c r="C207" i="2" s="1"/>
  <c r="H88" i="7"/>
  <c r="G89" i="7"/>
  <c r="P209" i="2" l="1"/>
  <c r="O214" i="3" s="1"/>
  <c r="M209" i="2"/>
  <c r="I214" i="3" s="1"/>
  <c r="J209" i="2"/>
  <c r="L214" i="3" s="1"/>
  <c r="Q209" i="2"/>
  <c r="P214" i="3" s="1"/>
  <c r="J214" i="3"/>
  <c r="L209" i="2"/>
  <c r="N214" i="3" s="1"/>
  <c r="I209" i="2"/>
  <c r="K214" i="3" s="1"/>
  <c r="S206" i="2"/>
  <c r="T206" i="2" s="1"/>
  <c r="D207" i="2"/>
  <c r="C212" i="3" s="1"/>
  <c r="B211" i="3"/>
  <c r="A209" i="2"/>
  <c r="N210" i="2" s="1"/>
  <c r="A213" i="3"/>
  <c r="B208" i="2"/>
  <c r="C208" i="2" s="1"/>
  <c r="F89" i="7"/>
  <c r="E89" i="7" s="1"/>
  <c r="Q210" i="2" l="1"/>
  <c r="P215" i="3" s="1"/>
  <c r="J215" i="3"/>
  <c r="L210" i="2"/>
  <c r="N215" i="3" s="1"/>
  <c r="I210" i="2"/>
  <c r="K215" i="3" s="1"/>
  <c r="P210" i="2"/>
  <c r="O215" i="3" s="1"/>
  <c r="M210" i="2"/>
  <c r="I215" i="3" s="1"/>
  <c r="J210" i="2"/>
  <c r="L215" i="3" s="1"/>
  <c r="B212" i="3"/>
  <c r="S207" i="2"/>
  <c r="T207" i="2" s="1"/>
  <c r="S208" i="2"/>
  <c r="T208" i="2" s="1"/>
  <c r="A210" i="2"/>
  <c r="N211" i="2" s="1"/>
  <c r="A214" i="3"/>
  <c r="B209" i="2"/>
  <c r="C209" i="2" s="1"/>
  <c r="H89" i="7"/>
  <c r="G90" i="7"/>
  <c r="P211" i="2" l="1"/>
  <c r="O216" i="3" s="1"/>
  <c r="M211" i="2"/>
  <c r="I216" i="3" s="1"/>
  <c r="J211" i="2"/>
  <c r="L216" i="3" s="1"/>
  <c r="Q211" i="2"/>
  <c r="P216" i="3" s="1"/>
  <c r="J216" i="3"/>
  <c r="L211" i="2"/>
  <c r="N216" i="3" s="1"/>
  <c r="I211" i="2"/>
  <c r="K216" i="3" s="1"/>
  <c r="B213" i="3"/>
  <c r="D208" i="2"/>
  <c r="C213" i="3" s="1"/>
  <c r="B214" i="3"/>
  <c r="A211" i="2"/>
  <c r="N212" i="2" s="1"/>
  <c r="A215" i="3"/>
  <c r="B210" i="2"/>
  <c r="C210" i="2" s="1"/>
  <c r="F90" i="7"/>
  <c r="E90" i="7" s="1"/>
  <c r="Q212" i="2" l="1"/>
  <c r="P217" i="3" s="1"/>
  <c r="J217" i="3"/>
  <c r="L212" i="2"/>
  <c r="N217" i="3" s="1"/>
  <c r="I212" i="2"/>
  <c r="K217" i="3" s="1"/>
  <c r="P212" i="2"/>
  <c r="O217" i="3" s="1"/>
  <c r="M212" i="2"/>
  <c r="I217" i="3" s="1"/>
  <c r="J212" i="2"/>
  <c r="L217" i="3" s="1"/>
  <c r="S209" i="2"/>
  <c r="T209" i="2" s="1"/>
  <c r="D209" i="2"/>
  <c r="C214" i="3" s="1"/>
  <c r="D210" i="2"/>
  <c r="C215" i="3" s="1"/>
  <c r="A212" i="2"/>
  <c r="N213" i="2" s="1"/>
  <c r="A216" i="3"/>
  <c r="B211" i="2"/>
  <c r="C211" i="2" s="1"/>
  <c r="H90" i="7"/>
  <c r="G91" i="7"/>
  <c r="P213" i="2" l="1"/>
  <c r="O218" i="3" s="1"/>
  <c r="M213" i="2"/>
  <c r="I218" i="3" s="1"/>
  <c r="J213" i="2"/>
  <c r="L218" i="3" s="1"/>
  <c r="Q213" i="2"/>
  <c r="P218" i="3" s="1"/>
  <c r="J218" i="3"/>
  <c r="L213" i="2"/>
  <c r="N218" i="3" s="1"/>
  <c r="I213" i="2"/>
  <c r="K218" i="3" s="1"/>
  <c r="B215" i="3"/>
  <c r="D211" i="2"/>
  <c r="C216" i="3" s="1"/>
  <c r="S210" i="2"/>
  <c r="T210" i="2" s="1"/>
  <c r="A213" i="2"/>
  <c r="N214" i="2" s="1"/>
  <c r="A217" i="3"/>
  <c r="B212" i="2"/>
  <c r="C212" i="2" s="1"/>
  <c r="F91" i="7"/>
  <c r="E91" i="7" s="1"/>
  <c r="Q214" i="2" l="1"/>
  <c r="P219" i="3" s="1"/>
  <c r="J219" i="3"/>
  <c r="L214" i="2"/>
  <c r="N219" i="3" s="1"/>
  <c r="I214" i="2"/>
  <c r="K219" i="3" s="1"/>
  <c r="P214" i="2"/>
  <c r="O219" i="3" s="1"/>
  <c r="M214" i="2"/>
  <c r="I219" i="3" s="1"/>
  <c r="J214" i="2"/>
  <c r="L219" i="3" s="1"/>
  <c r="B216" i="3"/>
  <c r="S211" i="2"/>
  <c r="T211" i="2" s="1"/>
  <c r="S212" i="2"/>
  <c r="T212" i="2" s="1"/>
  <c r="A214" i="2"/>
  <c r="N215" i="2" s="1"/>
  <c r="A218" i="3"/>
  <c r="B213" i="2"/>
  <c r="C213" i="2" s="1"/>
  <c r="H91" i="7"/>
  <c r="G92" i="7"/>
  <c r="P215" i="2" l="1"/>
  <c r="O220" i="3" s="1"/>
  <c r="M215" i="2"/>
  <c r="I220" i="3" s="1"/>
  <c r="J215" i="2"/>
  <c r="L220" i="3" s="1"/>
  <c r="Q215" i="2"/>
  <c r="P220" i="3" s="1"/>
  <c r="J220" i="3"/>
  <c r="L215" i="2"/>
  <c r="N220" i="3" s="1"/>
  <c r="I215" i="2"/>
  <c r="K220" i="3" s="1"/>
  <c r="B217" i="3"/>
  <c r="D212" i="2"/>
  <c r="C217" i="3" s="1"/>
  <c r="B218" i="3"/>
  <c r="A215" i="2"/>
  <c r="N216" i="2" s="1"/>
  <c r="A219" i="3"/>
  <c r="B214" i="2"/>
  <c r="C214" i="2" s="1"/>
  <c r="F92" i="7"/>
  <c r="E92" i="7" s="1"/>
  <c r="Q216" i="2" l="1"/>
  <c r="P221" i="3" s="1"/>
  <c r="J221" i="3"/>
  <c r="L216" i="2"/>
  <c r="N221" i="3" s="1"/>
  <c r="I216" i="2"/>
  <c r="K221" i="3" s="1"/>
  <c r="P216" i="2"/>
  <c r="O221" i="3" s="1"/>
  <c r="M216" i="2"/>
  <c r="I221" i="3" s="1"/>
  <c r="J216" i="2"/>
  <c r="L221" i="3" s="1"/>
  <c r="S213" i="2"/>
  <c r="T213" i="2" s="1"/>
  <c r="D213" i="2"/>
  <c r="C218" i="3" s="1"/>
  <c r="S214" i="2"/>
  <c r="T214" i="2" s="1"/>
  <c r="A216" i="2"/>
  <c r="A220" i="3"/>
  <c r="B215" i="2"/>
  <c r="C215" i="2" s="1"/>
  <c r="H92" i="7"/>
  <c r="G93" i="7"/>
  <c r="K217" i="2" l="1"/>
  <c r="M222" i="3" s="1"/>
  <c r="N217" i="2"/>
  <c r="Q217" i="2"/>
  <c r="P222" i="3" s="1"/>
  <c r="L217" i="2"/>
  <c r="N222" i="3" s="1"/>
  <c r="J217" i="2"/>
  <c r="L222" i="3" s="1"/>
  <c r="P217" i="2"/>
  <c r="O222" i="3" s="1"/>
  <c r="M217" i="2"/>
  <c r="I222" i="3" s="1"/>
  <c r="Y18" i="2"/>
  <c r="Z18" i="2" s="1"/>
  <c r="I217" i="2"/>
  <c r="K222" i="3" s="1"/>
  <c r="B219" i="3"/>
  <c r="D214" i="2"/>
  <c r="C219" i="3" s="1"/>
  <c r="B220" i="3"/>
  <c r="A221" i="3"/>
  <c r="A217" i="2"/>
  <c r="N218" i="2" s="1"/>
  <c r="B216" i="2"/>
  <c r="C216" i="2" s="1"/>
  <c r="F93" i="7"/>
  <c r="E93" i="7" s="1"/>
  <c r="J222" i="3" l="1"/>
  <c r="AE18" i="2"/>
  <c r="P218" i="2"/>
  <c r="O223" i="3" s="1"/>
  <c r="M218" i="2"/>
  <c r="I223" i="3" s="1"/>
  <c r="J218" i="2"/>
  <c r="L223" i="3" s="1"/>
  <c r="Q218" i="2"/>
  <c r="P223" i="3" s="1"/>
  <c r="J223" i="3"/>
  <c r="L218" i="2"/>
  <c r="N223" i="3" s="1"/>
  <c r="I218" i="2"/>
  <c r="K223" i="3" s="1"/>
  <c r="S215" i="2"/>
  <c r="T215" i="2" s="1"/>
  <c r="D215" i="2"/>
  <c r="C220" i="3" s="1"/>
  <c r="S216" i="2"/>
  <c r="T216" i="2" s="1"/>
  <c r="A222" i="3"/>
  <c r="A218" i="2"/>
  <c r="N219" i="2" s="1"/>
  <c r="B217" i="2"/>
  <c r="C217" i="2" s="1"/>
  <c r="H93" i="7"/>
  <c r="G94" i="7"/>
  <c r="P219" i="2" l="1"/>
  <c r="O224" i="3" s="1"/>
  <c r="M219" i="2"/>
  <c r="I224" i="3" s="1"/>
  <c r="J219" i="2"/>
  <c r="L224" i="3" s="1"/>
  <c r="Q219" i="2"/>
  <c r="P224" i="3" s="1"/>
  <c r="J224" i="3"/>
  <c r="L219" i="2"/>
  <c r="N224" i="3" s="1"/>
  <c r="I219" i="2"/>
  <c r="K224" i="3" s="1"/>
  <c r="B221" i="3"/>
  <c r="D216" i="2"/>
  <c r="C221" i="3" s="1"/>
  <c r="D217" i="2"/>
  <c r="C222" i="3" s="1"/>
  <c r="A219" i="2"/>
  <c r="N220" i="2" s="1"/>
  <c r="A223" i="3"/>
  <c r="B218" i="2"/>
  <c r="C218" i="2" s="1"/>
  <c r="F94" i="7"/>
  <c r="E94" i="7" s="1"/>
  <c r="Q220" i="2" l="1"/>
  <c r="P225" i="3" s="1"/>
  <c r="J225" i="3"/>
  <c r="L220" i="2"/>
  <c r="N225" i="3" s="1"/>
  <c r="I220" i="2"/>
  <c r="K225" i="3" s="1"/>
  <c r="P220" i="2"/>
  <c r="O225" i="3" s="1"/>
  <c r="M220" i="2"/>
  <c r="I225" i="3" s="1"/>
  <c r="J220" i="2"/>
  <c r="L225" i="3" s="1"/>
  <c r="B222" i="3"/>
  <c r="S217" i="2"/>
  <c r="T217" i="2" s="1"/>
  <c r="D218" i="2"/>
  <c r="C223" i="3" s="1"/>
  <c r="A220" i="2"/>
  <c r="N221" i="2" s="1"/>
  <c r="A224" i="3"/>
  <c r="B219" i="2"/>
  <c r="C219" i="2" s="1"/>
  <c r="H94" i="7"/>
  <c r="G95" i="7"/>
  <c r="P221" i="2" l="1"/>
  <c r="O226" i="3" s="1"/>
  <c r="M221" i="2"/>
  <c r="I226" i="3" s="1"/>
  <c r="J221" i="2"/>
  <c r="L226" i="3" s="1"/>
  <c r="Q221" i="2"/>
  <c r="P226" i="3" s="1"/>
  <c r="J226" i="3"/>
  <c r="L221" i="2"/>
  <c r="N226" i="3" s="1"/>
  <c r="I221" i="2"/>
  <c r="K226" i="3" s="1"/>
  <c r="B223" i="3"/>
  <c r="D219" i="2"/>
  <c r="C224" i="3" s="1"/>
  <c r="S218" i="2"/>
  <c r="T218" i="2" s="1"/>
  <c r="A221" i="2"/>
  <c r="N222" i="2" s="1"/>
  <c r="A225" i="3"/>
  <c r="B220" i="2"/>
  <c r="C220" i="2" s="1"/>
  <c r="F95" i="7"/>
  <c r="E95" i="7" s="1"/>
  <c r="Q222" i="2" l="1"/>
  <c r="P227" i="3" s="1"/>
  <c r="J227" i="3"/>
  <c r="L222" i="2"/>
  <c r="N227" i="3" s="1"/>
  <c r="I222" i="2"/>
  <c r="K227" i="3" s="1"/>
  <c r="P222" i="2"/>
  <c r="O227" i="3" s="1"/>
  <c r="M222" i="2"/>
  <c r="I227" i="3" s="1"/>
  <c r="J222" i="2"/>
  <c r="L227" i="3" s="1"/>
  <c r="B224" i="3"/>
  <c r="S219" i="2"/>
  <c r="T219" i="2" s="1"/>
  <c r="D220" i="2"/>
  <c r="C225" i="3" s="1"/>
  <c r="A222" i="2"/>
  <c r="N223" i="2" s="1"/>
  <c r="A226" i="3"/>
  <c r="B221" i="2"/>
  <c r="C221" i="2" s="1"/>
  <c r="H95" i="7"/>
  <c r="G96" i="7"/>
  <c r="P223" i="2" l="1"/>
  <c r="O228" i="3" s="1"/>
  <c r="M223" i="2"/>
  <c r="I228" i="3" s="1"/>
  <c r="J223" i="2"/>
  <c r="L228" i="3" s="1"/>
  <c r="Q223" i="2"/>
  <c r="P228" i="3" s="1"/>
  <c r="J228" i="3"/>
  <c r="L223" i="2"/>
  <c r="N228" i="3" s="1"/>
  <c r="I223" i="2"/>
  <c r="K228" i="3" s="1"/>
  <c r="B225" i="3"/>
  <c r="D221" i="2"/>
  <c r="C226" i="3" s="1"/>
  <c r="S220" i="2"/>
  <c r="T220" i="2" s="1"/>
  <c r="A227" i="3"/>
  <c r="A223" i="2"/>
  <c r="N224" i="2" s="1"/>
  <c r="B222" i="2"/>
  <c r="C222" i="2" s="1"/>
  <c r="F96" i="7"/>
  <c r="E96" i="7" s="1"/>
  <c r="Q224" i="2" l="1"/>
  <c r="P229" i="3" s="1"/>
  <c r="J229" i="3"/>
  <c r="L224" i="2"/>
  <c r="N229" i="3" s="1"/>
  <c r="I224" i="2"/>
  <c r="K229" i="3" s="1"/>
  <c r="P224" i="2"/>
  <c r="O229" i="3" s="1"/>
  <c r="M224" i="2"/>
  <c r="I229" i="3" s="1"/>
  <c r="J224" i="2"/>
  <c r="L229" i="3" s="1"/>
  <c r="S221" i="2"/>
  <c r="T221" i="2" s="1"/>
  <c r="B226" i="3"/>
  <c r="D222" i="2"/>
  <c r="C227" i="3" s="1"/>
  <c r="A228" i="3"/>
  <c r="A224" i="2"/>
  <c r="N225" i="2" s="1"/>
  <c r="B223" i="2"/>
  <c r="C223" i="2" s="1"/>
  <c r="H96" i="7"/>
  <c r="G97" i="7"/>
  <c r="P225" i="2" l="1"/>
  <c r="O230" i="3" s="1"/>
  <c r="M225" i="2"/>
  <c r="I230" i="3" s="1"/>
  <c r="J225" i="2"/>
  <c r="L230" i="3" s="1"/>
  <c r="Q225" i="2"/>
  <c r="P230" i="3" s="1"/>
  <c r="J230" i="3"/>
  <c r="L225" i="2"/>
  <c r="N230" i="3" s="1"/>
  <c r="I225" i="2"/>
  <c r="K230" i="3" s="1"/>
  <c r="B227" i="3"/>
  <c r="S222" i="2"/>
  <c r="T222" i="2" s="1"/>
  <c r="D223" i="2"/>
  <c r="C228" i="3" s="1"/>
  <c r="A225" i="2"/>
  <c r="N226" i="2" s="1"/>
  <c r="A229" i="3"/>
  <c r="B224" i="2"/>
  <c r="C224" i="2" s="1"/>
  <c r="F97" i="7"/>
  <c r="E97" i="7" s="1"/>
  <c r="Q226" i="2" l="1"/>
  <c r="P231" i="3" s="1"/>
  <c r="J231" i="3"/>
  <c r="L226" i="2"/>
  <c r="N231" i="3" s="1"/>
  <c r="I226" i="2"/>
  <c r="K231" i="3" s="1"/>
  <c r="P226" i="2"/>
  <c r="O231" i="3" s="1"/>
  <c r="M226" i="2"/>
  <c r="I231" i="3" s="1"/>
  <c r="J226" i="2"/>
  <c r="L231" i="3" s="1"/>
  <c r="S223" i="2"/>
  <c r="T223" i="2" s="1"/>
  <c r="B228" i="3"/>
  <c r="D224" i="2"/>
  <c r="C229" i="3" s="1"/>
  <c r="A226" i="2"/>
  <c r="N227" i="2" s="1"/>
  <c r="A230" i="3"/>
  <c r="B225" i="2"/>
  <c r="C225" i="2" s="1"/>
  <c r="H97" i="7"/>
  <c r="G98" i="7"/>
  <c r="P227" i="2" l="1"/>
  <c r="O232" i="3" s="1"/>
  <c r="M227" i="2"/>
  <c r="I232" i="3" s="1"/>
  <c r="J227" i="2"/>
  <c r="L232" i="3" s="1"/>
  <c r="Q227" i="2"/>
  <c r="P232" i="3" s="1"/>
  <c r="J232" i="3"/>
  <c r="L227" i="2"/>
  <c r="N232" i="3" s="1"/>
  <c r="I227" i="2"/>
  <c r="K232" i="3" s="1"/>
  <c r="B229" i="3"/>
  <c r="D225" i="2"/>
  <c r="C230" i="3" s="1"/>
  <c r="S224" i="2"/>
  <c r="T224" i="2" s="1"/>
  <c r="A227" i="2"/>
  <c r="N228" i="2" s="1"/>
  <c r="A231" i="3"/>
  <c r="B226" i="2"/>
  <c r="C226" i="2" s="1"/>
  <c r="F98" i="7"/>
  <c r="E98" i="7" s="1"/>
  <c r="Q228" i="2" l="1"/>
  <c r="P233" i="3" s="1"/>
  <c r="J233" i="3"/>
  <c r="L228" i="2"/>
  <c r="N233" i="3" s="1"/>
  <c r="I228" i="2"/>
  <c r="K233" i="3" s="1"/>
  <c r="P228" i="2"/>
  <c r="O233" i="3" s="1"/>
  <c r="M228" i="2"/>
  <c r="I233" i="3" s="1"/>
  <c r="J228" i="2"/>
  <c r="L233" i="3" s="1"/>
  <c r="B230" i="3"/>
  <c r="S225" i="2"/>
  <c r="T225" i="2" s="1"/>
  <c r="D226" i="2"/>
  <c r="C231" i="3" s="1"/>
  <c r="A228" i="2"/>
  <c r="A232" i="3"/>
  <c r="B227" i="2"/>
  <c r="C227" i="2" s="1"/>
  <c r="H98" i="7"/>
  <c r="G99" i="7"/>
  <c r="K229" i="2" l="1"/>
  <c r="M234" i="3" s="1"/>
  <c r="N229" i="2"/>
  <c r="AE19" i="2" s="1"/>
  <c r="Q229" i="2"/>
  <c r="P234" i="3" s="1"/>
  <c r="J234" i="3"/>
  <c r="L229" i="2"/>
  <c r="N234" i="3" s="1"/>
  <c r="J229" i="2"/>
  <c r="L234" i="3" s="1"/>
  <c r="P229" i="2"/>
  <c r="O234" i="3" s="1"/>
  <c r="M229" i="2"/>
  <c r="I234" i="3" s="1"/>
  <c r="Y19" i="2"/>
  <c r="Z19" i="2" s="1"/>
  <c r="I229" i="2"/>
  <c r="K234" i="3" s="1"/>
  <c r="B231" i="3"/>
  <c r="D227" i="2"/>
  <c r="C232" i="3" s="1"/>
  <c r="S226" i="2"/>
  <c r="T226" i="2" s="1"/>
  <c r="A229" i="2"/>
  <c r="N230" i="2" s="1"/>
  <c r="A233" i="3"/>
  <c r="B228" i="2"/>
  <c r="C228" i="2" s="1"/>
  <c r="F99" i="7"/>
  <c r="E99" i="7" s="1"/>
  <c r="P230" i="2" l="1"/>
  <c r="O235" i="3" s="1"/>
  <c r="M230" i="2"/>
  <c r="I235" i="3" s="1"/>
  <c r="J230" i="2"/>
  <c r="L235" i="3" s="1"/>
  <c r="Q230" i="2"/>
  <c r="P235" i="3" s="1"/>
  <c r="J235" i="3"/>
  <c r="L230" i="2"/>
  <c r="N235" i="3" s="1"/>
  <c r="I230" i="2"/>
  <c r="K235" i="3" s="1"/>
  <c r="S227" i="2"/>
  <c r="T227" i="2" s="1"/>
  <c r="B232" i="3"/>
  <c r="S228" i="2"/>
  <c r="T228" i="2" s="1"/>
  <c r="A230" i="2"/>
  <c r="N231" i="2" s="1"/>
  <c r="A234" i="3"/>
  <c r="B229" i="2"/>
  <c r="C229" i="2" s="1"/>
  <c r="H99" i="7"/>
  <c r="G100" i="7"/>
  <c r="Q231" i="2" l="1"/>
  <c r="P236" i="3" s="1"/>
  <c r="J236" i="3"/>
  <c r="L231" i="2"/>
  <c r="N236" i="3" s="1"/>
  <c r="I231" i="2"/>
  <c r="K236" i="3" s="1"/>
  <c r="P231" i="2"/>
  <c r="O236" i="3" s="1"/>
  <c r="M231" i="2"/>
  <c r="I236" i="3" s="1"/>
  <c r="J231" i="2"/>
  <c r="L236" i="3" s="1"/>
  <c r="B233" i="3"/>
  <c r="D228" i="2"/>
  <c r="C233" i="3" s="1"/>
  <c r="D229" i="2"/>
  <c r="C234" i="3" s="1"/>
  <c r="A231" i="2"/>
  <c r="N232" i="2" s="1"/>
  <c r="A235" i="3"/>
  <c r="B230" i="2"/>
  <c r="C230" i="2" s="1"/>
  <c r="F100" i="7"/>
  <c r="E100" i="7" s="1"/>
  <c r="P232" i="2" l="1"/>
  <c r="O237" i="3" s="1"/>
  <c r="M232" i="2"/>
  <c r="I237" i="3" s="1"/>
  <c r="J232" i="2"/>
  <c r="L237" i="3" s="1"/>
  <c r="Q232" i="2"/>
  <c r="P237" i="3" s="1"/>
  <c r="J237" i="3"/>
  <c r="L232" i="2"/>
  <c r="N237" i="3" s="1"/>
  <c r="I232" i="2"/>
  <c r="K237" i="3" s="1"/>
  <c r="B234" i="3"/>
  <c r="S229" i="2"/>
  <c r="T229" i="2" s="1"/>
  <c r="D230" i="2"/>
  <c r="C235" i="3" s="1"/>
  <c r="A232" i="2"/>
  <c r="N233" i="2" s="1"/>
  <c r="A236" i="3"/>
  <c r="B231" i="2"/>
  <c r="C231" i="2" s="1"/>
  <c r="H100" i="7"/>
  <c r="G101" i="7"/>
  <c r="Q233" i="2" l="1"/>
  <c r="P238" i="3" s="1"/>
  <c r="J238" i="3"/>
  <c r="L233" i="2"/>
  <c r="N238" i="3" s="1"/>
  <c r="I233" i="2"/>
  <c r="K238" i="3" s="1"/>
  <c r="P233" i="2"/>
  <c r="O238" i="3" s="1"/>
  <c r="M233" i="2"/>
  <c r="I238" i="3" s="1"/>
  <c r="J233" i="2"/>
  <c r="L238" i="3" s="1"/>
  <c r="B235" i="3"/>
  <c r="B236" i="3"/>
  <c r="S230" i="2"/>
  <c r="T230" i="2" s="1"/>
  <c r="A233" i="2"/>
  <c r="N234" i="2" s="1"/>
  <c r="A237" i="3"/>
  <c r="B232" i="2"/>
  <c r="C232" i="2" s="1"/>
  <c r="F101" i="7"/>
  <c r="E101" i="7" s="1"/>
  <c r="P234" i="2" l="1"/>
  <c r="O239" i="3" s="1"/>
  <c r="M234" i="2"/>
  <c r="I239" i="3" s="1"/>
  <c r="J234" i="2"/>
  <c r="L239" i="3" s="1"/>
  <c r="Q234" i="2"/>
  <c r="P239" i="3" s="1"/>
  <c r="J239" i="3"/>
  <c r="L234" i="2"/>
  <c r="N239" i="3" s="1"/>
  <c r="I234" i="2"/>
  <c r="K239" i="3" s="1"/>
  <c r="S231" i="2"/>
  <c r="T231" i="2" s="1"/>
  <c r="D231" i="2"/>
  <c r="C236" i="3" s="1"/>
  <c r="D232" i="2"/>
  <c r="C237" i="3" s="1"/>
  <c r="A234" i="2"/>
  <c r="N235" i="2" s="1"/>
  <c r="A238" i="3"/>
  <c r="B233" i="2"/>
  <c r="C233" i="2" s="1"/>
  <c r="H101" i="7"/>
  <c r="G102" i="7"/>
  <c r="Q235" i="2" l="1"/>
  <c r="P240" i="3" s="1"/>
  <c r="J240" i="3"/>
  <c r="L235" i="2"/>
  <c r="N240" i="3" s="1"/>
  <c r="I235" i="2"/>
  <c r="K240" i="3" s="1"/>
  <c r="P235" i="2"/>
  <c r="O240" i="3" s="1"/>
  <c r="M235" i="2"/>
  <c r="I240" i="3" s="1"/>
  <c r="J235" i="2"/>
  <c r="L240" i="3" s="1"/>
  <c r="B237" i="3"/>
  <c r="S232" i="2"/>
  <c r="T232" i="2" s="1"/>
  <c r="D233" i="2"/>
  <c r="C238" i="3" s="1"/>
  <c r="A235" i="2"/>
  <c r="N236" i="2" s="1"/>
  <c r="A239" i="3"/>
  <c r="B234" i="2"/>
  <c r="C234" i="2" s="1"/>
  <c r="F102" i="7"/>
  <c r="E102" i="7" s="1"/>
  <c r="P236" i="2" l="1"/>
  <c r="O241" i="3" s="1"/>
  <c r="M236" i="2"/>
  <c r="I241" i="3" s="1"/>
  <c r="J236" i="2"/>
  <c r="L241" i="3" s="1"/>
  <c r="Q236" i="2"/>
  <c r="P241" i="3" s="1"/>
  <c r="J241" i="3"/>
  <c r="L236" i="2"/>
  <c r="N241" i="3" s="1"/>
  <c r="I236" i="2"/>
  <c r="K241" i="3" s="1"/>
  <c r="S233" i="2"/>
  <c r="T233" i="2" s="1"/>
  <c r="B238" i="3"/>
  <c r="D234" i="2"/>
  <c r="C239" i="3" s="1"/>
  <c r="A236" i="2"/>
  <c r="N237" i="2" s="1"/>
  <c r="A240" i="3"/>
  <c r="B235" i="2"/>
  <c r="C235" i="2" s="1"/>
  <c r="H102" i="7"/>
  <c r="G103" i="7"/>
  <c r="Q237" i="2" l="1"/>
  <c r="P242" i="3" s="1"/>
  <c r="J242" i="3"/>
  <c r="L237" i="2"/>
  <c r="N242" i="3" s="1"/>
  <c r="I237" i="2"/>
  <c r="K242" i="3" s="1"/>
  <c r="P237" i="2"/>
  <c r="O242" i="3" s="1"/>
  <c r="M237" i="2"/>
  <c r="I242" i="3" s="1"/>
  <c r="J237" i="2"/>
  <c r="L242" i="3" s="1"/>
  <c r="B239" i="3"/>
  <c r="B240" i="3"/>
  <c r="S234" i="2"/>
  <c r="T234" i="2" s="1"/>
  <c r="A237" i="2"/>
  <c r="N238" i="2" s="1"/>
  <c r="A241" i="3"/>
  <c r="B236" i="2"/>
  <c r="C236" i="2" s="1"/>
  <c r="F103" i="7"/>
  <c r="E103" i="7" s="1"/>
  <c r="P238" i="2" l="1"/>
  <c r="O243" i="3" s="1"/>
  <c r="M238" i="2"/>
  <c r="I243" i="3" s="1"/>
  <c r="J238" i="2"/>
  <c r="L243" i="3" s="1"/>
  <c r="Q238" i="2"/>
  <c r="P243" i="3" s="1"/>
  <c r="J243" i="3"/>
  <c r="L238" i="2"/>
  <c r="N243" i="3" s="1"/>
  <c r="I238" i="2"/>
  <c r="K243" i="3" s="1"/>
  <c r="S235" i="2"/>
  <c r="T235" i="2" s="1"/>
  <c r="D235" i="2"/>
  <c r="C240" i="3" s="1"/>
  <c r="D236" i="2"/>
  <c r="C241" i="3" s="1"/>
  <c r="A238" i="2"/>
  <c r="N239" i="2" s="1"/>
  <c r="A242" i="3"/>
  <c r="B237" i="2"/>
  <c r="C237" i="2" s="1"/>
  <c r="H103" i="7"/>
  <c r="G104" i="7"/>
  <c r="Q239" i="2" l="1"/>
  <c r="P244" i="3" s="1"/>
  <c r="J244" i="3"/>
  <c r="L239" i="2"/>
  <c r="N244" i="3" s="1"/>
  <c r="I239" i="2"/>
  <c r="K244" i="3" s="1"/>
  <c r="P239" i="2"/>
  <c r="O244" i="3" s="1"/>
  <c r="M239" i="2"/>
  <c r="I244" i="3" s="1"/>
  <c r="J239" i="2"/>
  <c r="L244" i="3" s="1"/>
  <c r="B241" i="3"/>
  <c r="S236" i="2"/>
  <c r="T236" i="2" s="1"/>
  <c r="D237" i="2"/>
  <c r="C242" i="3" s="1"/>
  <c r="A239" i="2"/>
  <c r="N240" i="2" s="1"/>
  <c r="A243" i="3"/>
  <c r="B238" i="2"/>
  <c r="C238" i="2" s="1"/>
  <c r="F104" i="7"/>
  <c r="E104" i="7" s="1"/>
  <c r="P240" i="2" l="1"/>
  <c r="O245" i="3" s="1"/>
  <c r="M240" i="2"/>
  <c r="I245" i="3" s="1"/>
  <c r="J240" i="2"/>
  <c r="L245" i="3" s="1"/>
  <c r="Q240" i="2"/>
  <c r="P245" i="3" s="1"/>
  <c r="J245" i="3"/>
  <c r="L240" i="2"/>
  <c r="N245" i="3" s="1"/>
  <c r="I240" i="2"/>
  <c r="K245" i="3" s="1"/>
  <c r="B242" i="3"/>
  <c r="S237" i="2"/>
  <c r="T237" i="2" s="1"/>
  <c r="D238" i="2"/>
  <c r="C243" i="3" s="1"/>
  <c r="A240" i="2"/>
  <c r="A244" i="3"/>
  <c r="B239" i="2"/>
  <c r="C239" i="2" s="1"/>
  <c r="H104" i="7"/>
  <c r="G105" i="7"/>
  <c r="K241" i="2" l="1"/>
  <c r="M246" i="3" s="1"/>
  <c r="N241" i="2"/>
  <c r="AE20" i="2" s="1"/>
  <c r="P241" i="2"/>
  <c r="O246" i="3" s="1"/>
  <c r="M241" i="2"/>
  <c r="I246" i="3" s="1"/>
  <c r="Y20" i="2"/>
  <c r="Z20" i="2" s="1"/>
  <c r="I241" i="2"/>
  <c r="K246" i="3" s="1"/>
  <c r="Q241" i="2"/>
  <c r="P246" i="3" s="1"/>
  <c r="J246" i="3"/>
  <c r="L241" i="2"/>
  <c r="N246" i="3" s="1"/>
  <c r="J241" i="2"/>
  <c r="L246" i="3" s="1"/>
  <c r="B243" i="3"/>
  <c r="S238" i="2"/>
  <c r="T238" i="2" s="1"/>
  <c r="D239" i="2"/>
  <c r="C244" i="3" s="1"/>
  <c r="A241" i="2"/>
  <c r="N242" i="2" s="1"/>
  <c r="A245" i="3"/>
  <c r="B240" i="2"/>
  <c r="C240" i="2" s="1"/>
  <c r="F105" i="7"/>
  <c r="E105" i="7" s="1"/>
  <c r="Q242" i="2" l="1"/>
  <c r="P247" i="3" s="1"/>
  <c r="J247" i="3"/>
  <c r="P242" i="2"/>
  <c r="O247" i="3" s="1"/>
  <c r="L242" i="2"/>
  <c r="N247" i="3" s="1"/>
  <c r="I242" i="2"/>
  <c r="K247" i="3" s="1"/>
  <c r="M242" i="2"/>
  <c r="I247" i="3" s="1"/>
  <c r="J242" i="2"/>
  <c r="L247" i="3" s="1"/>
  <c r="S239" i="2"/>
  <c r="T239" i="2" s="1"/>
  <c r="B244" i="3"/>
  <c r="D240" i="2"/>
  <c r="C245" i="3" s="1"/>
  <c r="A242" i="2"/>
  <c r="N243" i="2" s="1"/>
  <c r="A246" i="3"/>
  <c r="B241" i="2"/>
  <c r="C241" i="2" s="1"/>
  <c r="H105" i="7"/>
  <c r="G106" i="7"/>
  <c r="P243" i="2" l="1"/>
  <c r="O248" i="3" s="1"/>
  <c r="M243" i="2"/>
  <c r="I248" i="3" s="1"/>
  <c r="J243" i="2"/>
  <c r="L248" i="3" s="1"/>
  <c r="Q243" i="2"/>
  <c r="P248" i="3" s="1"/>
  <c r="L243" i="2"/>
  <c r="N248" i="3" s="1"/>
  <c r="J248" i="3"/>
  <c r="I243" i="2"/>
  <c r="K248" i="3" s="1"/>
  <c r="B245" i="3"/>
  <c r="S240" i="2"/>
  <c r="T240" i="2" s="1"/>
  <c r="D241" i="2"/>
  <c r="C246" i="3" s="1"/>
  <c r="A243" i="2"/>
  <c r="N244" i="2" s="1"/>
  <c r="A247" i="3"/>
  <c r="B242" i="2"/>
  <c r="C242" i="2" s="1"/>
  <c r="F106" i="7"/>
  <c r="E106" i="7" s="1"/>
  <c r="Q244" i="2" l="1"/>
  <c r="P249" i="3" s="1"/>
  <c r="J249" i="3"/>
  <c r="L244" i="2"/>
  <c r="N249" i="3" s="1"/>
  <c r="I244" i="2"/>
  <c r="K249" i="3" s="1"/>
  <c r="P244" i="2"/>
  <c r="O249" i="3" s="1"/>
  <c r="M244" i="2"/>
  <c r="I249" i="3" s="1"/>
  <c r="J244" i="2"/>
  <c r="L249" i="3" s="1"/>
  <c r="B246" i="3"/>
  <c r="S241" i="2"/>
  <c r="T241" i="2" s="1"/>
  <c r="D242" i="2"/>
  <c r="C247" i="3" s="1"/>
  <c r="A244" i="2"/>
  <c r="N245" i="2" s="1"/>
  <c r="A248" i="3"/>
  <c r="B243" i="2"/>
  <c r="C243" i="2" s="1"/>
  <c r="H106" i="7"/>
  <c r="G107" i="7"/>
  <c r="P245" i="2" l="1"/>
  <c r="O250" i="3" s="1"/>
  <c r="M245" i="2"/>
  <c r="I250" i="3" s="1"/>
  <c r="J245" i="2"/>
  <c r="L250" i="3" s="1"/>
  <c r="Q245" i="2"/>
  <c r="P250" i="3" s="1"/>
  <c r="J250" i="3"/>
  <c r="L245" i="2"/>
  <c r="N250" i="3" s="1"/>
  <c r="I245" i="2"/>
  <c r="K250" i="3" s="1"/>
  <c r="B247" i="3"/>
  <c r="S242" i="2"/>
  <c r="T242" i="2" s="1"/>
  <c r="S243" i="2"/>
  <c r="T243" i="2" s="1"/>
  <c r="A245" i="2"/>
  <c r="N246" i="2" s="1"/>
  <c r="A249" i="3"/>
  <c r="B244" i="2"/>
  <c r="C244" i="2" s="1"/>
  <c r="F107" i="7"/>
  <c r="E107" i="7" s="1"/>
  <c r="Q246" i="2" l="1"/>
  <c r="P251" i="3" s="1"/>
  <c r="J251" i="3"/>
  <c r="L246" i="2"/>
  <c r="N251" i="3" s="1"/>
  <c r="I246" i="2"/>
  <c r="K251" i="3" s="1"/>
  <c r="P246" i="2"/>
  <c r="O251" i="3" s="1"/>
  <c r="M246" i="2"/>
  <c r="I251" i="3" s="1"/>
  <c r="J246" i="2"/>
  <c r="L251" i="3" s="1"/>
  <c r="B248" i="3"/>
  <c r="D243" i="2"/>
  <c r="C248" i="3" s="1"/>
  <c r="D244" i="2"/>
  <c r="C249" i="3" s="1"/>
  <c r="A246" i="2"/>
  <c r="N247" i="2" s="1"/>
  <c r="A250" i="3"/>
  <c r="B245" i="2"/>
  <c r="C245" i="2" s="1"/>
  <c r="H107" i="7"/>
  <c r="G108" i="7"/>
  <c r="P247" i="2" l="1"/>
  <c r="O252" i="3" s="1"/>
  <c r="M247" i="2"/>
  <c r="I252" i="3" s="1"/>
  <c r="J247" i="2"/>
  <c r="L252" i="3" s="1"/>
  <c r="Q247" i="2"/>
  <c r="P252" i="3" s="1"/>
  <c r="J252" i="3"/>
  <c r="L247" i="2"/>
  <c r="N252" i="3" s="1"/>
  <c r="I247" i="2"/>
  <c r="K252" i="3" s="1"/>
  <c r="B249" i="3"/>
  <c r="B250" i="3"/>
  <c r="S244" i="2"/>
  <c r="T244" i="2" s="1"/>
  <c r="A247" i="2"/>
  <c r="N248" i="2" s="1"/>
  <c r="A251" i="3"/>
  <c r="B246" i="2"/>
  <c r="C246" i="2" s="1"/>
  <c r="F108" i="7"/>
  <c r="E108" i="7" s="1"/>
  <c r="G109" i="7" s="1"/>
  <c r="Q248" i="2" l="1"/>
  <c r="P253" i="3" s="1"/>
  <c r="J253" i="3"/>
  <c r="L248" i="2"/>
  <c r="N253" i="3" s="1"/>
  <c r="I248" i="2"/>
  <c r="K253" i="3" s="1"/>
  <c r="P248" i="2"/>
  <c r="O253" i="3" s="1"/>
  <c r="M248" i="2"/>
  <c r="I253" i="3" s="1"/>
  <c r="J248" i="2"/>
  <c r="L253" i="3" s="1"/>
  <c r="S245" i="2"/>
  <c r="T245" i="2" s="1"/>
  <c r="D245" i="2"/>
  <c r="C250" i="3" s="1"/>
  <c r="D246" i="2"/>
  <c r="C251" i="3" s="1"/>
  <c r="A248" i="2"/>
  <c r="N249" i="2" s="1"/>
  <c r="A252" i="3"/>
  <c r="B247" i="2"/>
  <c r="C247" i="2" s="1"/>
  <c r="H108" i="7"/>
  <c r="F109" i="7"/>
  <c r="H109" i="7" s="1"/>
  <c r="P249" i="2" l="1"/>
  <c r="O254" i="3" s="1"/>
  <c r="M249" i="2"/>
  <c r="I254" i="3" s="1"/>
  <c r="J249" i="2"/>
  <c r="L254" i="3" s="1"/>
  <c r="Q249" i="2"/>
  <c r="P254" i="3" s="1"/>
  <c r="J254" i="3"/>
  <c r="L249" i="2"/>
  <c r="N254" i="3" s="1"/>
  <c r="I249" i="2"/>
  <c r="K254" i="3" s="1"/>
  <c r="B251" i="3"/>
  <c r="D247" i="2"/>
  <c r="C252" i="3" s="1"/>
  <c r="S246" i="2"/>
  <c r="T246" i="2" s="1"/>
  <c r="A249" i="2"/>
  <c r="N250" i="2" s="1"/>
  <c r="A253" i="3"/>
  <c r="B248" i="2"/>
  <c r="C248" i="2" s="1"/>
  <c r="Q250" i="2" l="1"/>
  <c r="P255" i="3" s="1"/>
  <c r="J255" i="3"/>
  <c r="L250" i="2"/>
  <c r="N255" i="3" s="1"/>
  <c r="I250" i="2"/>
  <c r="K255" i="3" s="1"/>
  <c r="P250" i="2"/>
  <c r="O255" i="3" s="1"/>
  <c r="M250" i="2"/>
  <c r="I255" i="3" s="1"/>
  <c r="J250" i="2"/>
  <c r="L255" i="3" s="1"/>
  <c r="B252" i="3"/>
  <c r="S247" i="2"/>
  <c r="T247" i="2" s="1"/>
  <c r="D248" i="2"/>
  <c r="C253" i="3" s="1"/>
  <c r="A250" i="2"/>
  <c r="N251" i="2" s="1"/>
  <c r="A254" i="3"/>
  <c r="B249" i="2"/>
  <c r="C249" i="2" s="1"/>
  <c r="P251" i="2" l="1"/>
  <c r="O256" i="3" s="1"/>
  <c r="M251" i="2"/>
  <c r="I256" i="3" s="1"/>
  <c r="J251" i="2"/>
  <c r="L256" i="3" s="1"/>
  <c r="Q251" i="2"/>
  <c r="P256" i="3" s="1"/>
  <c r="J256" i="3"/>
  <c r="L251" i="2"/>
  <c r="N256" i="3" s="1"/>
  <c r="I251" i="2"/>
  <c r="K256" i="3" s="1"/>
  <c r="B253" i="3"/>
  <c r="S248" i="2"/>
  <c r="T248" i="2" s="1"/>
  <c r="D249" i="2"/>
  <c r="C254" i="3" s="1"/>
  <c r="A251" i="2"/>
  <c r="N252" i="2" s="1"/>
  <c r="A255" i="3"/>
  <c r="B250" i="2"/>
  <c r="C250" i="2" s="1"/>
  <c r="Q252" i="2" l="1"/>
  <c r="P257" i="3" s="1"/>
  <c r="J257" i="3"/>
  <c r="L252" i="2"/>
  <c r="N257" i="3" s="1"/>
  <c r="I252" i="2"/>
  <c r="K257" i="3" s="1"/>
  <c r="P252" i="2"/>
  <c r="O257" i="3" s="1"/>
  <c r="M252" i="2"/>
  <c r="I257" i="3" s="1"/>
  <c r="J252" i="2"/>
  <c r="L257" i="3" s="1"/>
  <c r="B254" i="3"/>
  <c r="S249" i="2"/>
  <c r="T249" i="2" s="1"/>
  <c r="D250" i="2"/>
  <c r="C255" i="3" s="1"/>
  <c r="A252" i="2"/>
  <c r="A256" i="3"/>
  <c r="B251" i="2"/>
  <c r="C251" i="2" s="1"/>
  <c r="K253" i="2" l="1"/>
  <c r="M258" i="3" s="1"/>
  <c r="N253" i="2"/>
  <c r="AE21" i="2" s="1"/>
  <c r="AE22" i="2" s="1"/>
  <c r="N15" i="2" s="1"/>
  <c r="Q253" i="2"/>
  <c r="P258" i="3" s="1"/>
  <c r="J258" i="3"/>
  <c r="L253" i="2"/>
  <c r="N258" i="3" s="1"/>
  <c r="J253" i="2"/>
  <c r="L258" i="3" s="1"/>
  <c r="P253" i="2"/>
  <c r="O258" i="3" s="1"/>
  <c r="M253" i="2"/>
  <c r="I258" i="3" s="1"/>
  <c r="Y21" i="2"/>
  <c r="I253" i="2"/>
  <c r="K258" i="3" s="1"/>
  <c r="B255" i="3"/>
  <c r="S250" i="2"/>
  <c r="T250" i="2" s="1"/>
  <c r="D251" i="2"/>
  <c r="C256" i="3" s="1"/>
  <c r="A253" i="2"/>
  <c r="A257" i="3"/>
  <c r="B252" i="2"/>
  <c r="C252" i="2" s="1"/>
  <c r="K254" i="2" l="1"/>
  <c r="M259" i="3" s="1"/>
  <c r="N254" i="2"/>
  <c r="Z21" i="2"/>
  <c r="Z22" i="2" s="1"/>
  <c r="Y22" i="2"/>
  <c r="Q254" i="2"/>
  <c r="P259" i="3" s="1"/>
  <c r="J259" i="3"/>
  <c r="L254" i="2"/>
  <c r="N259" i="3" s="1"/>
  <c r="J254" i="2"/>
  <c r="L259" i="3" s="1"/>
  <c r="P254" i="2"/>
  <c r="O259" i="3" s="1"/>
  <c r="M254" i="2"/>
  <c r="I259" i="3" s="1"/>
  <c r="I254" i="2"/>
  <c r="K259" i="3" s="1"/>
  <c r="B256" i="3"/>
  <c r="S251" i="2"/>
  <c r="T251" i="2" s="1"/>
  <c r="D252" i="2"/>
  <c r="C257" i="3" s="1"/>
  <c r="A254" i="2"/>
  <c r="A258" i="3"/>
  <c r="B253" i="2"/>
  <c r="C253" i="2" s="1"/>
  <c r="K255" i="2" l="1"/>
  <c r="M260" i="3" s="1"/>
  <c r="N255" i="2"/>
  <c r="J260" i="3" s="1"/>
  <c r="N11" i="2"/>
  <c r="P11" i="2" s="1"/>
  <c r="N9" i="2"/>
  <c r="P9" i="2" s="1"/>
  <c r="Q255" i="2"/>
  <c r="P260" i="3" s="1"/>
  <c r="L255" i="2"/>
  <c r="N260" i="3" s="1"/>
  <c r="J255" i="2"/>
  <c r="L260" i="3" s="1"/>
  <c r="P255" i="2"/>
  <c r="O260" i="3" s="1"/>
  <c r="M255" i="2"/>
  <c r="I260" i="3" s="1"/>
  <c r="I255" i="2"/>
  <c r="K260" i="3" s="1"/>
  <c r="B257" i="3"/>
  <c r="S252" i="2"/>
  <c r="T252" i="2" s="1"/>
  <c r="B258" i="3"/>
  <c r="A255" i="2"/>
  <c r="A259" i="3"/>
  <c r="B254" i="2"/>
  <c r="C254" i="2" s="1"/>
  <c r="K256" i="2" l="1"/>
  <c r="M261" i="3" s="1"/>
  <c r="N256" i="2"/>
  <c r="J261" i="3" s="1"/>
  <c r="D51" i="4"/>
  <c r="E51" i="4" s="1"/>
  <c r="B51" i="4" s="1"/>
  <c r="K9" i="7"/>
  <c r="J24" i="7" s="1"/>
  <c r="P7" i="3"/>
  <c r="Q256" i="2"/>
  <c r="P261" i="3" s="1"/>
  <c r="L256" i="2"/>
  <c r="N261" i="3" s="1"/>
  <c r="J256" i="2"/>
  <c r="L261" i="3" s="1"/>
  <c r="P256" i="2"/>
  <c r="O261" i="3" s="1"/>
  <c r="M256" i="2"/>
  <c r="I261" i="3" s="1"/>
  <c r="I256" i="2"/>
  <c r="K261" i="3" s="1"/>
  <c r="S253" i="2"/>
  <c r="T253" i="2" s="1"/>
  <c r="D253" i="2"/>
  <c r="C258" i="3" s="1"/>
  <c r="D254" i="2"/>
  <c r="C259" i="3" s="1"/>
  <c r="A256" i="2"/>
  <c r="A260" i="3"/>
  <c r="B255" i="2"/>
  <c r="C255" i="2" s="1"/>
  <c r="H24" i="7" l="1"/>
  <c r="B32" i="5"/>
  <c r="L61" i="7"/>
  <c r="L85" i="7"/>
  <c r="K61" i="7"/>
  <c r="K85" i="7"/>
  <c r="K257" i="2"/>
  <c r="M262" i="3" s="1"/>
  <c r="N257" i="2"/>
  <c r="J262" i="3" s="1"/>
  <c r="K37" i="7"/>
  <c r="K49" i="7"/>
  <c r="L37" i="7"/>
  <c r="L49" i="7"/>
  <c r="Q257" i="2"/>
  <c r="P262" i="3" s="1"/>
  <c r="L257" i="2"/>
  <c r="N262" i="3" s="1"/>
  <c r="J257" i="2"/>
  <c r="L262" i="3" s="1"/>
  <c r="P257" i="2"/>
  <c r="O262" i="3" s="1"/>
  <c r="M257" i="2"/>
  <c r="I262" i="3" s="1"/>
  <c r="I257" i="2"/>
  <c r="K262" i="3" s="1"/>
  <c r="B259" i="3"/>
  <c r="S254" i="2"/>
  <c r="T254" i="2" s="1"/>
  <c r="D255" i="2"/>
  <c r="C260" i="3" s="1"/>
  <c r="A257" i="2"/>
  <c r="A261" i="3"/>
  <c r="B256" i="2"/>
  <c r="C256" i="2" s="1"/>
  <c r="K258" i="2" l="1"/>
  <c r="M263" i="3" s="1"/>
  <c r="N258" i="2"/>
  <c r="Q258" i="2"/>
  <c r="P263" i="3" s="1"/>
  <c r="J263" i="3"/>
  <c r="L258" i="2"/>
  <c r="N263" i="3" s="1"/>
  <c r="J258" i="2"/>
  <c r="L263" i="3" s="1"/>
  <c r="P258" i="2"/>
  <c r="O263" i="3" s="1"/>
  <c r="M258" i="2"/>
  <c r="I263" i="3" s="1"/>
  <c r="I258" i="2"/>
  <c r="K263" i="3" s="1"/>
  <c r="B260" i="3"/>
  <c r="S255" i="2"/>
  <c r="T255" i="2" s="1"/>
  <c r="D256" i="2"/>
  <c r="C261" i="3" s="1"/>
  <c r="A258" i="2"/>
  <c r="A262" i="3"/>
  <c r="B257" i="2"/>
  <c r="C257" i="2" s="1"/>
  <c r="K259" i="2" l="1"/>
  <c r="M264" i="3" s="1"/>
  <c r="N259" i="2"/>
  <c r="J264" i="3" s="1"/>
  <c r="Q259" i="2"/>
  <c r="P264" i="3" s="1"/>
  <c r="L259" i="2"/>
  <c r="N264" i="3" s="1"/>
  <c r="J259" i="2"/>
  <c r="L264" i="3" s="1"/>
  <c r="P259" i="2"/>
  <c r="O264" i="3" s="1"/>
  <c r="M259" i="2"/>
  <c r="I264" i="3" s="1"/>
  <c r="I259" i="2"/>
  <c r="K264" i="3" s="1"/>
  <c r="B261" i="3"/>
  <c r="D257" i="2"/>
  <c r="C262" i="3" s="1"/>
  <c r="S256" i="2"/>
  <c r="T256" i="2" s="1"/>
  <c r="A259" i="2"/>
  <c r="A263" i="3"/>
  <c r="B258" i="2"/>
  <c r="C258" i="2" s="1"/>
  <c r="K260" i="2" l="1"/>
  <c r="M265" i="3" s="1"/>
  <c r="N260" i="2"/>
  <c r="Q260" i="2"/>
  <c r="P265" i="3" s="1"/>
  <c r="J265" i="3"/>
  <c r="L260" i="2"/>
  <c r="N265" i="3" s="1"/>
  <c r="J260" i="2"/>
  <c r="L265" i="3" s="1"/>
  <c r="P260" i="2"/>
  <c r="O265" i="3" s="1"/>
  <c r="M260" i="2"/>
  <c r="I265" i="3" s="1"/>
  <c r="I260" i="2"/>
  <c r="K265" i="3" s="1"/>
  <c r="B262" i="3"/>
  <c r="S257" i="2"/>
  <c r="T257" i="2" s="1"/>
  <c r="D258" i="2"/>
  <c r="C263" i="3" s="1"/>
  <c r="A260" i="2"/>
  <c r="A264" i="3"/>
  <c r="B259" i="2"/>
  <c r="C259" i="2" s="1"/>
  <c r="K261" i="2" l="1"/>
  <c r="M266" i="3" s="1"/>
  <c r="N261" i="2"/>
  <c r="Q261" i="2"/>
  <c r="P266" i="3" s="1"/>
  <c r="J266" i="3"/>
  <c r="L261" i="2"/>
  <c r="N266" i="3" s="1"/>
  <c r="J261" i="2"/>
  <c r="L266" i="3" s="1"/>
  <c r="P261" i="2"/>
  <c r="O266" i="3" s="1"/>
  <c r="M261" i="2"/>
  <c r="I266" i="3" s="1"/>
  <c r="I261" i="2"/>
  <c r="K266" i="3" s="1"/>
  <c r="B263" i="3"/>
  <c r="D259" i="2"/>
  <c r="C264" i="3" s="1"/>
  <c r="S258" i="2"/>
  <c r="T258" i="2" s="1"/>
  <c r="A261" i="2"/>
  <c r="A265" i="3"/>
  <c r="B260" i="2"/>
  <c r="C260" i="2" s="1"/>
  <c r="K262" i="2" l="1"/>
  <c r="M267" i="3" s="1"/>
  <c r="N262" i="2"/>
  <c r="J267" i="3" s="1"/>
  <c r="Q262" i="2"/>
  <c r="P267" i="3" s="1"/>
  <c r="L262" i="2"/>
  <c r="N267" i="3" s="1"/>
  <c r="J262" i="2"/>
  <c r="L267" i="3" s="1"/>
  <c r="P262" i="2"/>
  <c r="O267" i="3" s="1"/>
  <c r="M262" i="2"/>
  <c r="I267" i="3" s="1"/>
  <c r="I262" i="2"/>
  <c r="K267" i="3" s="1"/>
  <c r="B264" i="3"/>
  <c r="S259" i="2"/>
  <c r="T259" i="2" s="1"/>
  <c r="D260" i="2"/>
  <c r="C265" i="3" s="1"/>
  <c r="A262" i="2"/>
  <c r="A266" i="3"/>
  <c r="B261" i="2"/>
  <c r="C261" i="2" s="1"/>
  <c r="K263" i="2" l="1"/>
  <c r="M268" i="3" s="1"/>
  <c r="N263" i="2"/>
  <c r="Q263" i="2"/>
  <c r="P268" i="3" s="1"/>
  <c r="J268" i="3"/>
  <c r="L263" i="2"/>
  <c r="N268" i="3" s="1"/>
  <c r="J263" i="2"/>
  <c r="L268" i="3" s="1"/>
  <c r="P263" i="2"/>
  <c r="O268" i="3" s="1"/>
  <c r="M263" i="2"/>
  <c r="I268" i="3" s="1"/>
  <c r="I263" i="2"/>
  <c r="K268" i="3" s="1"/>
  <c r="B265" i="3"/>
  <c r="D261" i="2"/>
  <c r="C266" i="3" s="1"/>
  <c r="S260" i="2"/>
  <c r="T260" i="2" s="1"/>
  <c r="A263" i="2"/>
  <c r="A267" i="3"/>
  <c r="B262" i="2"/>
  <c r="C262" i="2" s="1"/>
  <c r="K264" i="2" l="1"/>
  <c r="M269" i="3" s="1"/>
  <c r="N264" i="2"/>
  <c r="Q264" i="2"/>
  <c r="P269" i="3" s="1"/>
  <c r="J269" i="3"/>
  <c r="L264" i="2"/>
  <c r="N269" i="3" s="1"/>
  <c r="J264" i="2"/>
  <c r="L269" i="3" s="1"/>
  <c r="P264" i="2"/>
  <c r="O269" i="3" s="1"/>
  <c r="M264" i="2"/>
  <c r="I269" i="3" s="1"/>
  <c r="I264" i="2"/>
  <c r="K269" i="3" s="1"/>
  <c r="S261" i="2"/>
  <c r="T261" i="2" s="1"/>
  <c r="D262" i="2"/>
  <c r="C267" i="3" s="1"/>
  <c r="B266" i="3"/>
  <c r="A264" i="2"/>
  <c r="A268" i="3"/>
  <c r="B263" i="2"/>
  <c r="C263" i="2" s="1"/>
  <c r="S262" i="2"/>
  <c r="T262" i="2" s="1"/>
  <c r="B267" i="3"/>
  <c r="K265" i="2" l="1"/>
  <c r="M270" i="3" s="1"/>
  <c r="N265" i="2"/>
  <c r="J270" i="3" s="1"/>
  <c r="J265" i="2"/>
  <c r="L270" i="3" s="1"/>
  <c r="L265" i="2"/>
  <c r="N270" i="3" s="1"/>
  <c r="I265" i="2"/>
  <c r="K270" i="3" s="1"/>
  <c r="M265" i="2"/>
  <c r="I270" i="3" s="1"/>
  <c r="D263" i="2"/>
  <c r="C268" i="3" s="1"/>
  <c r="A265" i="2"/>
  <c r="A269" i="3"/>
  <c r="B264" i="2"/>
  <c r="C264" i="2" s="1"/>
  <c r="B268" i="3" l="1"/>
  <c r="S263" i="2"/>
  <c r="T263" i="2" s="1"/>
  <c r="S264" i="2"/>
  <c r="T264" i="2" s="1"/>
  <c r="A266" i="2"/>
  <c r="A267" i="2" s="1"/>
  <c r="A268" i="2" s="1"/>
  <c r="A269" i="2" s="1"/>
  <c r="A270" i="2" s="1"/>
  <c r="A271" i="2" s="1"/>
  <c r="A272" i="2" s="1"/>
  <c r="A273" i="2" s="1"/>
  <c r="A274" i="2" s="1"/>
  <c r="A275" i="2" s="1"/>
  <c r="A270" i="3"/>
  <c r="E265" i="2"/>
  <c r="D270" i="3" s="1"/>
  <c r="B269" i="3" l="1"/>
  <c r="D264" i="2"/>
  <c r="C269" i="3" s="1"/>
  <c r="B53" i="3" l="1"/>
  <c r="B52" i="3"/>
  <c r="B33" i="3"/>
  <c r="S28" i="2"/>
  <c r="T28" i="2" s="1"/>
  <c r="G29" i="2" s="1"/>
  <c r="G34" i="3" l="1"/>
  <c r="F29" i="2"/>
  <c r="H29" i="2" s="1"/>
  <c r="R29" i="2" l="1"/>
  <c r="E34" i="3"/>
  <c r="F34" i="3"/>
  <c r="E29" i="2"/>
  <c r="D34" i="3" l="1"/>
  <c r="G30" i="2"/>
  <c r="G35" i="3" l="1"/>
  <c r="F30" i="2"/>
  <c r="H30" i="2" s="1"/>
  <c r="R30" i="2" l="1"/>
  <c r="E35" i="3"/>
  <c r="F35" i="3"/>
  <c r="E30" i="2"/>
  <c r="D35" i="3" l="1"/>
  <c r="G31" i="2"/>
  <c r="G36" i="3" l="1"/>
  <c r="F31" i="2"/>
  <c r="F36" i="3" l="1"/>
  <c r="E31" i="2"/>
  <c r="H31" i="2"/>
  <c r="R31" i="2" l="1"/>
  <c r="E36" i="3"/>
  <c r="D36" i="3"/>
  <c r="G32" i="2"/>
  <c r="G37" i="3" l="1"/>
  <c r="F32" i="2"/>
  <c r="H32" i="2" s="1"/>
  <c r="E37" i="3" l="1"/>
  <c r="R32" i="2"/>
  <c r="F37" i="3"/>
  <c r="E32" i="2"/>
  <c r="D37" i="3" l="1"/>
  <c r="G33" i="2"/>
  <c r="G38" i="3" l="1"/>
  <c r="F33" i="2"/>
  <c r="H33" i="2" s="1"/>
  <c r="F38" i="3" l="1"/>
  <c r="E33" i="2"/>
  <c r="R33" i="2"/>
  <c r="E38" i="3"/>
  <c r="D38" i="3" l="1"/>
  <c r="G34" i="2"/>
  <c r="F34" i="2" l="1"/>
  <c r="G39" i="3"/>
  <c r="F39" i="3" l="1"/>
  <c r="E34" i="2"/>
  <c r="H34" i="2"/>
  <c r="D39" i="3" l="1"/>
  <c r="G35" i="2"/>
  <c r="R34" i="2"/>
  <c r="E39" i="3"/>
  <c r="F35" i="2" l="1"/>
  <c r="H35" i="2" s="1"/>
  <c r="G40" i="3"/>
  <c r="F40" i="3" l="1"/>
  <c r="E35" i="2"/>
  <c r="R35" i="2"/>
  <c r="E40" i="3"/>
  <c r="D40" i="3" l="1"/>
  <c r="G36" i="2"/>
  <c r="G41" i="3" l="1"/>
  <c r="F36" i="2"/>
  <c r="F41" i="3" l="1"/>
  <c r="E36" i="2"/>
  <c r="H36" i="2"/>
  <c r="D41" i="3" l="1"/>
  <c r="G37" i="2"/>
  <c r="R36" i="2"/>
  <c r="P37" i="2" s="1"/>
  <c r="O42" i="3" s="1"/>
  <c r="E41" i="3"/>
  <c r="G42" i="3" l="1"/>
  <c r="F37" i="2"/>
  <c r="Q37" i="2" s="1"/>
  <c r="P42" i="3" s="1"/>
  <c r="F42" i="3" l="1"/>
  <c r="E37" i="2"/>
  <c r="H37" i="2"/>
  <c r="G38" i="2" l="1"/>
  <c r="D42" i="3"/>
  <c r="R37" i="2"/>
  <c r="E42" i="3"/>
  <c r="G43" i="3" l="1"/>
  <c r="F38" i="2"/>
  <c r="F43" i="3" l="1"/>
  <c r="E38" i="2"/>
  <c r="H38" i="2"/>
  <c r="D43" i="3" l="1"/>
  <c r="G39" i="2"/>
  <c r="R38" i="2"/>
  <c r="E43" i="3"/>
  <c r="G44" i="3" l="1"/>
  <c r="F39" i="2"/>
  <c r="F44" i="3" l="1"/>
  <c r="E39" i="2"/>
  <c r="H39" i="2"/>
  <c r="D44" i="3" l="1"/>
  <c r="G40" i="2"/>
  <c r="R39" i="2"/>
  <c r="E44" i="3"/>
  <c r="G45" i="3" l="1"/>
  <c r="F40" i="2"/>
  <c r="F45" i="3" l="1"/>
  <c r="E40" i="2"/>
  <c r="H40" i="2"/>
  <c r="D45" i="3" l="1"/>
  <c r="G41" i="2"/>
  <c r="R40" i="2"/>
  <c r="E45" i="3"/>
  <c r="G46" i="3" l="1"/>
  <c r="F41" i="2"/>
  <c r="H41" i="2" s="1"/>
  <c r="R41" i="2" l="1"/>
  <c r="E46" i="3"/>
  <c r="F46" i="3"/>
  <c r="E41" i="2"/>
  <c r="D46" i="3" l="1"/>
  <c r="G42" i="2"/>
  <c r="G47" i="3" l="1"/>
  <c r="F42" i="2"/>
  <c r="F47" i="3" l="1"/>
  <c r="E42" i="2"/>
  <c r="H42" i="2"/>
  <c r="D47" i="3" l="1"/>
  <c r="G43" i="2"/>
  <c r="R42" i="2"/>
  <c r="E47" i="3"/>
  <c r="F43" i="2" l="1"/>
  <c r="G48" i="3"/>
  <c r="F48" i="3" l="1"/>
  <c r="E43" i="2"/>
  <c r="H43" i="2"/>
  <c r="D48" i="3" l="1"/>
  <c r="G44" i="2"/>
  <c r="R43" i="2"/>
  <c r="E48" i="3"/>
  <c r="G49" i="3" l="1"/>
  <c r="F44" i="2"/>
  <c r="F49" i="3" l="1"/>
  <c r="E44" i="2"/>
  <c r="H44" i="2"/>
  <c r="G45" i="2" l="1"/>
  <c r="D49" i="3"/>
  <c r="E49" i="3"/>
  <c r="R44" i="2"/>
  <c r="G50" i="3" l="1"/>
  <c r="F45" i="2"/>
  <c r="H45" i="2" s="1"/>
  <c r="E50" i="3" l="1"/>
  <c r="R45" i="2"/>
  <c r="F50" i="3"/>
  <c r="E45" i="2"/>
  <c r="D50" i="3" l="1"/>
  <c r="G46" i="2"/>
  <c r="F46" i="2" l="1"/>
  <c r="G51" i="3"/>
  <c r="F51" i="3" l="1"/>
  <c r="E46" i="2"/>
  <c r="H46" i="2"/>
  <c r="D51" i="3" l="1"/>
  <c r="G47" i="2"/>
  <c r="R46" i="2"/>
  <c r="E51" i="3"/>
  <c r="G52" i="3" l="1"/>
  <c r="F47" i="2"/>
  <c r="F52" i="3" l="1"/>
  <c r="E47" i="2"/>
  <c r="H47" i="2"/>
  <c r="G48" i="2" l="1"/>
  <c r="D52" i="3"/>
  <c r="R47" i="2"/>
  <c r="E52" i="3"/>
  <c r="G53" i="3" l="1"/>
  <c r="F48" i="2"/>
  <c r="F53" i="3" l="1"/>
  <c r="E19" i="2"/>
  <c r="E48" i="2"/>
  <c r="G49" i="2" s="1"/>
  <c r="H48" i="2"/>
  <c r="F49" i="2" l="1"/>
  <c r="H49" i="2" s="1"/>
  <c r="E53" i="3"/>
  <c r="R48" i="2"/>
  <c r="P49" i="2" s="1"/>
  <c r="O54" i="3" s="1"/>
  <c r="D53" i="3"/>
  <c r="G54" i="3" l="1"/>
  <c r="Q49" i="2" l="1"/>
  <c r="P54" i="3" s="1"/>
  <c r="E54" i="3"/>
  <c r="F54" i="3"/>
  <c r="E49" i="2"/>
  <c r="G50" i="2" s="1"/>
  <c r="F50" i="2" l="1"/>
  <c r="H50" i="2" s="1"/>
  <c r="R49" i="2"/>
  <c r="D54" i="3"/>
  <c r="G55" i="3" l="1"/>
  <c r="E55" i="3" l="1"/>
  <c r="R50" i="2"/>
  <c r="F55" i="3"/>
  <c r="E50" i="2"/>
  <c r="G51" i="2" s="1"/>
  <c r="F51" i="2" l="1"/>
  <c r="H51" i="2" s="1"/>
  <c r="D55" i="3"/>
  <c r="G56" i="3" l="1"/>
  <c r="R51" i="2" l="1"/>
  <c r="E56" i="3"/>
  <c r="F56" i="3"/>
  <c r="E51" i="2"/>
  <c r="G52" i="2" s="1"/>
  <c r="F52" i="2" l="1"/>
  <c r="H52" i="2" s="1"/>
  <c r="D56" i="3"/>
  <c r="G57" i="3" l="1"/>
  <c r="R52" i="2" l="1"/>
  <c r="E57" i="3"/>
  <c r="F57" i="3"/>
  <c r="E52" i="2"/>
  <c r="G53" i="2" s="1"/>
  <c r="F53" i="2" l="1"/>
  <c r="H53" i="2" s="1"/>
  <c r="D57" i="3"/>
  <c r="G58" i="3" l="1"/>
  <c r="R53" i="2" l="1"/>
  <c r="E58" i="3"/>
  <c r="F58" i="3"/>
  <c r="E53" i="2"/>
  <c r="G54" i="2" s="1"/>
  <c r="F54" i="2" l="1"/>
  <c r="H54" i="2" s="1"/>
  <c r="D58" i="3"/>
  <c r="G59" i="3" l="1"/>
  <c r="R54" i="2" l="1"/>
  <c r="E59" i="3"/>
  <c r="F59" i="3"/>
  <c r="E54" i="2"/>
  <c r="G55" i="2" s="1"/>
  <c r="F55" i="2" l="1"/>
  <c r="H55" i="2" s="1"/>
  <c r="D59" i="3"/>
  <c r="G60" i="3" l="1"/>
  <c r="R55" i="2" l="1"/>
  <c r="E60" i="3"/>
  <c r="F60" i="3"/>
  <c r="E55" i="2"/>
  <c r="G56" i="2" s="1"/>
  <c r="F56" i="2" l="1"/>
  <c r="H56" i="2" s="1"/>
  <c r="D60" i="3"/>
  <c r="G61" i="3" l="1"/>
  <c r="E61" i="3" l="1"/>
  <c r="R56" i="2"/>
  <c r="F61" i="3"/>
  <c r="E56" i="2"/>
  <c r="G57" i="2" s="1"/>
  <c r="F57" i="2" l="1"/>
  <c r="H57" i="2" s="1"/>
  <c r="D61" i="3"/>
  <c r="G62" i="3" l="1"/>
  <c r="R57" i="2" l="1"/>
  <c r="E62" i="3"/>
  <c r="F62" i="3"/>
  <c r="E57" i="2"/>
  <c r="G58" i="2" s="1"/>
  <c r="F58" i="2" l="1"/>
  <c r="H58" i="2" s="1"/>
  <c r="D62" i="3"/>
  <c r="G63" i="3" l="1"/>
  <c r="R58" i="2" l="1"/>
  <c r="E63" i="3"/>
  <c r="F63" i="3"/>
  <c r="E58" i="2"/>
  <c r="G59" i="2" s="1"/>
  <c r="F59" i="2" l="1"/>
  <c r="H59" i="2" s="1"/>
  <c r="D63" i="3"/>
  <c r="G64" i="3" l="1"/>
  <c r="E64" i="3" l="1"/>
  <c r="R59" i="2"/>
  <c r="F64" i="3"/>
  <c r="E59" i="2"/>
  <c r="G60" i="2" s="1"/>
  <c r="F60" i="2" l="1"/>
  <c r="H60" i="2" s="1"/>
  <c r="D64" i="3"/>
  <c r="G65" i="3" l="1"/>
  <c r="R60" i="2" l="1"/>
  <c r="P61" i="2" s="1"/>
  <c r="O66" i="3" s="1"/>
  <c r="E65" i="3"/>
  <c r="F65" i="3"/>
  <c r="E60" i="2"/>
  <c r="G61" i="2" s="1"/>
  <c r="F61" i="2" l="1"/>
  <c r="H61" i="2" s="1"/>
  <c r="D65" i="3"/>
  <c r="G66" i="3" l="1"/>
  <c r="Q61" i="2" l="1"/>
  <c r="P66" i="3" s="1"/>
  <c r="E66" i="3"/>
  <c r="F66" i="3"/>
  <c r="E61" i="2"/>
  <c r="G62" i="2" s="1"/>
  <c r="F62" i="2" l="1"/>
  <c r="H62" i="2" s="1"/>
  <c r="R61" i="2"/>
  <c r="D66" i="3"/>
  <c r="G67" i="3" l="1"/>
  <c r="E67" i="3" l="1"/>
  <c r="R62" i="2"/>
  <c r="F67" i="3"/>
  <c r="E62" i="2"/>
  <c r="G63" i="2" s="1"/>
  <c r="F63" i="2" l="1"/>
  <c r="H63" i="2" s="1"/>
  <c r="D67" i="3"/>
  <c r="G68" i="3" l="1"/>
  <c r="E68" i="3" l="1"/>
  <c r="R63" i="2"/>
  <c r="F68" i="3"/>
  <c r="E63" i="2"/>
  <c r="G64" i="2" s="1"/>
  <c r="F64" i="2" l="1"/>
  <c r="H64" i="2" s="1"/>
  <c r="D68" i="3"/>
  <c r="G69" i="3" l="1"/>
  <c r="E69" i="3" l="1"/>
  <c r="R64" i="2"/>
  <c r="F69" i="3"/>
  <c r="E64" i="2"/>
  <c r="G65" i="2" s="1"/>
  <c r="F65" i="2" l="1"/>
  <c r="H65" i="2" s="1"/>
  <c r="D69" i="3"/>
  <c r="G70" i="3" l="1"/>
  <c r="R65" i="2" l="1"/>
  <c r="E70" i="3"/>
  <c r="F70" i="3"/>
  <c r="E65" i="2"/>
  <c r="G66" i="2" s="1"/>
  <c r="F66" i="2" l="1"/>
  <c r="H66" i="2" s="1"/>
  <c r="D70" i="3"/>
  <c r="G71" i="3" l="1"/>
  <c r="E71" i="3" l="1"/>
  <c r="R66" i="2"/>
  <c r="F71" i="3"/>
  <c r="E66" i="2"/>
  <c r="G67" i="2" s="1"/>
  <c r="F67" i="2" l="1"/>
  <c r="H67" i="2" s="1"/>
  <c r="D71" i="3"/>
  <c r="G72" i="3" l="1"/>
  <c r="F72" i="3" l="1"/>
  <c r="E67" i="2"/>
  <c r="G68" i="2" s="1"/>
  <c r="F68" i="2" l="1"/>
  <c r="H68" i="2" s="1"/>
  <c r="D72" i="3"/>
  <c r="E72" i="3"/>
  <c r="R67" i="2"/>
  <c r="G73" i="3" l="1"/>
  <c r="F73" i="3" l="1"/>
  <c r="E68" i="2"/>
  <c r="G69" i="2" s="1"/>
  <c r="F69" i="2" l="1"/>
  <c r="H69" i="2" s="1"/>
  <c r="D73" i="3"/>
  <c r="R68" i="2"/>
  <c r="E73" i="3"/>
  <c r="G74" i="3" l="1"/>
  <c r="F74" i="3" l="1"/>
  <c r="E69" i="2"/>
  <c r="G70" i="2" s="1"/>
  <c r="F70" i="2" l="1"/>
  <c r="H70" i="2" s="1"/>
  <c r="D74" i="3"/>
  <c r="E74" i="3"/>
  <c r="R69" i="2"/>
  <c r="G75" i="3" l="1"/>
  <c r="F75" i="3" l="1"/>
  <c r="E70" i="2"/>
  <c r="G71" i="2" s="1"/>
  <c r="F71" i="2" l="1"/>
  <c r="H71" i="2" s="1"/>
  <c r="D75" i="3"/>
  <c r="E75" i="3"/>
  <c r="R70" i="2"/>
  <c r="G76" i="3" l="1"/>
  <c r="R71" i="2" l="1"/>
  <c r="E76" i="3"/>
  <c r="F76" i="3"/>
  <c r="E71" i="2"/>
  <c r="G72" i="2" s="1"/>
  <c r="F72" i="2" l="1"/>
  <c r="H72" i="2" s="1"/>
  <c r="D76" i="3"/>
  <c r="G77" i="3" l="1"/>
  <c r="F77" i="3" l="1"/>
  <c r="E72" i="2"/>
  <c r="G73" i="2" s="1"/>
  <c r="F73" i="2" l="1"/>
  <c r="H73" i="2" s="1"/>
  <c r="D77" i="3"/>
  <c r="E77" i="3"/>
  <c r="R72" i="2"/>
  <c r="G78" i="3" l="1"/>
  <c r="E78" i="3" l="1"/>
  <c r="R73" i="2"/>
  <c r="F78" i="3"/>
  <c r="E73" i="2"/>
  <c r="G74" i="2" s="1"/>
  <c r="F74" i="2" l="1"/>
  <c r="H74" i="2" s="1"/>
  <c r="D78" i="3"/>
  <c r="G79" i="3" l="1"/>
  <c r="F79" i="3" l="1"/>
  <c r="E74" i="2"/>
  <c r="G75" i="2" s="1"/>
  <c r="F75" i="2" l="1"/>
  <c r="H75" i="2" s="1"/>
  <c r="D79" i="3"/>
  <c r="R74" i="2"/>
  <c r="E79" i="3"/>
  <c r="G80" i="3" l="1"/>
  <c r="R75" i="2" l="1"/>
  <c r="E80" i="3"/>
  <c r="F80" i="3"/>
  <c r="E75" i="2"/>
  <c r="G76" i="2" s="1"/>
  <c r="F76" i="2" l="1"/>
  <c r="H76" i="2" s="1"/>
  <c r="D80" i="3"/>
  <c r="G81" i="3" l="1"/>
  <c r="F81" i="3" l="1"/>
  <c r="E76" i="2"/>
  <c r="G77" i="2" s="1"/>
  <c r="F77" i="2" l="1"/>
  <c r="H77" i="2" s="1"/>
  <c r="D81" i="3"/>
  <c r="E81" i="3"/>
  <c r="R76" i="2"/>
  <c r="G82" i="3" l="1"/>
  <c r="F82" i="3" l="1"/>
  <c r="E77" i="2"/>
  <c r="G78" i="2" s="1"/>
  <c r="F78" i="2" l="1"/>
  <c r="H78" i="2" s="1"/>
  <c r="D82" i="3"/>
  <c r="E82" i="3"/>
  <c r="R77" i="2"/>
  <c r="G83" i="3" l="1"/>
  <c r="F83" i="3" l="1"/>
  <c r="E78" i="2"/>
  <c r="G79" i="2" s="1"/>
  <c r="F79" i="2" l="1"/>
  <c r="H79" i="2" s="1"/>
  <c r="D83" i="3"/>
  <c r="R78" i="2"/>
  <c r="E83" i="3"/>
  <c r="G84" i="3" l="1"/>
  <c r="F84" i="3" l="1"/>
  <c r="E79" i="2"/>
  <c r="G80" i="2" s="1"/>
  <c r="F80" i="2" l="1"/>
  <c r="H80" i="2" s="1"/>
  <c r="D84" i="3"/>
  <c r="E84" i="3"/>
  <c r="R79" i="2"/>
  <c r="G85" i="3" l="1"/>
  <c r="F85" i="3" l="1"/>
  <c r="E80" i="2"/>
  <c r="G81" i="2" s="1"/>
  <c r="F81" i="2" l="1"/>
  <c r="H81" i="2" s="1"/>
  <c r="D85" i="3"/>
  <c r="R80" i="2"/>
  <c r="E85" i="3"/>
  <c r="G86" i="3" l="1"/>
  <c r="R81" i="2" l="1"/>
  <c r="E86" i="3"/>
  <c r="F86" i="3"/>
  <c r="E81" i="2"/>
  <c r="G82" i="2" s="1"/>
  <c r="F82" i="2" l="1"/>
  <c r="H82" i="2" s="1"/>
  <c r="D86" i="3"/>
  <c r="G87" i="3" l="1"/>
  <c r="F87" i="3" l="1"/>
  <c r="E82" i="2"/>
  <c r="G83" i="2" s="1"/>
  <c r="F83" i="2" l="1"/>
  <c r="H83" i="2" s="1"/>
  <c r="D87" i="3"/>
  <c r="R82" i="2"/>
  <c r="E87" i="3"/>
  <c r="G88" i="3" l="1"/>
  <c r="R83" i="2" l="1"/>
  <c r="E88" i="3"/>
  <c r="F88" i="3"/>
  <c r="E83" i="2"/>
  <c r="G84" i="2" s="1"/>
  <c r="F84" i="2" l="1"/>
  <c r="H84" i="2" s="1"/>
  <c r="D88" i="3"/>
  <c r="G89" i="3" l="1"/>
  <c r="F89" i="3" l="1"/>
  <c r="F19" i="2"/>
  <c r="F21" i="2" s="1"/>
  <c r="E84" i="2"/>
  <c r="R84" i="2" l="1"/>
  <c r="P85" i="2" s="1"/>
  <c r="O90" i="3" s="1"/>
  <c r="E89" i="3"/>
  <c r="G85" i="2"/>
  <c r="D89" i="3"/>
  <c r="G90" i="3" l="1"/>
  <c r="F85" i="2"/>
  <c r="Q85" i="2" s="1"/>
  <c r="P90" i="3" s="1"/>
  <c r="B35" i="5" s="1"/>
  <c r="B34" i="5" s="1"/>
  <c r="F90" i="3" l="1"/>
  <c r="E85" i="2"/>
  <c r="H85" i="2"/>
  <c r="G86" i="2" l="1"/>
  <c r="D90" i="3"/>
  <c r="R85" i="2"/>
  <c r="E90" i="3"/>
  <c r="G91" i="3" l="1"/>
  <c r="F86" i="2"/>
  <c r="F91" i="3" l="1"/>
  <c r="E86" i="2"/>
  <c r="H86" i="2"/>
  <c r="D91" i="3" l="1"/>
  <c r="G87" i="2"/>
  <c r="E91" i="3"/>
  <c r="R86" i="2"/>
  <c r="G92" i="3" l="1"/>
  <c r="F87" i="2"/>
  <c r="F92" i="3" l="1"/>
  <c r="E87" i="2"/>
  <c r="H87" i="2"/>
  <c r="G88" i="2" l="1"/>
  <c r="D92" i="3"/>
  <c r="E92" i="3"/>
  <c r="R87" i="2"/>
  <c r="G93" i="3" l="1"/>
  <c r="F88" i="2"/>
  <c r="F93" i="3" l="1"/>
  <c r="E88" i="2"/>
  <c r="H88" i="2"/>
  <c r="G89" i="2" l="1"/>
  <c r="D93" i="3"/>
  <c r="R88" i="2"/>
  <c r="E93" i="3"/>
  <c r="G94" i="3" l="1"/>
  <c r="F89" i="2"/>
  <c r="F94" i="3" l="1"/>
  <c r="E89" i="2"/>
  <c r="H89" i="2"/>
  <c r="D94" i="3" l="1"/>
  <c r="G90" i="2"/>
  <c r="R89" i="2"/>
  <c r="E94" i="3"/>
  <c r="G95" i="3" l="1"/>
  <c r="F90" i="2"/>
  <c r="H90" i="2" s="1"/>
  <c r="E95" i="3" l="1"/>
  <c r="R90" i="2"/>
  <c r="F95" i="3"/>
  <c r="E90" i="2"/>
  <c r="G91" i="2" l="1"/>
  <c r="D95" i="3"/>
  <c r="G96" i="3" l="1"/>
  <c r="F91" i="2"/>
  <c r="H91" i="2" s="1"/>
  <c r="E96" i="3" l="1"/>
  <c r="R91" i="2"/>
  <c r="F96" i="3"/>
  <c r="E91" i="2"/>
  <c r="G92" i="2" l="1"/>
  <c r="D96" i="3"/>
  <c r="G97" i="3" l="1"/>
  <c r="F92" i="2"/>
  <c r="F97" i="3" l="1"/>
  <c r="E92" i="2"/>
  <c r="H92" i="2"/>
  <c r="G93" i="2" l="1"/>
  <c r="D97" i="3"/>
  <c r="E97" i="3"/>
  <c r="R92" i="2"/>
  <c r="G98" i="3" l="1"/>
  <c r="F93" i="2"/>
  <c r="H93" i="2" s="1"/>
  <c r="E98" i="3" l="1"/>
  <c r="R93" i="2"/>
  <c r="F98" i="3"/>
  <c r="E93" i="2"/>
  <c r="D98" i="3" l="1"/>
  <c r="G94" i="2"/>
  <c r="G99" i="3" l="1"/>
  <c r="F94" i="2"/>
  <c r="H94" i="2" s="1"/>
  <c r="R94" i="2" l="1"/>
  <c r="E99" i="3"/>
  <c r="F99" i="3"/>
  <c r="E94" i="2"/>
  <c r="G95" i="2" l="1"/>
  <c r="D99" i="3"/>
  <c r="G100" i="3" l="1"/>
  <c r="F95" i="2"/>
  <c r="F100" i="3" l="1"/>
  <c r="E95" i="2"/>
  <c r="H95" i="2"/>
  <c r="D100" i="3" l="1"/>
  <c r="G96" i="2"/>
  <c r="E100" i="3"/>
  <c r="R95" i="2"/>
  <c r="G101" i="3" l="1"/>
  <c r="F96" i="2"/>
  <c r="H96" i="2" s="1"/>
  <c r="R96" i="2" l="1"/>
  <c r="E101" i="3"/>
  <c r="F101" i="3"/>
  <c r="E96" i="2"/>
  <c r="G97" i="2" l="1"/>
  <c r="D101" i="3"/>
  <c r="G102" i="3" l="1"/>
  <c r="F97" i="2"/>
  <c r="H97" i="2" s="1"/>
  <c r="R97" i="2" l="1"/>
  <c r="E102" i="3"/>
  <c r="F102" i="3"/>
  <c r="E97" i="2"/>
  <c r="D102" i="3" l="1"/>
  <c r="G98" i="2"/>
  <c r="G103" i="3" l="1"/>
  <c r="F98" i="2"/>
  <c r="H98" i="2" s="1"/>
  <c r="R98" i="2" l="1"/>
  <c r="E103" i="3"/>
  <c r="F103" i="3"/>
  <c r="E98" i="2"/>
  <c r="G99" i="2" l="1"/>
  <c r="D103" i="3"/>
  <c r="G104" i="3" l="1"/>
  <c r="F99" i="2"/>
  <c r="F104" i="3" l="1"/>
  <c r="E99" i="2"/>
  <c r="H99" i="2"/>
  <c r="G100" i="2" l="1"/>
  <c r="D104" i="3"/>
  <c r="R99" i="2"/>
  <c r="E104" i="3"/>
  <c r="G105" i="3" l="1"/>
  <c r="F100" i="2"/>
  <c r="H100" i="2" s="1"/>
  <c r="E105" i="3" l="1"/>
  <c r="R100" i="2"/>
  <c r="F105" i="3"/>
  <c r="E100" i="2"/>
  <c r="G101" i="2" l="1"/>
  <c r="D105" i="3"/>
  <c r="G106" i="3" l="1"/>
  <c r="F101" i="2"/>
  <c r="F106" i="3" l="1"/>
  <c r="E101" i="2"/>
  <c r="H101" i="2"/>
  <c r="D106" i="3" l="1"/>
  <c r="G102" i="2"/>
  <c r="E106" i="3"/>
  <c r="R101" i="2"/>
  <c r="G107" i="3" l="1"/>
  <c r="F102" i="2"/>
  <c r="F107" i="3" l="1"/>
  <c r="E102" i="2"/>
  <c r="H102" i="2"/>
  <c r="G103" i="2" l="1"/>
  <c r="D107" i="3"/>
  <c r="E107" i="3"/>
  <c r="R102" i="2"/>
  <c r="G108" i="3" l="1"/>
  <c r="F103" i="2"/>
  <c r="H103" i="2" s="1"/>
  <c r="E108" i="3" l="1"/>
  <c r="R103" i="2"/>
  <c r="F108" i="3"/>
  <c r="E103" i="2"/>
  <c r="D108" i="3" l="1"/>
  <c r="G104" i="2"/>
  <c r="G109" i="3" l="1"/>
  <c r="F104" i="2"/>
  <c r="H104" i="2" s="1"/>
  <c r="R104" i="2" l="1"/>
  <c r="E109" i="3"/>
  <c r="F109" i="3"/>
  <c r="E104" i="2"/>
  <c r="D109" i="3" l="1"/>
  <c r="G105" i="2"/>
  <c r="G110" i="3" l="1"/>
  <c r="F105" i="2"/>
  <c r="H105" i="2" s="1"/>
  <c r="R105" i="2" l="1"/>
  <c r="E110" i="3"/>
  <c r="F110" i="3"/>
  <c r="E105" i="2"/>
  <c r="D110" i="3" l="1"/>
  <c r="G106" i="2"/>
  <c r="G111" i="3" l="1"/>
  <c r="F106" i="2"/>
  <c r="F111" i="3" l="1"/>
  <c r="E106" i="2"/>
  <c r="H106" i="2"/>
  <c r="D111" i="3" l="1"/>
  <c r="G107" i="2"/>
  <c r="E111" i="3"/>
  <c r="R106" i="2"/>
  <c r="G112" i="3" l="1"/>
  <c r="F107" i="2"/>
  <c r="F112" i="3" l="1"/>
  <c r="E107" i="2"/>
  <c r="H107" i="2"/>
  <c r="D112" i="3" l="1"/>
  <c r="G108" i="2"/>
  <c r="R107" i="2"/>
  <c r="E112" i="3"/>
  <c r="G113" i="3" l="1"/>
  <c r="F108" i="2"/>
  <c r="H108" i="2" s="1"/>
  <c r="R108" i="2" l="1"/>
  <c r="E113" i="3"/>
  <c r="F113" i="3"/>
  <c r="E108" i="2"/>
  <c r="G109" i="2" l="1"/>
  <c r="D113" i="3"/>
  <c r="G114" i="3" l="1"/>
  <c r="F109" i="2"/>
  <c r="H109" i="2" s="1"/>
  <c r="E114" i="3" l="1"/>
  <c r="R109" i="2"/>
  <c r="F114" i="3"/>
  <c r="E109" i="2"/>
  <c r="D114" i="3" l="1"/>
  <c r="G110" i="2"/>
  <c r="G115" i="3" l="1"/>
  <c r="F110" i="2"/>
  <c r="F115" i="3" l="1"/>
  <c r="E110" i="2"/>
  <c r="H110" i="2"/>
  <c r="D115" i="3" l="1"/>
  <c r="G111" i="2"/>
  <c r="E115" i="3"/>
  <c r="R110" i="2"/>
  <c r="G116" i="3" l="1"/>
  <c r="F111" i="2"/>
  <c r="F116" i="3" l="1"/>
  <c r="E111" i="2"/>
  <c r="H111" i="2"/>
  <c r="G112" i="2" l="1"/>
  <c r="D116" i="3"/>
  <c r="E116" i="3"/>
  <c r="R111" i="2"/>
  <c r="G117" i="3" l="1"/>
  <c r="F112" i="2"/>
  <c r="H112" i="2" s="1"/>
  <c r="E117" i="3" l="1"/>
  <c r="R112" i="2"/>
  <c r="F117" i="3"/>
  <c r="E112" i="2"/>
  <c r="D117" i="3" l="1"/>
  <c r="G113" i="2"/>
  <c r="G118" i="3" l="1"/>
  <c r="F113" i="2"/>
  <c r="H113" i="2" s="1"/>
  <c r="E118" i="3" l="1"/>
  <c r="R113" i="2"/>
  <c r="F118" i="3"/>
  <c r="E113" i="2"/>
  <c r="G114" i="2" l="1"/>
  <c r="D118" i="3"/>
  <c r="G119" i="3" l="1"/>
  <c r="F114" i="2"/>
  <c r="F119" i="3" l="1"/>
  <c r="E114" i="2"/>
  <c r="H114" i="2"/>
  <c r="G115" i="2" l="1"/>
  <c r="D119" i="3"/>
  <c r="E119" i="3"/>
  <c r="R114" i="2"/>
  <c r="G120" i="3" l="1"/>
  <c r="F115" i="2"/>
  <c r="H115" i="2" s="1"/>
  <c r="E120" i="3" l="1"/>
  <c r="R115" i="2"/>
  <c r="F120" i="3"/>
  <c r="E115" i="2"/>
  <c r="D120" i="3" l="1"/>
  <c r="G116" i="2"/>
  <c r="G121" i="3" l="1"/>
  <c r="F116" i="2"/>
  <c r="H116" i="2" s="1"/>
  <c r="R116" i="2" l="1"/>
  <c r="E121" i="3"/>
  <c r="F121" i="3"/>
  <c r="E116" i="2"/>
  <c r="G117" i="2" l="1"/>
  <c r="D121" i="3"/>
  <c r="G122" i="3" l="1"/>
  <c r="F117" i="2"/>
  <c r="F122" i="3" l="1"/>
  <c r="E117" i="2"/>
  <c r="H117" i="2"/>
  <c r="D122" i="3" l="1"/>
  <c r="G118" i="2"/>
  <c r="R117" i="2"/>
  <c r="E122" i="3"/>
  <c r="G123" i="3" l="1"/>
  <c r="F118" i="2"/>
  <c r="H118" i="2" s="1"/>
  <c r="R118" i="2" l="1"/>
  <c r="E123" i="3"/>
  <c r="F123" i="3"/>
  <c r="E118" i="2"/>
  <c r="D123" i="3" l="1"/>
  <c r="G119" i="2"/>
  <c r="G124" i="3" l="1"/>
  <c r="F119" i="2"/>
  <c r="F124" i="3" l="1"/>
  <c r="E119" i="2"/>
  <c r="H119" i="2"/>
  <c r="D124" i="3" l="1"/>
  <c r="G120" i="2"/>
  <c r="R119" i="2"/>
  <c r="E124" i="3"/>
  <c r="G125" i="3" l="1"/>
  <c r="F120" i="2"/>
  <c r="H120" i="2" s="1"/>
  <c r="E125" i="3" l="1"/>
  <c r="R120" i="2"/>
  <c r="F125" i="3"/>
  <c r="E120" i="2"/>
  <c r="G121" i="2" l="1"/>
  <c r="D125" i="3"/>
  <c r="G126" i="3" l="1"/>
  <c r="F121" i="2"/>
  <c r="F126" i="3" l="1"/>
  <c r="E121" i="2"/>
  <c r="H121" i="2"/>
  <c r="D126" i="3" l="1"/>
  <c r="G122" i="2"/>
  <c r="E126" i="3"/>
  <c r="R121" i="2"/>
  <c r="G127" i="3" l="1"/>
  <c r="F122" i="2"/>
  <c r="F127" i="3" l="1"/>
  <c r="E122" i="2"/>
  <c r="H122" i="2"/>
  <c r="D127" i="3" l="1"/>
  <c r="G123" i="2"/>
  <c r="R122" i="2"/>
  <c r="E127" i="3"/>
  <c r="G128" i="3" l="1"/>
  <c r="F123" i="2"/>
  <c r="H123" i="2" s="1"/>
  <c r="R123" i="2" l="1"/>
  <c r="E128" i="3"/>
  <c r="F128" i="3"/>
  <c r="E123" i="2"/>
  <c r="G124" i="2" l="1"/>
  <c r="D128" i="3"/>
  <c r="G129" i="3" l="1"/>
  <c r="F124" i="2"/>
  <c r="F129" i="3" l="1"/>
  <c r="E124" i="2"/>
  <c r="H124" i="2"/>
  <c r="G125" i="2" l="1"/>
  <c r="D129" i="3"/>
  <c r="R124" i="2"/>
  <c r="E129" i="3"/>
  <c r="G130" i="3" l="1"/>
  <c r="F125" i="2"/>
  <c r="F130" i="3" l="1"/>
  <c r="E125" i="2"/>
  <c r="H125" i="2"/>
  <c r="D130" i="3" l="1"/>
  <c r="G126" i="2"/>
  <c r="E130" i="3"/>
  <c r="R125" i="2"/>
  <c r="G131" i="3" l="1"/>
  <c r="F126" i="2"/>
  <c r="F131" i="3" l="1"/>
  <c r="E126" i="2"/>
  <c r="H126" i="2"/>
  <c r="D131" i="3" l="1"/>
  <c r="G127" i="2"/>
  <c r="R126" i="2"/>
  <c r="E131" i="3"/>
  <c r="G132" i="3" l="1"/>
  <c r="F127" i="2"/>
  <c r="F132" i="3" l="1"/>
  <c r="E127" i="2"/>
  <c r="H127" i="2"/>
  <c r="D132" i="3" l="1"/>
  <c r="G128" i="2"/>
  <c r="E132" i="3"/>
  <c r="R127" i="2"/>
  <c r="G133" i="3" l="1"/>
  <c r="F128" i="2"/>
  <c r="H128" i="2" s="1"/>
  <c r="R128" i="2" l="1"/>
  <c r="E133" i="3"/>
  <c r="F133" i="3"/>
  <c r="E128" i="2"/>
  <c r="D133" i="3" l="1"/>
  <c r="G129" i="2"/>
  <c r="G134" i="3" l="1"/>
  <c r="F129" i="2"/>
  <c r="F134" i="3" l="1"/>
  <c r="E129" i="2"/>
  <c r="H129" i="2"/>
  <c r="D134" i="3" l="1"/>
  <c r="G130" i="2"/>
  <c r="R129" i="2"/>
  <c r="E134" i="3"/>
  <c r="G135" i="3" l="1"/>
  <c r="F130" i="2"/>
  <c r="H130" i="2" s="1"/>
  <c r="E135" i="3" l="1"/>
  <c r="R130" i="2"/>
  <c r="F135" i="3"/>
  <c r="E130" i="2"/>
  <c r="D135" i="3" l="1"/>
  <c r="G131" i="2"/>
  <c r="G136" i="3" l="1"/>
  <c r="F131" i="2"/>
  <c r="H131" i="2" s="1"/>
  <c r="E136" i="3" l="1"/>
  <c r="R131" i="2"/>
  <c r="F136" i="3"/>
  <c r="E131" i="2"/>
  <c r="D136" i="3" l="1"/>
  <c r="G132" i="2"/>
  <c r="G137" i="3" l="1"/>
  <c r="F132" i="2"/>
  <c r="H132" i="2" s="1"/>
  <c r="R132" i="2" l="1"/>
  <c r="E137" i="3"/>
  <c r="F137" i="3"/>
  <c r="E132" i="2"/>
  <c r="G133" i="2" l="1"/>
  <c r="D137" i="3"/>
  <c r="G138" i="3" l="1"/>
  <c r="F133" i="2"/>
  <c r="F138" i="3" l="1"/>
  <c r="E133" i="2"/>
  <c r="H133" i="2"/>
  <c r="D138" i="3" l="1"/>
  <c r="G134" i="2"/>
  <c r="E138" i="3"/>
  <c r="R133" i="2"/>
  <c r="G139" i="3" l="1"/>
  <c r="F134" i="2"/>
  <c r="H134" i="2" s="1"/>
  <c r="R134" i="2" l="1"/>
  <c r="E139" i="3"/>
  <c r="F139" i="3"/>
  <c r="E134" i="2"/>
  <c r="D139" i="3" l="1"/>
  <c r="G135" i="2"/>
  <c r="G140" i="3" l="1"/>
  <c r="F135" i="2"/>
  <c r="H135" i="2" s="1"/>
  <c r="E140" i="3" l="1"/>
  <c r="R135" i="2"/>
  <c r="F140" i="3"/>
  <c r="E135" i="2"/>
  <c r="D140" i="3" l="1"/>
  <c r="G136" i="2"/>
  <c r="G141" i="3" l="1"/>
  <c r="F136" i="2"/>
  <c r="F141" i="3" l="1"/>
  <c r="E136" i="2"/>
  <c r="H136" i="2"/>
  <c r="D141" i="3" l="1"/>
  <c r="G137" i="2"/>
  <c r="E141" i="3"/>
  <c r="R136" i="2"/>
  <c r="G142" i="3" l="1"/>
  <c r="F137" i="2"/>
  <c r="H137" i="2" s="1"/>
  <c r="R137" i="2" l="1"/>
  <c r="E142" i="3"/>
  <c r="F142" i="3"/>
  <c r="E137" i="2"/>
  <c r="D142" i="3" l="1"/>
  <c r="G138" i="2"/>
  <c r="G143" i="3" l="1"/>
  <c r="F138" i="2"/>
  <c r="H138" i="2" s="1"/>
  <c r="R138" i="2" l="1"/>
  <c r="E143" i="3"/>
  <c r="F143" i="3"/>
  <c r="E138" i="2"/>
  <c r="D143" i="3" l="1"/>
  <c r="G139" i="2"/>
  <c r="G144" i="3" l="1"/>
  <c r="F139" i="2"/>
  <c r="F144" i="3" l="1"/>
  <c r="E139" i="2"/>
  <c r="H139" i="2"/>
  <c r="D144" i="3" l="1"/>
  <c r="G140" i="2"/>
  <c r="R139" i="2"/>
  <c r="E144" i="3"/>
  <c r="G145" i="3" l="1"/>
  <c r="F140" i="2"/>
  <c r="H140" i="2" s="1"/>
  <c r="R140" i="2" l="1"/>
  <c r="E145" i="3"/>
  <c r="F145" i="3"/>
  <c r="E140" i="2"/>
  <c r="D145" i="3" l="1"/>
  <c r="G141" i="2"/>
  <c r="G146" i="3" l="1"/>
  <c r="F141" i="2"/>
  <c r="H141" i="2" s="1"/>
  <c r="E146" i="3" l="1"/>
  <c r="R141" i="2"/>
  <c r="F146" i="3"/>
  <c r="E141" i="2"/>
  <c r="G142" i="2" l="1"/>
  <c r="D146" i="3"/>
  <c r="G147" i="3" l="1"/>
  <c r="F142" i="2"/>
  <c r="H142" i="2" s="1"/>
  <c r="R142" i="2" l="1"/>
  <c r="E147" i="3"/>
  <c r="F147" i="3"/>
  <c r="E142" i="2"/>
  <c r="D147" i="3" l="1"/>
  <c r="G143" i="2"/>
  <c r="G148" i="3" l="1"/>
  <c r="F143" i="2"/>
  <c r="H143" i="2" s="1"/>
  <c r="R143" i="2" l="1"/>
  <c r="E148" i="3"/>
  <c r="F148" i="3"/>
  <c r="E143" i="2"/>
  <c r="D148" i="3" l="1"/>
  <c r="G144" i="2"/>
  <c r="G149" i="3" l="1"/>
  <c r="F144" i="2"/>
  <c r="H144" i="2" s="1"/>
  <c r="E149" i="3" l="1"/>
  <c r="R144" i="2"/>
  <c r="P145" i="2" s="1"/>
  <c r="O150" i="3" s="1"/>
  <c r="F149" i="3"/>
  <c r="E144" i="2"/>
  <c r="D149" i="3" l="1"/>
  <c r="G145" i="2"/>
  <c r="G150" i="3" l="1"/>
  <c r="F145" i="2"/>
  <c r="H145" i="2" s="1"/>
  <c r="Q145" i="2" l="1"/>
  <c r="P150" i="3" s="1"/>
  <c r="E150" i="3"/>
  <c r="F150" i="3"/>
  <c r="E145" i="2"/>
  <c r="R145" i="2" l="1"/>
  <c r="D150" i="3"/>
  <c r="G146" i="2"/>
  <c r="G151" i="3" l="1"/>
  <c r="F146" i="2"/>
  <c r="H146" i="2" s="1"/>
  <c r="R146" i="2" l="1"/>
  <c r="E151" i="3"/>
  <c r="F151" i="3"/>
  <c r="E146" i="2"/>
  <c r="D151" i="3" l="1"/>
  <c r="G147" i="2"/>
  <c r="G152" i="3" l="1"/>
  <c r="F147" i="2"/>
  <c r="H147" i="2" s="1"/>
  <c r="E152" i="3" l="1"/>
  <c r="R147" i="2"/>
  <c r="F152" i="3"/>
  <c r="E147" i="2"/>
  <c r="D152" i="3" l="1"/>
  <c r="G148" i="2"/>
  <c r="G153" i="3" l="1"/>
  <c r="F148" i="2"/>
  <c r="H148" i="2" s="1"/>
  <c r="E153" i="3" l="1"/>
  <c r="R148" i="2"/>
  <c r="F153" i="3"/>
  <c r="E148" i="2"/>
  <c r="G149" i="2" l="1"/>
  <c r="D153" i="3"/>
  <c r="G154" i="3" l="1"/>
  <c r="F149" i="2"/>
  <c r="H149" i="2" s="1"/>
  <c r="R149" i="2" l="1"/>
  <c r="E154" i="3"/>
  <c r="F154" i="3"/>
  <c r="E149" i="2"/>
  <c r="D154" i="3" l="1"/>
  <c r="G150" i="2"/>
  <c r="G155" i="3" l="1"/>
  <c r="F150" i="2"/>
  <c r="H150" i="2" s="1"/>
  <c r="R150" i="2" l="1"/>
  <c r="E155" i="3"/>
  <c r="F155" i="3"/>
  <c r="E150" i="2"/>
  <c r="D155" i="3" l="1"/>
  <c r="G151" i="2"/>
  <c r="G156" i="3" l="1"/>
  <c r="F151" i="2"/>
  <c r="H151" i="2" s="1"/>
  <c r="E156" i="3" l="1"/>
  <c r="R151" i="2"/>
  <c r="F156" i="3"/>
  <c r="E151" i="2"/>
  <c r="D156" i="3" l="1"/>
  <c r="G152" i="2"/>
  <c r="G157" i="3" l="1"/>
  <c r="F152" i="2"/>
  <c r="H152" i="2" s="1"/>
  <c r="R152" i="2" l="1"/>
  <c r="E157" i="3"/>
  <c r="F157" i="3"/>
  <c r="E152" i="2"/>
  <c r="G153" i="2" l="1"/>
  <c r="D157" i="3"/>
  <c r="G158" i="3" l="1"/>
  <c r="F153" i="2"/>
  <c r="H153" i="2" s="1"/>
  <c r="R153" i="2" l="1"/>
  <c r="E158" i="3"/>
  <c r="F158" i="3"/>
  <c r="E153" i="2"/>
  <c r="D158" i="3" l="1"/>
  <c r="G154" i="2"/>
  <c r="G159" i="3" l="1"/>
  <c r="F154" i="2"/>
  <c r="H154" i="2" s="1"/>
  <c r="E159" i="3" l="1"/>
  <c r="R154" i="2"/>
  <c r="F159" i="3"/>
  <c r="E154" i="2"/>
  <c r="D159" i="3" l="1"/>
  <c r="G155" i="2"/>
  <c r="G160" i="3" l="1"/>
  <c r="F155" i="2"/>
  <c r="F160" i="3" l="1"/>
  <c r="E155" i="2"/>
  <c r="H155" i="2"/>
  <c r="G156" i="2" l="1"/>
  <c r="D160" i="3"/>
  <c r="R155" i="2"/>
  <c r="E160" i="3"/>
  <c r="G161" i="3" l="1"/>
  <c r="F156" i="2"/>
  <c r="H156" i="2" s="1"/>
  <c r="E161" i="3" l="1"/>
  <c r="R156" i="2"/>
  <c r="F161" i="3"/>
  <c r="E156" i="2"/>
  <c r="D161" i="3" l="1"/>
  <c r="G157" i="2"/>
  <c r="G162" i="3" l="1"/>
  <c r="F157" i="2"/>
  <c r="H157" i="2" s="1"/>
  <c r="R157" i="2" l="1"/>
  <c r="E162" i="3"/>
  <c r="F162" i="3"/>
  <c r="E157" i="2"/>
  <c r="D162" i="3" l="1"/>
  <c r="G158" i="2"/>
  <c r="G163" i="3" l="1"/>
  <c r="F158" i="2"/>
  <c r="H158" i="2" s="1"/>
  <c r="E163" i="3" l="1"/>
  <c r="R158" i="2"/>
  <c r="F163" i="3"/>
  <c r="E158" i="2"/>
  <c r="G159" i="2" l="1"/>
  <c r="D163" i="3"/>
  <c r="G164" i="3" l="1"/>
  <c r="F159" i="2"/>
  <c r="H159" i="2" s="1"/>
  <c r="R159" i="2" l="1"/>
  <c r="E164" i="3"/>
  <c r="F164" i="3"/>
  <c r="E159" i="2"/>
  <c r="G160" i="2" l="1"/>
  <c r="D164" i="3"/>
  <c r="G165" i="3" l="1"/>
  <c r="F160" i="2"/>
  <c r="H160" i="2" s="1"/>
  <c r="R160" i="2" l="1"/>
  <c r="E165" i="3"/>
  <c r="F165" i="3"/>
  <c r="E160" i="2"/>
  <c r="D165" i="3" l="1"/>
  <c r="G161" i="2"/>
  <c r="G166" i="3" l="1"/>
  <c r="F161" i="2"/>
  <c r="H161" i="2" s="1"/>
  <c r="R161" i="2" l="1"/>
  <c r="E166" i="3"/>
  <c r="F166" i="3"/>
  <c r="E161" i="2"/>
  <c r="D166" i="3" l="1"/>
  <c r="G162" i="2"/>
  <c r="G167" i="3" l="1"/>
  <c r="F162" i="2"/>
  <c r="H162" i="2" s="1"/>
  <c r="E167" i="3" l="1"/>
  <c r="R162" i="2"/>
  <c r="F167" i="3"/>
  <c r="E162" i="2"/>
  <c r="D167" i="3" l="1"/>
  <c r="G163" i="2"/>
  <c r="G168" i="3" l="1"/>
  <c r="F163" i="2"/>
  <c r="H163" i="2" s="1"/>
  <c r="R163" i="2" l="1"/>
  <c r="E168" i="3"/>
  <c r="F168" i="3"/>
  <c r="E163" i="2"/>
  <c r="G164" i="2" l="1"/>
  <c r="D168" i="3"/>
  <c r="G169" i="3" l="1"/>
  <c r="F164" i="2"/>
  <c r="H164" i="2" s="1"/>
  <c r="E169" i="3" l="1"/>
  <c r="R164" i="2"/>
  <c r="F169" i="3"/>
  <c r="E164" i="2"/>
  <c r="G165" i="2" l="1"/>
  <c r="D169" i="3"/>
  <c r="G170" i="3" l="1"/>
  <c r="F165" i="2"/>
  <c r="F170" i="3" l="1"/>
  <c r="E165" i="2"/>
  <c r="H165" i="2"/>
  <c r="D170" i="3" l="1"/>
  <c r="G166" i="2"/>
  <c r="E170" i="3"/>
  <c r="R165" i="2"/>
  <c r="G171" i="3" l="1"/>
  <c r="F166" i="2"/>
  <c r="F171" i="3" l="1"/>
  <c r="E166" i="2"/>
  <c r="H166" i="2"/>
  <c r="D171" i="3" l="1"/>
  <c r="G167" i="2"/>
  <c r="R166" i="2"/>
  <c r="E171" i="3"/>
  <c r="G172" i="3" l="1"/>
  <c r="F167" i="2"/>
  <c r="H167" i="2" s="1"/>
  <c r="R167" i="2" l="1"/>
  <c r="E172" i="3"/>
  <c r="F172" i="3"/>
  <c r="E167" i="2"/>
  <c r="D172" i="3" l="1"/>
  <c r="G168" i="2"/>
  <c r="G173" i="3" l="1"/>
  <c r="F168" i="2"/>
  <c r="H168" i="2" s="1"/>
  <c r="E173" i="3" l="1"/>
  <c r="R168" i="2"/>
  <c r="F173" i="3"/>
  <c r="E168" i="2"/>
  <c r="G169" i="2" l="1"/>
  <c r="D173" i="3"/>
  <c r="G174" i="3" l="1"/>
  <c r="F169" i="2"/>
  <c r="H169" i="2" s="1"/>
  <c r="R169" i="2" l="1"/>
  <c r="E174" i="3"/>
  <c r="F174" i="3"/>
  <c r="E169" i="2"/>
  <c r="D174" i="3" l="1"/>
  <c r="G170" i="2"/>
  <c r="G175" i="3" l="1"/>
  <c r="F170" i="2"/>
  <c r="F175" i="3" l="1"/>
  <c r="E170" i="2"/>
  <c r="H170" i="2"/>
  <c r="D175" i="3" l="1"/>
  <c r="G171" i="2"/>
  <c r="R170" i="2"/>
  <c r="E175" i="3"/>
  <c r="G176" i="3" l="1"/>
  <c r="F171" i="2"/>
  <c r="H171" i="2" s="1"/>
  <c r="E176" i="3" l="1"/>
  <c r="R171" i="2"/>
  <c r="F176" i="3"/>
  <c r="E171" i="2"/>
  <c r="D176" i="3" l="1"/>
  <c r="G172" i="2"/>
  <c r="G177" i="3" l="1"/>
  <c r="F172" i="2"/>
  <c r="H172" i="2" s="1"/>
  <c r="R172" i="2" l="1"/>
  <c r="E177" i="3"/>
  <c r="F177" i="3"/>
  <c r="E172" i="2"/>
  <c r="G173" i="2" l="1"/>
  <c r="D177" i="3"/>
  <c r="G178" i="3" l="1"/>
  <c r="F173" i="2"/>
  <c r="H173" i="2" s="1"/>
  <c r="E178" i="3" l="1"/>
  <c r="R173" i="2"/>
  <c r="F178" i="3"/>
  <c r="E173" i="2"/>
  <c r="D178" i="3" l="1"/>
  <c r="G174" i="2"/>
  <c r="G179" i="3" l="1"/>
  <c r="F174" i="2"/>
  <c r="H174" i="2" s="1"/>
  <c r="R174" i="2" l="1"/>
  <c r="E179" i="3"/>
  <c r="F179" i="3"/>
  <c r="E174" i="2"/>
  <c r="D179" i="3" l="1"/>
  <c r="G175" i="2"/>
  <c r="G180" i="3" l="1"/>
  <c r="F175" i="2"/>
  <c r="F180" i="3" l="1"/>
  <c r="E175" i="2"/>
  <c r="H175" i="2"/>
  <c r="D180" i="3" l="1"/>
  <c r="G176" i="2"/>
  <c r="R175" i="2"/>
  <c r="E180" i="3"/>
  <c r="G181" i="3" l="1"/>
  <c r="F176" i="2"/>
  <c r="H176" i="2" s="1"/>
  <c r="R176" i="2" l="1"/>
  <c r="E181" i="3"/>
  <c r="F181" i="3"/>
  <c r="E176" i="2"/>
  <c r="D181" i="3" l="1"/>
  <c r="G177" i="2"/>
  <c r="G182" i="3" l="1"/>
  <c r="F177" i="2"/>
  <c r="H177" i="2" s="1"/>
  <c r="E182" i="3" l="1"/>
  <c r="R177" i="2"/>
  <c r="F182" i="3"/>
  <c r="E177" i="2"/>
  <c r="D182" i="3" l="1"/>
  <c r="G178" i="2"/>
  <c r="G183" i="3" l="1"/>
  <c r="F178" i="2"/>
  <c r="H178" i="2" s="1"/>
  <c r="R178" i="2" l="1"/>
  <c r="E183" i="3"/>
  <c r="F183" i="3"/>
  <c r="E178" i="2"/>
  <c r="D183" i="3" l="1"/>
  <c r="G179" i="2"/>
  <c r="G184" i="3" l="1"/>
  <c r="F179" i="2"/>
  <c r="H179" i="2" s="1"/>
  <c r="R179" i="2" l="1"/>
  <c r="E184" i="3"/>
  <c r="F184" i="3"/>
  <c r="E179" i="2"/>
  <c r="D184" i="3" l="1"/>
  <c r="G180" i="2"/>
  <c r="G185" i="3" l="1"/>
  <c r="F180" i="2"/>
  <c r="F185" i="3" l="1"/>
  <c r="E180" i="2"/>
  <c r="H180" i="2"/>
  <c r="D185" i="3" l="1"/>
  <c r="G181" i="2"/>
  <c r="R180" i="2"/>
  <c r="E185" i="3"/>
  <c r="G186" i="3" l="1"/>
  <c r="F181" i="2"/>
  <c r="H181" i="2" s="1"/>
  <c r="R181" i="2" l="1"/>
  <c r="E186" i="3"/>
  <c r="F186" i="3"/>
  <c r="E181" i="2"/>
  <c r="D186" i="3" l="1"/>
  <c r="G182" i="2"/>
  <c r="G187" i="3" l="1"/>
  <c r="F182" i="2"/>
  <c r="H182" i="2" s="1"/>
  <c r="E187" i="3" l="1"/>
  <c r="R182" i="2"/>
  <c r="F187" i="3"/>
  <c r="E182" i="2"/>
  <c r="D187" i="3" l="1"/>
  <c r="G183" i="2"/>
  <c r="G188" i="3" l="1"/>
  <c r="F183" i="2"/>
  <c r="H183" i="2" s="1"/>
  <c r="E188" i="3" l="1"/>
  <c r="R183" i="2"/>
  <c r="F188" i="3"/>
  <c r="E183" i="2"/>
  <c r="D188" i="3" l="1"/>
  <c r="G184" i="2"/>
  <c r="G189" i="3" l="1"/>
  <c r="F184" i="2"/>
  <c r="H184" i="2" s="1"/>
  <c r="R184" i="2" l="1"/>
  <c r="E189" i="3"/>
  <c r="F189" i="3"/>
  <c r="E184" i="2"/>
  <c r="G185" i="2" l="1"/>
  <c r="D189" i="3"/>
  <c r="G190" i="3" l="1"/>
  <c r="F185" i="2"/>
  <c r="H185" i="2" s="1"/>
  <c r="R185" i="2" l="1"/>
  <c r="E190" i="3"/>
  <c r="F190" i="3"/>
  <c r="E185" i="2"/>
  <c r="D190" i="3" l="1"/>
  <c r="G186" i="2"/>
  <c r="G191" i="3" l="1"/>
  <c r="F186" i="2"/>
  <c r="H186" i="2" s="1"/>
  <c r="E191" i="3" l="1"/>
  <c r="R186" i="2"/>
  <c r="F191" i="3"/>
  <c r="E186" i="2"/>
  <c r="D191" i="3" l="1"/>
  <c r="G187" i="2"/>
  <c r="G192" i="3" l="1"/>
  <c r="F187" i="2"/>
  <c r="H187" i="2" s="1"/>
  <c r="R187" i="2" l="1"/>
  <c r="E192" i="3"/>
  <c r="F192" i="3"/>
  <c r="E187" i="2"/>
  <c r="G188" i="2" l="1"/>
  <c r="D192" i="3"/>
  <c r="G193" i="3" l="1"/>
  <c r="F188" i="2"/>
  <c r="H188" i="2" s="1"/>
  <c r="E193" i="3" l="1"/>
  <c r="R188" i="2"/>
  <c r="F193" i="3"/>
  <c r="E188" i="2"/>
  <c r="D193" i="3" l="1"/>
  <c r="G189" i="2"/>
  <c r="G194" i="3" l="1"/>
  <c r="F189" i="2"/>
  <c r="H189" i="2" s="1"/>
  <c r="E194" i="3" l="1"/>
  <c r="R189" i="2"/>
  <c r="F194" i="3"/>
  <c r="E189" i="2"/>
  <c r="G190" i="2" l="1"/>
  <c r="D194" i="3"/>
  <c r="G195" i="3" l="1"/>
  <c r="F190" i="2"/>
  <c r="H190" i="2" s="1"/>
  <c r="E195" i="3" l="1"/>
  <c r="R190" i="2"/>
  <c r="F195" i="3"/>
  <c r="E190" i="2"/>
  <c r="D195" i="3" l="1"/>
  <c r="G191" i="2"/>
  <c r="G196" i="3" l="1"/>
  <c r="F191" i="2"/>
  <c r="H191" i="2" s="1"/>
  <c r="E196" i="3" l="1"/>
  <c r="R191" i="2"/>
  <c r="F196" i="3"/>
  <c r="E191" i="2"/>
  <c r="D196" i="3" l="1"/>
  <c r="G192" i="2"/>
  <c r="G197" i="3" l="1"/>
  <c r="F192" i="2"/>
  <c r="H192" i="2" s="1"/>
  <c r="R192" i="2" l="1"/>
  <c r="E197" i="3"/>
  <c r="F197" i="3"/>
  <c r="E192" i="2"/>
  <c r="D197" i="3" l="1"/>
  <c r="G193" i="2"/>
  <c r="G198" i="3" l="1"/>
  <c r="F193" i="2"/>
  <c r="H193" i="2" s="1"/>
  <c r="R193" i="2" l="1"/>
  <c r="E198" i="3"/>
  <c r="F198" i="3"/>
  <c r="E193" i="2"/>
  <c r="D198" i="3" l="1"/>
  <c r="G194" i="2"/>
  <c r="G199" i="3" l="1"/>
  <c r="F194" i="2"/>
  <c r="H194" i="2" s="1"/>
  <c r="R194" i="2" l="1"/>
  <c r="E199" i="3"/>
  <c r="F199" i="3"/>
  <c r="E194" i="2"/>
  <c r="D199" i="3" l="1"/>
  <c r="G195" i="2"/>
  <c r="G200" i="3" l="1"/>
  <c r="F195" i="2"/>
  <c r="H195" i="2" s="1"/>
  <c r="R195" i="2" l="1"/>
  <c r="E200" i="3"/>
  <c r="F200" i="3"/>
  <c r="E195" i="2"/>
  <c r="D200" i="3" l="1"/>
  <c r="G196" i="2"/>
  <c r="G201" i="3" l="1"/>
  <c r="F196" i="2"/>
  <c r="H196" i="2" s="1"/>
  <c r="E201" i="3" l="1"/>
  <c r="R196" i="2"/>
  <c r="F201" i="3"/>
  <c r="E196" i="2"/>
  <c r="D201" i="3" l="1"/>
  <c r="G197" i="2"/>
  <c r="G202" i="3" l="1"/>
  <c r="F197" i="2"/>
  <c r="H197" i="2" s="1"/>
  <c r="E202" i="3" l="1"/>
  <c r="R197" i="2"/>
  <c r="F202" i="3"/>
  <c r="E197" i="2"/>
  <c r="G198" i="2" l="1"/>
  <c r="D202" i="3"/>
  <c r="G203" i="3" l="1"/>
  <c r="F198" i="2"/>
  <c r="F203" i="3" l="1"/>
  <c r="E198" i="2"/>
  <c r="H198" i="2"/>
  <c r="G199" i="2" l="1"/>
  <c r="D203" i="3"/>
  <c r="E203" i="3"/>
  <c r="R198" i="2"/>
  <c r="G204" i="3" l="1"/>
  <c r="F199" i="2"/>
  <c r="F204" i="3" l="1"/>
  <c r="E199" i="2"/>
  <c r="H199" i="2"/>
  <c r="D204" i="3" l="1"/>
  <c r="G200" i="2"/>
  <c r="E204" i="3"/>
  <c r="R199" i="2"/>
  <c r="G205" i="3" l="1"/>
  <c r="F200" i="2"/>
  <c r="H200" i="2" s="1"/>
  <c r="E205" i="3" l="1"/>
  <c r="R200" i="2"/>
  <c r="F205" i="3"/>
  <c r="E200" i="2"/>
  <c r="G201" i="2" l="1"/>
  <c r="D205" i="3"/>
  <c r="G206" i="3" l="1"/>
  <c r="F201" i="2"/>
  <c r="H201" i="2" s="1"/>
  <c r="E206" i="3" l="1"/>
  <c r="R201" i="2"/>
  <c r="F206" i="3"/>
  <c r="E201" i="2"/>
  <c r="D206" i="3" l="1"/>
  <c r="G202" i="2"/>
  <c r="G207" i="3" l="1"/>
  <c r="F202" i="2"/>
  <c r="H202" i="2" s="1"/>
  <c r="R202" i="2" l="1"/>
  <c r="E207" i="3"/>
  <c r="F207" i="3"/>
  <c r="E202" i="2"/>
  <c r="D207" i="3" l="1"/>
  <c r="G203" i="2"/>
  <c r="G208" i="3" l="1"/>
  <c r="F203" i="2"/>
  <c r="H203" i="2" s="1"/>
  <c r="R203" i="2" l="1"/>
  <c r="E208" i="3"/>
  <c r="F208" i="3"/>
  <c r="E203" i="2"/>
  <c r="D208" i="3" l="1"/>
  <c r="G204" i="2"/>
  <c r="G209" i="3" l="1"/>
  <c r="F204" i="2"/>
  <c r="H204" i="2" s="1"/>
  <c r="R204" i="2" l="1"/>
  <c r="E209" i="3"/>
  <c r="F209" i="3"/>
  <c r="E204" i="2"/>
  <c r="G205" i="2" l="1"/>
  <c r="D209" i="3"/>
  <c r="G210" i="3" l="1"/>
  <c r="F205" i="2"/>
  <c r="H205" i="2" s="1"/>
  <c r="R205" i="2" l="1"/>
  <c r="E210" i="3"/>
  <c r="F210" i="3"/>
  <c r="E205" i="2"/>
  <c r="D210" i="3" l="1"/>
  <c r="G206" i="2"/>
  <c r="G211" i="3" l="1"/>
  <c r="F206" i="2"/>
  <c r="H206" i="2" s="1"/>
  <c r="R206" i="2" l="1"/>
  <c r="E211" i="3"/>
  <c r="F211" i="3"/>
  <c r="E206" i="2"/>
  <c r="D211" i="3" l="1"/>
  <c r="G207" i="2"/>
  <c r="G212" i="3" l="1"/>
  <c r="F207" i="2"/>
  <c r="H207" i="2" s="1"/>
  <c r="E212" i="3" l="1"/>
  <c r="R207" i="2"/>
  <c r="F212" i="3"/>
  <c r="E207" i="2"/>
  <c r="G208" i="2" l="1"/>
  <c r="D212" i="3"/>
  <c r="G213" i="3" l="1"/>
  <c r="F208" i="2"/>
  <c r="H208" i="2" s="1"/>
  <c r="E213" i="3" l="1"/>
  <c r="R208" i="2"/>
  <c r="F213" i="3"/>
  <c r="E208" i="2"/>
  <c r="G209" i="2" l="1"/>
  <c r="D213" i="3"/>
  <c r="G214" i="3" l="1"/>
  <c r="F209" i="2"/>
  <c r="H209" i="2" s="1"/>
  <c r="R209" i="2" l="1"/>
  <c r="E214" i="3"/>
  <c r="F214" i="3"/>
  <c r="E209" i="2"/>
  <c r="D214" i="3" l="1"/>
  <c r="G210" i="2"/>
  <c r="G215" i="3" l="1"/>
  <c r="F210" i="2"/>
  <c r="H210" i="2" s="1"/>
  <c r="R210" i="2" l="1"/>
  <c r="E215" i="3"/>
  <c r="F215" i="3"/>
  <c r="E210" i="2"/>
  <c r="D215" i="3" l="1"/>
  <c r="G211" i="2"/>
  <c r="G216" i="3" l="1"/>
  <c r="F211" i="2"/>
  <c r="H211" i="2" s="1"/>
  <c r="R211" i="2" l="1"/>
  <c r="E216" i="3"/>
  <c r="F216" i="3"/>
  <c r="E211" i="2"/>
  <c r="D216" i="3" l="1"/>
  <c r="G212" i="2"/>
  <c r="G217" i="3" l="1"/>
  <c r="F212" i="2"/>
  <c r="H212" i="2" s="1"/>
  <c r="R212" i="2" l="1"/>
  <c r="E217" i="3"/>
  <c r="F217" i="3"/>
  <c r="E212" i="2"/>
  <c r="D217" i="3" l="1"/>
  <c r="G213" i="2"/>
  <c r="G218" i="3" l="1"/>
  <c r="F213" i="2"/>
  <c r="H213" i="2" s="1"/>
  <c r="E218" i="3" l="1"/>
  <c r="R213" i="2"/>
  <c r="F218" i="3"/>
  <c r="E213" i="2"/>
  <c r="D218" i="3" l="1"/>
  <c r="G214" i="2"/>
  <c r="G219" i="3" l="1"/>
  <c r="F214" i="2"/>
  <c r="F219" i="3" l="1"/>
  <c r="E214" i="2"/>
  <c r="H214" i="2"/>
  <c r="D219" i="3" l="1"/>
  <c r="G215" i="2"/>
  <c r="R214" i="2"/>
  <c r="E219" i="3"/>
  <c r="G220" i="3" l="1"/>
  <c r="F215" i="2"/>
  <c r="H215" i="2" s="1"/>
  <c r="E220" i="3" l="1"/>
  <c r="R215" i="2"/>
  <c r="F220" i="3"/>
  <c r="E215" i="2"/>
  <c r="D220" i="3" l="1"/>
  <c r="G216" i="2"/>
  <c r="G221" i="3" l="1"/>
  <c r="F216" i="2"/>
  <c r="H216" i="2" s="1"/>
  <c r="E221" i="3" l="1"/>
  <c r="R216" i="2"/>
  <c r="F221" i="3"/>
  <c r="E216" i="2"/>
  <c r="G217" i="2" l="1"/>
  <c r="D221" i="3"/>
  <c r="G222" i="3" l="1"/>
  <c r="F217" i="2"/>
  <c r="H217" i="2" s="1"/>
  <c r="E222" i="3" l="1"/>
  <c r="R217" i="2"/>
  <c r="F222" i="3"/>
  <c r="E217" i="2"/>
  <c r="G218" i="2" l="1"/>
  <c r="D222" i="3"/>
  <c r="G223" i="3" l="1"/>
  <c r="F218" i="2"/>
  <c r="F223" i="3" l="1"/>
  <c r="E218" i="2"/>
  <c r="H218" i="2"/>
  <c r="D223" i="3" l="1"/>
  <c r="G219" i="2"/>
  <c r="E223" i="3"/>
  <c r="R218" i="2"/>
  <c r="G224" i="3" l="1"/>
  <c r="F219" i="2"/>
  <c r="H219" i="2" s="1"/>
  <c r="R219" i="2" l="1"/>
  <c r="E224" i="3"/>
  <c r="F224" i="3"/>
  <c r="E219" i="2"/>
  <c r="D224" i="3" l="1"/>
  <c r="G220" i="2"/>
  <c r="G225" i="3" l="1"/>
  <c r="F220" i="2"/>
  <c r="H220" i="2" s="1"/>
  <c r="E225" i="3" l="1"/>
  <c r="R220" i="2"/>
  <c r="F225" i="3"/>
  <c r="E220" i="2"/>
  <c r="G221" i="2" l="1"/>
  <c r="D225" i="3"/>
  <c r="G226" i="3" l="1"/>
  <c r="F221" i="2"/>
  <c r="H221" i="2" s="1"/>
  <c r="E226" i="3" l="1"/>
  <c r="R221" i="2"/>
  <c r="F226" i="3"/>
  <c r="E221" i="2"/>
  <c r="D226" i="3" l="1"/>
  <c r="G222" i="2"/>
  <c r="G227" i="3" l="1"/>
  <c r="F222" i="2"/>
  <c r="H222" i="2" s="1"/>
  <c r="E227" i="3" l="1"/>
  <c r="R222" i="2"/>
  <c r="F227" i="3"/>
  <c r="E222" i="2"/>
  <c r="D227" i="3" l="1"/>
  <c r="G223" i="2"/>
  <c r="G228" i="3" l="1"/>
  <c r="F223" i="2"/>
  <c r="F228" i="3" l="1"/>
  <c r="E223" i="2"/>
  <c r="H223" i="2"/>
  <c r="D228" i="3" l="1"/>
  <c r="G224" i="2"/>
  <c r="E228" i="3"/>
  <c r="R223" i="2"/>
  <c r="G229" i="3" l="1"/>
  <c r="F224" i="2"/>
  <c r="H224" i="2" s="1"/>
  <c r="R224" i="2" l="1"/>
  <c r="E229" i="3"/>
  <c r="F229" i="3"/>
  <c r="E224" i="2"/>
  <c r="D229" i="3" l="1"/>
  <c r="G225" i="2"/>
  <c r="G230" i="3" l="1"/>
  <c r="F225" i="2"/>
  <c r="H225" i="2" s="1"/>
  <c r="E230" i="3" l="1"/>
  <c r="R225" i="2"/>
  <c r="F230" i="3"/>
  <c r="E225" i="2"/>
  <c r="D230" i="3" l="1"/>
  <c r="G226" i="2"/>
  <c r="G231" i="3" l="1"/>
  <c r="F226" i="2"/>
  <c r="H226" i="2" s="1"/>
  <c r="R226" i="2" l="1"/>
  <c r="E231" i="3"/>
  <c r="F231" i="3"/>
  <c r="E226" i="2"/>
  <c r="D231" i="3" l="1"/>
  <c r="G227" i="2"/>
  <c r="G232" i="3" l="1"/>
  <c r="F227" i="2"/>
  <c r="H227" i="2" s="1"/>
  <c r="E232" i="3" l="1"/>
  <c r="R227" i="2"/>
  <c r="F232" i="3"/>
  <c r="E227" i="2"/>
  <c r="D232" i="3" l="1"/>
  <c r="G228" i="2"/>
  <c r="G233" i="3" l="1"/>
  <c r="F228" i="2"/>
  <c r="H228" i="2" s="1"/>
  <c r="E233" i="3" l="1"/>
  <c r="R228" i="2"/>
  <c r="F233" i="3"/>
  <c r="E228" i="2"/>
  <c r="D233" i="3" l="1"/>
  <c r="G229" i="2"/>
  <c r="G234" i="3" l="1"/>
  <c r="F229" i="2"/>
  <c r="H229" i="2" s="1"/>
  <c r="E234" i="3" l="1"/>
  <c r="R229" i="2"/>
  <c r="F234" i="3"/>
  <c r="E229" i="2"/>
  <c r="G230" i="2" l="1"/>
  <c r="D234" i="3"/>
  <c r="G235" i="3" l="1"/>
  <c r="F230" i="2"/>
  <c r="F235" i="3" l="1"/>
  <c r="E230" i="2"/>
  <c r="H230" i="2"/>
  <c r="G231" i="2" l="1"/>
  <c r="D235" i="3"/>
  <c r="E235" i="3"/>
  <c r="R230" i="2"/>
  <c r="G236" i="3" l="1"/>
  <c r="F231" i="2"/>
  <c r="H231" i="2" s="1"/>
  <c r="R231" i="2" l="1"/>
  <c r="E236" i="3"/>
  <c r="F236" i="3"/>
  <c r="E231" i="2"/>
  <c r="D236" i="3" l="1"/>
  <c r="G232" i="2"/>
  <c r="G237" i="3" l="1"/>
  <c r="F232" i="2"/>
  <c r="F237" i="3" l="1"/>
  <c r="E232" i="2"/>
  <c r="H232" i="2"/>
  <c r="D237" i="3" l="1"/>
  <c r="G233" i="2"/>
  <c r="E237" i="3"/>
  <c r="R232" i="2"/>
  <c r="G238" i="3" l="1"/>
  <c r="F233" i="2"/>
  <c r="H233" i="2" s="1"/>
  <c r="E238" i="3" l="1"/>
  <c r="R233" i="2"/>
  <c r="F238" i="3"/>
  <c r="E233" i="2"/>
  <c r="D238" i="3" l="1"/>
  <c r="G234" i="2"/>
  <c r="G239" i="3" l="1"/>
  <c r="F234" i="2"/>
  <c r="F239" i="3" l="1"/>
  <c r="E234" i="2"/>
  <c r="H234" i="2"/>
  <c r="G235" i="2" l="1"/>
  <c r="D239" i="3"/>
  <c r="R234" i="2"/>
  <c r="E239" i="3"/>
  <c r="G240" i="3" l="1"/>
  <c r="F235" i="2"/>
  <c r="H235" i="2" s="1"/>
  <c r="R235" i="2" l="1"/>
  <c r="E240" i="3"/>
  <c r="F240" i="3"/>
  <c r="E235" i="2"/>
  <c r="D240" i="3" l="1"/>
  <c r="G236" i="2"/>
  <c r="G241" i="3" l="1"/>
  <c r="F236" i="2"/>
  <c r="F241" i="3" l="1"/>
  <c r="E236" i="2"/>
  <c r="H236" i="2"/>
  <c r="D241" i="3" l="1"/>
  <c r="G237" i="2"/>
  <c r="E241" i="3"/>
  <c r="R236" i="2"/>
  <c r="G242" i="3" l="1"/>
  <c r="F237" i="2"/>
  <c r="H237" i="2" s="1"/>
  <c r="E242" i="3" l="1"/>
  <c r="R237" i="2"/>
  <c r="F242" i="3"/>
  <c r="E237" i="2"/>
  <c r="D242" i="3" l="1"/>
  <c r="G238" i="2"/>
  <c r="G243" i="3" l="1"/>
  <c r="F238" i="2"/>
  <c r="F243" i="3" l="1"/>
  <c r="E238" i="2"/>
  <c r="H238" i="2"/>
  <c r="D243" i="3" l="1"/>
  <c r="G239" i="2"/>
  <c r="E243" i="3"/>
  <c r="R238" i="2"/>
  <c r="G244" i="3" l="1"/>
  <c r="F239" i="2"/>
  <c r="F244" i="3" l="1"/>
  <c r="E239" i="2"/>
  <c r="H239" i="2"/>
  <c r="D244" i="3" l="1"/>
  <c r="G240" i="2"/>
  <c r="E244" i="3"/>
  <c r="R239" i="2"/>
  <c r="G245" i="3" l="1"/>
  <c r="F240" i="2"/>
  <c r="F245" i="3" l="1"/>
  <c r="E240" i="2"/>
  <c r="H240" i="2"/>
  <c r="D245" i="3" l="1"/>
  <c r="G241" i="2"/>
  <c r="E245" i="3"/>
  <c r="R240" i="2"/>
  <c r="G246" i="3" l="1"/>
  <c r="F241" i="2"/>
  <c r="H241" i="2" s="1"/>
  <c r="E246" i="3" l="1"/>
  <c r="R241" i="2"/>
  <c r="F246" i="3"/>
  <c r="E241" i="2"/>
  <c r="D246" i="3" l="1"/>
  <c r="G242" i="2"/>
  <c r="G247" i="3" l="1"/>
  <c r="F242" i="2"/>
  <c r="H242" i="2" s="1"/>
  <c r="E247" i="3" l="1"/>
  <c r="R242" i="2"/>
  <c r="F247" i="3"/>
  <c r="E242" i="2"/>
  <c r="D247" i="3" l="1"/>
  <c r="G243" i="2"/>
  <c r="G248" i="3" l="1"/>
  <c r="F243" i="2"/>
  <c r="H243" i="2" s="1"/>
  <c r="E248" i="3" l="1"/>
  <c r="R243" i="2"/>
  <c r="F248" i="3"/>
  <c r="E243" i="2"/>
  <c r="D248" i="3" l="1"/>
  <c r="G244" i="2"/>
  <c r="G249" i="3" l="1"/>
  <c r="F244" i="2"/>
  <c r="F249" i="3" l="1"/>
  <c r="E244" i="2"/>
  <c r="H244" i="2"/>
  <c r="D249" i="3" l="1"/>
  <c r="G245" i="2"/>
  <c r="E249" i="3"/>
  <c r="R244" i="2"/>
  <c r="G250" i="3" l="1"/>
  <c r="F245" i="2"/>
  <c r="H245" i="2" s="1"/>
  <c r="E250" i="3" l="1"/>
  <c r="R245" i="2"/>
  <c r="F250" i="3"/>
  <c r="E245" i="2"/>
  <c r="G246" i="2" l="1"/>
  <c r="D250" i="3"/>
  <c r="G251" i="3" l="1"/>
  <c r="F246" i="2"/>
  <c r="F251" i="3" l="1"/>
  <c r="E246" i="2"/>
  <c r="H246" i="2"/>
  <c r="D251" i="3" l="1"/>
  <c r="G247" i="2"/>
  <c r="E251" i="3"/>
  <c r="R246" i="2"/>
  <c r="G252" i="3" l="1"/>
  <c r="F247" i="2"/>
  <c r="H247" i="2" s="1"/>
  <c r="R247" i="2" l="1"/>
  <c r="E252" i="3"/>
  <c r="F252" i="3"/>
  <c r="E247" i="2"/>
  <c r="D252" i="3" l="1"/>
  <c r="G248" i="2"/>
  <c r="G253" i="3" l="1"/>
  <c r="F248" i="2"/>
  <c r="F253" i="3" l="1"/>
  <c r="E248" i="2"/>
  <c r="H248" i="2"/>
  <c r="D253" i="3" l="1"/>
  <c r="G249" i="2"/>
  <c r="R248" i="2"/>
  <c r="E253" i="3"/>
  <c r="G254" i="3" l="1"/>
  <c r="F249" i="2"/>
  <c r="H249" i="2" s="1"/>
  <c r="E254" i="3" l="1"/>
  <c r="R249" i="2"/>
  <c r="F254" i="3"/>
  <c r="E249" i="2"/>
  <c r="G250" i="2" l="1"/>
  <c r="D254" i="3"/>
  <c r="G255" i="3" l="1"/>
  <c r="F250" i="2"/>
  <c r="H250" i="2" s="1"/>
  <c r="E255" i="3" l="1"/>
  <c r="R250" i="2"/>
  <c r="F255" i="3"/>
  <c r="E250" i="2"/>
  <c r="D255" i="3" l="1"/>
  <c r="G251" i="2"/>
  <c r="G256" i="3" l="1"/>
  <c r="F251" i="2"/>
  <c r="F256" i="3" l="1"/>
  <c r="E251" i="2"/>
  <c r="H251" i="2"/>
  <c r="D256" i="3" l="1"/>
  <c r="G252" i="2"/>
  <c r="R251" i="2"/>
  <c r="E256" i="3"/>
  <c r="G257" i="3" l="1"/>
  <c r="F252" i="2"/>
  <c r="H252" i="2" s="1"/>
  <c r="E257" i="3" l="1"/>
  <c r="R252" i="2"/>
  <c r="F257" i="3"/>
  <c r="E252" i="2"/>
  <c r="D257" i="3" l="1"/>
  <c r="G253" i="2"/>
  <c r="G258" i="3" l="1"/>
  <c r="F253" i="2"/>
  <c r="H253" i="2" s="1"/>
  <c r="R253" i="2" l="1"/>
  <c r="E258" i="3"/>
  <c r="F258" i="3"/>
  <c r="E253" i="2"/>
  <c r="G254" i="2" l="1"/>
  <c r="D258" i="3"/>
  <c r="G259" i="3" l="1"/>
  <c r="F254" i="2"/>
  <c r="F259" i="3" l="1"/>
  <c r="E254" i="2"/>
  <c r="H254" i="2"/>
  <c r="G255" i="2" l="1"/>
  <c r="D259" i="3"/>
  <c r="R254" i="2"/>
  <c r="E259" i="3"/>
  <c r="G260" i="3" l="1"/>
  <c r="F255" i="2"/>
  <c r="H255" i="2" s="1"/>
  <c r="R255" i="2" l="1"/>
  <c r="E260" i="3"/>
  <c r="F260" i="3"/>
  <c r="E255" i="2"/>
  <c r="D260" i="3" l="1"/>
  <c r="G256" i="2"/>
  <c r="G261" i="3" l="1"/>
  <c r="F256" i="2"/>
  <c r="F261" i="3" l="1"/>
  <c r="E256" i="2"/>
  <c r="H256" i="2"/>
  <c r="D261" i="3" l="1"/>
  <c r="G257" i="2"/>
  <c r="E261" i="3"/>
  <c r="R256" i="2"/>
  <c r="G262" i="3" l="1"/>
  <c r="F257" i="2"/>
  <c r="H257" i="2" s="1"/>
  <c r="R257" i="2" l="1"/>
  <c r="E262" i="3"/>
  <c r="F262" i="3"/>
  <c r="E257" i="2"/>
  <c r="G258" i="2" l="1"/>
  <c r="D262" i="3"/>
  <c r="G263" i="3" l="1"/>
  <c r="F258" i="2"/>
  <c r="H258" i="2" s="1"/>
  <c r="R258" i="2" l="1"/>
  <c r="E263" i="3"/>
  <c r="F263" i="3"/>
  <c r="E258" i="2"/>
  <c r="G259" i="2" l="1"/>
  <c r="D263" i="3"/>
  <c r="G264" i="3" l="1"/>
  <c r="F259" i="2"/>
  <c r="H259" i="2" s="1"/>
  <c r="R259" i="2" l="1"/>
  <c r="E264" i="3"/>
  <c r="F264" i="3"/>
  <c r="E259" i="2"/>
  <c r="D264" i="3" l="1"/>
  <c r="G260" i="2"/>
  <c r="G265" i="3" l="1"/>
  <c r="F260" i="2"/>
  <c r="H260" i="2" s="1"/>
  <c r="E265" i="3" l="1"/>
  <c r="R260" i="2"/>
  <c r="F265" i="3"/>
  <c r="E260" i="2"/>
  <c r="D265" i="3" l="1"/>
  <c r="G261" i="2"/>
  <c r="G266" i="3" l="1"/>
  <c r="F261" i="2"/>
  <c r="F266" i="3" l="1"/>
  <c r="E261" i="2"/>
  <c r="H261" i="2"/>
  <c r="G262" i="2" l="1"/>
  <c r="D266" i="3"/>
  <c r="E266" i="3"/>
  <c r="R261" i="2"/>
  <c r="G267" i="3" l="1"/>
  <c r="F262" i="2"/>
  <c r="H262" i="2" s="1"/>
  <c r="R262" i="2" l="1"/>
  <c r="E267" i="3"/>
  <c r="F267" i="3"/>
  <c r="E262" i="2"/>
  <c r="D267" i="3" l="1"/>
  <c r="G263" i="2"/>
  <c r="G268" i="3" l="1"/>
  <c r="F263" i="2"/>
  <c r="H263" i="2" s="1"/>
  <c r="E268" i="3" l="1"/>
  <c r="R263" i="2"/>
  <c r="F268" i="3"/>
  <c r="F264" i="2"/>
  <c r="E263" i="2"/>
  <c r="F269" i="3" l="1"/>
  <c r="F265" i="2"/>
  <c r="F270" i="3" s="1"/>
  <c r="G264" i="2"/>
  <c r="E264" i="2"/>
  <c r="D269" i="3" s="1"/>
  <c r="D268" i="3"/>
  <c r="G269" i="3" l="1"/>
  <c r="H264" i="2"/>
  <c r="G265" i="2"/>
  <c r="E269" i="3" l="1"/>
  <c r="R264" i="2"/>
  <c r="P265" i="2" s="1"/>
  <c r="H265" i="2"/>
  <c r="E270" i="3" s="1"/>
  <c r="G270" i="3"/>
  <c r="Q265" i="2"/>
  <c r="P270" i="3" s="1"/>
  <c r="B43" i="4" s="1"/>
  <c r="B42" i="4" s="1"/>
  <c r="O270" i="3" l="1"/>
  <c r="B44" i="4"/>
</calcChain>
</file>

<file path=xl/comments1.xml><?xml version="1.0" encoding="utf-8"?>
<comments xmlns="http://schemas.openxmlformats.org/spreadsheetml/2006/main">
  <authors>
    <author>Lashniev Georgii Sergiiovych</author>
  </authors>
  <commentList>
    <comment ref="K6" authorId="0" shapeId="0">
      <text>
        <r>
          <rPr>
            <b/>
            <sz val="8"/>
            <color indexed="81"/>
            <rFont val="Tahoma"/>
            <family val="2"/>
            <charset val="204"/>
          </rPr>
          <t>0,1% від суми застави</t>
        </r>
        <r>
          <rPr>
            <sz val="8"/>
            <color indexed="81"/>
            <rFont val="Tahoma"/>
            <family val="2"/>
            <charset val="204"/>
          </rPr>
          <t xml:space="preserve">
</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List>
</comments>
</file>

<file path=xl/comments2.xml><?xml version="1.0" encoding="utf-8"?>
<comments xmlns="http://schemas.openxmlformats.org/spreadsheetml/2006/main">
  <authors>
    <author>Safonov Sergii Viktorovych</author>
    <author>Lashniev Georgii Sergiiovych</author>
  </authors>
  <commentList>
    <comment ref="N3" authorId="0" shapeId="0">
      <text>
        <r>
          <rPr>
            <b/>
            <sz val="8"/>
            <color indexed="81"/>
            <rFont val="Tahoma"/>
            <family val="2"/>
            <charset val="204"/>
          </rPr>
          <t>згідно кредитної програми</t>
        </r>
      </text>
    </comment>
    <comment ref="N7" authorId="0" shapeId="0">
      <text>
        <r>
          <rPr>
            <b/>
            <sz val="8"/>
            <color indexed="81"/>
            <rFont val="Tahoma"/>
            <family val="2"/>
            <charset val="204"/>
          </rPr>
          <t>витрати на нотаріуса</t>
        </r>
      </text>
    </comment>
    <comment ref="N8" authorId="1" shapeId="0">
      <text>
        <r>
          <rPr>
            <b/>
            <sz val="8"/>
            <color indexed="81"/>
            <rFont val="Tahoma"/>
            <family val="2"/>
            <charset val="204"/>
          </rPr>
          <t>згідно кредитної програми</t>
        </r>
      </text>
    </comment>
    <comment ref="O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F9" authorId="0" shapeId="0">
      <text>
        <r>
          <rPr>
            <b/>
            <sz val="8"/>
            <color indexed="81"/>
            <rFont val="Tahoma"/>
            <family val="2"/>
            <charset val="204"/>
          </rPr>
          <t>відсоткова ставка на 1-24 міс</t>
        </r>
      </text>
    </comment>
    <comment ref="N10" authorId="0" shapeId="0">
      <text>
        <r>
          <rPr>
            <b/>
            <sz val="8"/>
            <color indexed="81"/>
            <rFont val="Tahoma"/>
            <family val="2"/>
            <charset val="204"/>
          </rPr>
          <t>згідно обраного тарифу</t>
        </r>
      </text>
    </comment>
    <comment ref="N12" authorId="0" shapeId="0">
      <text>
        <r>
          <rPr>
            <b/>
            <sz val="8"/>
            <color indexed="81"/>
            <rFont val="Tahoma"/>
            <family val="2"/>
            <charset val="204"/>
          </rPr>
          <t>витрати на оцінку застави</t>
        </r>
      </text>
    </comment>
    <comment ref="N13" authorId="0" shapeId="0">
      <text>
        <r>
          <rPr>
            <b/>
            <sz val="8"/>
            <color indexed="81"/>
            <rFont val="Tahoma"/>
            <family val="2"/>
            <charset val="204"/>
          </rPr>
          <t>інші можливі додаткові витрати позичальнка</t>
        </r>
      </text>
    </comment>
    <comment ref="F14" authorId="0" shapeId="0">
      <text>
        <r>
          <rPr>
            <b/>
            <sz val="8"/>
            <color indexed="81"/>
            <rFont val="Tahoma"/>
            <family val="2"/>
            <charset val="204"/>
          </rPr>
          <t>відсоткова ставка з 25 по 60 міс</t>
        </r>
      </text>
    </comment>
    <comment ref="N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 ref="F17" authorId="0" shapeId="0">
      <text>
        <r>
          <rPr>
            <b/>
            <sz val="8"/>
            <color indexed="81"/>
            <rFont val="Tahoma"/>
            <family val="2"/>
            <charset val="204"/>
          </rPr>
          <t>згідно обраного продукту</t>
        </r>
      </text>
    </comment>
  </commentList>
</comments>
</file>

<file path=xl/sharedStrings.xml><?xml version="1.0" encoding="utf-8"?>
<sst xmlns="http://schemas.openxmlformats.org/spreadsheetml/2006/main" count="730" uniqueCount="563">
  <si>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</si>
  <si>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</si>
  <si>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</si>
  <si>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</si>
  <si>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</si>
  <si>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</si>
  <si>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</si>
  <si>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</si>
  <si>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</si>
  <si>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</si>
  <si>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</si>
  <si>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</si>
  <si>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</si>
  <si>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</si>
  <si>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</si>
  <si>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</si>
  <si>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</si>
  <si>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</si>
  <si>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Строк кредитування, міс</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</si>
  <si>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</si>
  <si>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</si>
  <si>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</si>
  <si>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</si>
  <si>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</si>
  <si>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</si>
  <si>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</si>
  <si>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</si>
  <si>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</si>
  <si>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</si>
  <si>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</si>
  <si>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</si>
  <si>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</si>
  <si>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</si>
  <si>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</si>
  <si>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</si>
  <si>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</si>
  <si>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</si>
  <si>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</si>
  <si>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</si>
  <si>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</si>
  <si>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</si>
  <si>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</si>
  <si>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</si>
  <si>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</si>
  <si>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</si>
  <si>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</si>
  <si>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</si>
  <si>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</si>
  <si>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</si>
  <si>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</si>
  <si>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</si>
  <si>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</si>
  <si>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</si>
  <si>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</si>
  <si>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</si>
  <si>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</si>
  <si>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</si>
  <si>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</si>
  <si>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</si>
  <si>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</si>
  <si>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</si>
  <si>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</si>
  <si>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</si>
  <si>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Вартість автомобіля, грн</t>
  </si>
  <si>
    <t>Одноразова комісія за надання кредиту, грн</t>
  </si>
  <si>
    <t>Перший внесок, грн</t>
  </si>
  <si>
    <t>Додаткові витрати, повязані з оформленням кредиту</t>
  </si>
  <si>
    <t>Перший внесок,%</t>
  </si>
  <si>
    <t>Сумма кредиту, грн</t>
  </si>
  <si>
    <t>Строк кредиту, міс</t>
  </si>
  <si>
    <t>Відсоткова ставка</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</si>
  <si>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</si>
  <si>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</si>
  <si>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</si>
  <si>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</si>
  <si>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</si>
  <si>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</si>
  <si>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</si>
  <si>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</si>
  <si>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Реальна відсоткова ставка, %</t>
  </si>
  <si>
    <t>споживчий кредит</t>
  </si>
  <si>
    <t xml:space="preserve"> +3% річних до діючої річної ставки по кредиту</t>
  </si>
  <si>
    <t>ПМ</t>
  </si>
  <si>
    <t>Додаток 1 до договору кредиту №_____ від____________</t>
  </si>
  <si>
    <t>Сума кредиту</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</si>
  <si>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</si>
  <si>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</si>
  <si>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</si>
  <si>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</si>
  <si>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</si>
  <si>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</si>
  <si>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</si>
  <si>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</si>
  <si>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</si>
  <si>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</si>
  <si>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</si>
  <si>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</si>
  <si>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</si>
  <si>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</si>
  <si>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</si>
  <si>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</si>
  <si>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</si>
  <si>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</si>
  <si>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</si>
  <si>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Комісія за надання кредиту, % від суми кредиту</t>
  </si>
  <si>
    <t>АТ «ПРАВЕКС БАНК»</t>
  </si>
  <si>
    <t>від 18.04.2018 № 7</t>
  </si>
  <si>
    <t>Дата початку плаваючої ставки</t>
  </si>
  <si>
    <t>Маржа</t>
  </si>
  <si>
    <t>ставка</t>
  </si>
  <si>
    <t>Діючий Індекс UIRD (12міс у гривні)</t>
  </si>
  <si>
    <r>
      <t xml:space="preserve">Комісії банка, </t>
    </r>
    <r>
      <rPr>
        <sz val="11"/>
        <color theme="0"/>
        <rFont val="Calibri"/>
        <family val="2"/>
        <charset val="204"/>
        <scheme val="minor"/>
      </rPr>
      <t>% від суми кредиту</t>
    </r>
  </si>
  <si>
    <t>Реальна річна процентна ставка, %</t>
  </si>
  <si>
    <t>Загальна вартість кредиту, грн.</t>
  </si>
  <si>
    <t>-</t>
  </si>
  <si>
    <t>відсутній</t>
  </si>
  <si>
    <t>Таблиця обчислення орієнтовної вартості споживчого кредиту</t>
  </si>
  <si>
    <t xml:space="preserve">Страхування застави </t>
  </si>
  <si>
    <t>так</t>
  </si>
  <si>
    <t>Розрахунково-касове обслуговування кредиту за весь строк кредиту</t>
  </si>
  <si>
    <t>Розрахунково-касове обслуговування кредиту за весь строк кредиту, грн</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</si>
  <si>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</si>
  <si>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 споживчі цілі</t>
  </si>
  <si>
    <t xml:space="preserve">Безготівковим шляхом на поточний рахунок </t>
  </si>
  <si>
    <t>Фіксована</t>
  </si>
  <si>
    <t>відсутне</t>
  </si>
  <si>
    <t xml:space="preserve">Страхування позичальника </t>
  </si>
  <si>
    <t>процентна ставка, яка застосовується при невиконанні зобов'язання щодо повернення кредиту (за кожне порушеня)</t>
  </si>
  <si>
    <t>відсутні</t>
  </si>
  <si>
    <t>порука (якщо було прийнято по клієнту відповідне рішення)</t>
  </si>
  <si>
    <t>Розрахунково-касове обслуговування кредиту, грн</t>
  </si>
  <si>
    <r>
      <rPr>
        <sz val="10"/>
        <color theme="1"/>
        <rFont val="Times New Roman"/>
        <family val="1"/>
        <charset val="204"/>
      </rPr>
      <t>/34</t>
    </r>
    <r>
      <rPr>
        <sz val="9"/>
        <color theme="1"/>
        <rFont val="Times New Roman"/>
        <family val="1"/>
        <charset val="204"/>
      </rPr>
      <t>,99% в разі невиконання умов пункт 1.8 загальної частини договору кредиту</t>
    </r>
  </si>
  <si>
    <t>Так (разово на весь строк), перелік акредитованих страхових компаній наведено на https://www.pravex.com.ua/vazhliva-informaciya-dlya-kliyentiv-banku/dlya-pozichalnikiv-banku</t>
  </si>
  <si>
    <t>Розрахунково-касове обслуговування, грн</t>
  </si>
  <si>
    <t>Фіксована перші 60 міс, з 61 місяця - плаваюча</t>
  </si>
  <si>
    <t>на купівлю нерухомості</t>
  </si>
  <si>
    <t>застава,порука (якщо було прийнято по клієнту відповідне рішення)</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</si>
  <si>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кредит.</t>
  </si>
  <si>
    <t>так, пеерлік акредитованих оціночних компній наведено 
https://www.pravex.com.ua/vazhliva-informaciya-dlya-kliyentiv-banku/dlya-pozichalnikiv-banku</t>
  </si>
  <si>
    <t>Вартість нерухомості, грн</t>
  </si>
  <si>
    <t>Одноразова комісія за надання кредиту, % від суми кредиту</t>
  </si>
  <si>
    <t>процентна ставка, яка застосовується при невиконанні зобов'язання згідно договору кредиту (за кожне порушеня)</t>
  </si>
  <si>
    <t>Діючий Індекс
 UIRD (у гривні за 12 міс)</t>
  </si>
  <si>
    <t>Послуги третіх осіб</t>
  </si>
  <si>
    <t>Послуги нотаріуса</t>
  </si>
  <si>
    <t>Послуги оцінювача</t>
  </si>
  <si>
    <t>Послуги страховика</t>
  </si>
  <si>
    <t>Інші послуги третіх осіб</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</si>
  <si>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</si>
  <si>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</si>
  <si>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</si>
  <si>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</si>
  <si>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</si>
  <si>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</si>
  <si>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</si>
  <si>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Інші послуги банка</t>
  </si>
  <si>
    <t>застава</t>
  </si>
  <si>
    <t>позичальник</t>
  </si>
  <si>
    <t>Грошовий потік</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</si>
  <si>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</si>
  <si>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</si>
  <si>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</si>
  <si>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</si>
  <si>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</si>
  <si>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</si>
  <si>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</si>
  <si>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</si>
  <si>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</si>
  <si>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</si>
  <si>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</si>
  <si>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</si>
  <si>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</si>
  <si>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</si>
  <si>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</si>
  <si>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</si>
  <si>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</si>
  <si>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Послуги третіх осіб:</t>
  </si>
  <si>
    <t>Тарифи Банку та третіх осіб:</t>
  </si>
  <si>
    <t>Одноразова комісія банку за надання кредиту від початкової суми кредиту</t>
  </si>
  <si>
    <t>Відсоткова ставка з 25 місяця</t>
  </si>
  <si>
    <t xml:space="preserve">1. Послуги нотаріуса </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</si>
  <si>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</si>
  <si>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</si>
  <si>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</si>
  <si>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</si>
  <si>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</si>
  <si>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</si>
  <si>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</si>
  <si>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</si>
  <si>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</si>
  <si>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</si>
  <si>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</si>
  <si>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</si>
  <si>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</si>
  <si>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</si>
  <si>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</si>
  <si>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</si>
  <si>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</si>
  <si>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</si>
  <si>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</si>
  <si>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</si>
  <si>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</si>
  <si>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</si>
  <si>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</si>
  <si>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</si>
  <si>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</si>
  <si>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</si>
  <si>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</si>
  <si>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</si>
  <si>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</si>
  <si>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</si>
  <si>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</si>
  <si>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</si>
  <si>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</si>
  <si>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</si>
  <si>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</si>
  <si>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</si>
  <si>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</si>
  <si>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</si>
  <si>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</si>
  <si>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</si>
  <si>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</si>
  <si>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</si>
  <si>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</si>
  <si>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</si>
  <si>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</si>
  <si>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</si>
  <si>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</si>
  <si>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</si>
  <si>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</si>
  <si>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</si>
  <si>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</si>
  <si>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</si>
  <si>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</si>
  <si>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</si>
  <si>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</si>
  <si>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</si>
  <si>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</si>
  <si>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</si>
  <si>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</si>
  <si>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</si>
  <si>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</si>
  <si>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</si>
  <si>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</si>
  <si>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</si>
  <si>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</si>
  <si>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</si>
  <si>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</si>
  <si>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</si>
  <si>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</si>
  <si>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</si>
  <si>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</si>
  <si>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</si>
  <si>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</si>
  <si>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</si>
  <si>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</si>
  <si>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</si>
  <si>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</si>
  <si>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</si>
  <si>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</si>
  <si>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</si>
  <si>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</si>
  <si>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</si>
  <si>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</si>
  <si>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</si>
  <si>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</si>
  <si>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</si>
  <si>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</si>
  <si>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</si>
  <si>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</si>
  <si>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</si>
  <si>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</si>
  <si>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</si>
  <si>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</si>
  <si>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</si>
  <si>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</si>
  <si>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</si>
  <si>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</si>
  <si>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</si>
  <si>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</si>
  <si>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</si>
  <si>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</si>
  <si>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</si>
  <si>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</si>
  <si>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</si>
  <si>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</si>
  <si>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</si>
  <si>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</si>
  <si>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</si>
  <si>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</si>
  <si>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</si>
  <si>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</si>
  <si>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</si>
  <si>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</si>
  <si>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</si>
  <si>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</si>
  <si>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</si>
  <si>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</si>
  <si>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</si>
  <si>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</si>
  <si>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</si>
  <si>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</si>
  <si>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</si>
  <si>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</si>
  <si>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</si>
  <si>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</si>
  <si>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</si>
  <si>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</si>
  <si>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</si>
  <si>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</si>
  <si>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</si>
  <si>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</si>
  <si>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</si>
  <si>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</si>
  <si>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</si>
  <si>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</si>
  <si>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</si>
  <si>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</si>
  <si>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</si>
  <si>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</si>
  <si>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</si>
  <si>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</si>
  <si>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</si>
  <si>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</si>
  <si>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</si>
  <si>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</si>
  <si>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</si>
  <si>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</si>
  <si>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</si>
  <si>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</si>
  <si>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</si>
  <si>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</si>
  <si>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</si>
  <si>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</si>
  <si>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</si>
  <si>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</si>
  <si>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</si>
  <si>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</si>
  <si>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</si>
  <si>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</si>
  <si>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</si>
  <si>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</si>
  <si>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</si>
  <si>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</si>
  <si>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</si>
  <si>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</si>
  <si>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</si>
  <si>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</si>
  <si>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</si>
  <si>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</si>
  <si>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</si>
  <si>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</si>
  <si>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</si>
  <si>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</si>
  <si>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</si>
  <si>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</si>
  <si>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</si>
  <si>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</si>
  <si>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</si>
  <si>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</si>
  <si>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</si>
  <si>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</si>
  <si>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</si>
  <si>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</si>
  <si>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</si>
  <si>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</si>
  <si>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</si>
  <si>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</si>
  <si>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</si>
  <si>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</si>
  <si>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</si>
  <si>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</si>
  <si>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</si>
  <si>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</si>
  <si>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</si>
  <si>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</si>
  <si>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</si>
  <si>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</si>
  <si>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</si>
  <si>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</si>
  <si>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</si>
  <si>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</si>
  <si>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</si>
  <si>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</si>
  <si>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</si>
  <si>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</si>
  <si>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</si>
  <si>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</si>
  <si>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</si>
  <si>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</si>
  <si>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</si>
  <si>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</si>
  <si>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</si>
  <si>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</si>
  <si>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</si>
  <si>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</si>
  <si>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</si>
  <si>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</si>
  <si>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</si>
  <si>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</si>
  <si>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</si>
  <si>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</si>
  <si>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</si>
  <si>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</si>
  <si>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</si>
  <si>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</si>
  <si>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</si>
  <si>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</si>
  <si>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</si>
  <si>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</si>
  <si>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</si>
  <si>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</si>
  <si>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</si>
  <si>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</si>
  <si>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</si>
  <si>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</si>
  <si>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</si>
  <si>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</si>
  <si>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</si>
  <si>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</si>
  <si>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</si>
  <si>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</si>
  <si>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</si>
  <si>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</si>
  <si>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</si>
  <si>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</si>
  <si>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</si>
  <si>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</si>
  <si>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</si>
  <si>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</si>
  <si>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</si>
  <si>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</si>
  <si>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</si>
  <si>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</si>
  <si>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</si>
  <si>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</si>
  <si>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</si>
  <si>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</si>
  <si>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</si>
  <si>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</si>
  <si>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</si>
  <si>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</si>
  <si>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</si>
  <si>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</si>
  <si>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</si>
  <si>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</si>
  <si>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</si>
  <si>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</si>
  <si>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</si>
  <si>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</si>
  <si>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</si>
  <si>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</si>
  <si>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</si>
  <si>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</si>
  <si>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</si>
  <si>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</si>
  <si>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</si>
  <si>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</si>
  <si>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</si>
  <si>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</si>
  <si>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</si>
  <si>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</si>
  <si>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</si>
  <si>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</si>
  <si>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</si>
  <si>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</si>
  <si>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</si>
  <si>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</si>
  <si>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</si>
  <si>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</si>
  <si>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</si>
  <si>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</si>
  <si>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</si>
  <si>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</si>
  <si>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</si>
  <si>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</si>
  <si>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</si>
  <si>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</si>
  <si>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</si>
  <si>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</si>
  <si>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</si>
  <si>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</si>
  <si>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</si>
  <si>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</si>
  <si>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</si>
  <si>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</si>
  <si>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</si>
  <si>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</si>
  <si>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</si>
  <si>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</si>
  <si>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</si>
  <si>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</si>
  <si>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</si>
  <si>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</si>
  <si>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</si>
  <si>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</si>
  <si>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</si>
  <si>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</si>
  <si>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</si>
  <si>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</si>
  <si>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</si>
  <si>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</si>
  <si>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</si>
  <si>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</si>
  <si>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</si>
  <si>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</si>
  <si>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</si>
  <si>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</si>
  <si>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</si>
  <si>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</si>
  <si>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</si>
  <si>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</si>
  <si>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</si>
  <si>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</si>
  <si>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</si>
  <si>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</si>
  <si>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</si>
  <si>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</si>
  <si>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</si>
  <si>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</si>
  <si>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</si>
  <si>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</si>
  <si>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</si>
  <si>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</si>
  <si>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</si>
  <si>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</si>
  <si>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</si>
  <si>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</si>
  <si>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</si>
  <si>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</si>
  <si>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</si>
  <si>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</si>
  <si>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</si>
  <si>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</si>
  <si>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</si>
  <si>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</si>
  <si>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</si>
  <si>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</si>
  <si>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</si>
  <si>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</si>
  <si>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</si>
  <si>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</si>
  <si>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</si>
  <si>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</si>
  <si>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</si>
  <si>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</si>
  <si>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</si>
  <si>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Процентна ставка, відсотків річних (1-60 міс)</t>
  </si>
  <si>
    <t>Відсоткова ставка (1-60 міс)</t>
  </si>
  <si>
    <t>анн Uird</t>
  </si>
  <si>
    <t>перегляд  ставки кожні 12 місяців 
ставка по кредиту= UIRD +3%</t>
  </si>
  <si>
    <t>анн 9,99</t>
  </si>
  <si>
    <r>
      <rPr>
        <sz val="10"/>
        <color theme="1"/>
        <rFont val="Times New Roman"/>
        <family val="1"/>
        <charset val="204"/>
      </rPr>
      <t>/12,99</t>
    </r>
    <r>
      <rPr>
        <sz val="9"/>
        <color theme="1"/>
        <rFont val="Times New Roman"/>
        <family val="1"/>
        <charset val="204"/>
      </rPr>
      <t>% в разі невиконання умов пункт 1.5 загальної частини договору кредиту</t>
    </r>
  </si>
  <si>
    <t xml:space="preserve">Додаток 46 до п. 1. рішення
ЗАТВЕРДЖЕНО
рішенням Голови Правління
АТ «ПРАВЕКС БАНК»
від _._.2020 № ___
</t>
  </si>
  <si>
    <t>разово</t>
  </si>
  <si>
    <t>щорічно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</si>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</sst>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Red]\-#,##0.00\ &quot;₽&quot;"/>
    <numFmt numFmtId="165" formatCode="#,##0.00\ [$грн.-422]"/>
    <numFmt numFmtId="166" formatCode="#,##0.00&quot;р.&quot;;[Red]\-#,##0.00&quot;р.&quot;"/>
    <numFmt numFmtId="167" formatCode="[$$-C09]#,##0"/>
    <numFmt numFmtId="168" formatCode="0.0%"/>
  </numFmts>
  <fonts count="53"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8"/>
      <color indexed="81"/>
      <name val="Tahoma"/>
      <family val="2"/>
      <charset val="204"/>
    </font>
    <font>
      <b/>
      <sz val="8"/>
      <color indexed="81"/>
      <name val="Tahoma"/>
      <family val="2"/>
      <charset val="204"/>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b/>
      <sz val="9"/>
      <color indexed="8"/>
      <name val="Arial"/>
      <family val="2"/>
      <charset val="204"/>
    </font>
    <font>
      <b/>
      <sz val="9"/>
      <name val="Arial"/>
      <family val="2"/>
      <charset val="204"/>
    </font>
    <font>
      <sz val="9"/>
      <color indexed="8"/>
      <name val="Arial Cyr"/>
      <family val="2"/>
      <charset val="204"/>
    </font>
    <font>
      <i/>
      <sz val="9"/>
      <color indexed="8"/>
      <name val="Arial"/>
      <family val="2"/>
      <charset val="204"/>
    </font>
    <font>
      <i/>
      <sz val="9"/>
      <name val="Arial Cyr"/>
      <charset val="204"/>
    </font>
    <font>
      <sz val="9"/>
      <color indexed="8"/>
      <name val="Arial"/>
      <family val="2"/>
      <charset val="204"/>
    </font>
    <font>
      <sz val="9"/>
      <name val="Arial Cyr"/>
      <family val="2"/>
      <charset val="204"/>
    </font>
    <font>
      <sz val="9"/>
      <color indexed="8"/>
      <name val="Arial Cyr"/>
      <charset val="204"/>
    </font>
    <font>
      <sz val="9"/>
      <color theme="0"/>
      <name val="Arial Cyr"/>
      <charset val="204"/>
    </font>
    <font>
      <sz val="11"/>
      <color theme="0"/>
      <name val="Calibri"/>
      <family val="2"/>
      <charset val="204"/>
      <scheme val="minor"/>
    </font>
    <font>
      <b/>
      <sz val="11"/>
      <color theme="0"/>
      <name val="Calibri"/>
      <family val="2"/>
      <charset val="204"/>
      <scheme val="minor"/>
    </font>
    <font>
      <b/>
      <sz val="12"/>
      <color theme="1"/>
      <name val="Calibri"/>
      <family val="2"/>
      <charset val="204"/>
      <scheme val="minor"/>
    </font>
    <font>
      <sz val="10"/>
      <color theme="1"/>
      <name val="Times New Roman"/>
      <family val="1"/>
      <charset val="204"/>
    </font>
    <font>
      <sz val="9"/>
      <color theme="1"/>
      <name val="Arial Cyr"/>
      <charset val="204"/>
    </font>
    <font>
      <i/>
      <sz val="9"/>
      <color theme="0"/>
      <name val="Arial"/>
      <family val="2"/>
      <charset val="204"/>
    </font>
    <font>
      <b/>
      <sz val="10"/>
      <color theme="1"/>
      <name val="Arial"/>
      <family val="2"/>
      <charset val="204"/>
    </font>
    <font>
      <sz val="10"/>
      <color theme="1"/>
      <name val="Arial"/>
      <family val="2"/>
      <charset val="204"/>
    </font>
    <font>
      <b/>
      <sz val="9"/>
      <color theme="1"/>
      <name val="Arial"/>
      <family val="2"/>
      <charset val="204"/>
    </font>
    <font>
      <i/>
      <sz val="9"/>
      <color theme="1"/>
      <name val="Arial"/>
      <family val="2"/>
      <charset val="204"/>
    </font>
    <font>
      <sz val="11"/>
      <name val="Calibri"/>
      <family val="2"/>
      <charset val="204"/>
      <scheme val="minor"/>
    </font>
    <font>
      <sz val="9"/>
      <name val="Times New Roman"/>
      <family val="1"/>
      <charset val="204"/>
    </font>
    <font>
      <b/>
      <sz val="9"/>
      <name val="Times New Roman"/>
      <family val="1"/>
      <charset val="204"/>
    </font>
    <font>
      <i/>
      <sz val="9"/>
      <name val="Arial"/>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1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style="thin">
        <color theme="4"/>
      </right>
      <top/>
      <bottom/>
      <diagonal/>
    </border>
    <border>
      <left/>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theme="0"/>
      </left>
      <right style="thin">
        <color theme="0"/>
      </right>
      <top/>
      <bottom/>
      <diagonal/>
    </border>
    <border>
      <left/>
      <right/>
      <top/>
      <bottom style="thin">
        <color theme="0"/>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theme="3" tint="0.39997558519241921"/>
      </bottom>
      <diagonal/>
    </border>
    <border>
      <left style="thin">
        <color rgb="FF007A00"/>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4"/>
      </left>
      <right style="thin">
        <color theme="3" tint="0.39997558519241921"/>
      </right>
      <top/>
      <bottom style="thin">
        <color indexed="64"/>
      </bottom>
      <diagonal/>
    </border>
    <border>
      <left style="thin">
        <color theme="4"/>
      </left>
      <right style="thin">
        <color theme="3" tint="0.39997558519241921"/>
      </right>
      <top style="thin">
        <color indexed="64"/>
      </top>
      <bottom style="thin">
        <color indexed="64"/>
      </bottom>
      <diagonal/>
    </border>
    <border>
      <left style="thin">
        <color theme="4"/>
      </left>
      <right style="thin">
        <color theme="3" tint="0.39997558519241921"/>
      </right>
      <top/>
      <bottom/>
      <diagonal/>
    </border>
    <border>
      <left style="thin">
        <color theme="0"/>
      </left>
      <right style="thin">
        <color rgb="FF007A00"/>
      </right>
      <top/>
      <bottom/>
      <diagonal/>
    </border>
    <border>
      <left style="thin">
        <color theme="3" tint="0.39997558519241921"/>
      </left>
      <right style="thin">
        <color theme="4"/>
      </right>
      <top/>
      <bottom/>
      <diagonal/>
    </border>
    <border>
      <left/>
      <right style="thin">
        <color theme="3" tint="0.39997558519241921"/>
      </right>
      <top/>
      <bottom style="thin">
        <color indexed="64"/>
      </bottom>
      <diagonal/>
    </border>
    <border>
      <left/>
      <right style="thin">
        <color theme="3" tint="0.39997558519241921"/>
      </right>
      <top/>
      <bottom/>
      <diagonal/>
    </border>
    <border>
      <left/>
      <right style="thin">
        <color theme="3" tint="0.39997558519241921"/>
      </right>
      <top/>
      <bottom style="thin">
        <color theme="4"/>
      </bottom>
      <diagonal/>
    </border>
    <border>
      <left style="thin">
        <color theme="3" tint="0.39997558519241921"/>
      </left>
      <right style="thin">
        <color theme="4"/>
      </right>
      <top style="thin">
        <color theme="4"/>
      </top>
      <bottom style="thin">
        <color theme="4"/>
      </bottom>
      <diagonal/>
    </border>
    <border>
      <left/>
      <right style="thin">
        <color theme="3" tint="0.39997558519241921"/>
      </right>
      <top style="thin">
        <color theme="4"/>
      </top>
      <bottom style="thin">
        <color theme="4"/>
      </bottom>
      <diagonal/>
    </border>
    <border>
      <left style="thin">
        <color theme="3" tint="0.39997558519241921"/>
      </left>
      <right/>
      <top/>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3" tint="0.39997558519241921"/>
      </top>
      <bottom style="thin">
        <color theme="0"/>
      </bottom>
      <diagonal/>
    </border>
    <border>
      <left/>
      <right/>
      <top style="thin">
        <color theme="3" tint="0.39997558519241921"/>
      </top>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4"/>
      </right>
      <top style="thin">
        <color theme="3" tint="0.39997558519241921"/>
      </top>
      <bottom/>
      <diagonal/>
    </border>
    <border>
      <left/>
      <right style="thin">
        <color theme="3" tint="0.39997558519241921"/>
      </right>
      <top style="thin">
        <color theme="4"/>
      </top>
      <bottom/>
      <diagonal/>
    </border>
    <border>
      <left style="thin">
        <color theme="3" tint="0.39997558519241921"/>
      </left>
      <right style="thin">
        <color theme="4"/>
      </right>
      <top/>
      <bottom style="thin">
        <color theme="3" tint="0.39997558519241921"/>
      </bottom>
      <diagonal/>
    </border>
    <border>
      <left style="thin">
        <color theme="4"/>
      </left>
      <right style="thin">
        <color theme="3" tint="0.39997558519241921"/>
      </right>
      <top style="thin">
        <color indexed="64"/>
      </top>
      <bottom style="thin">
        <color theme="3" tint="0.39997558519241921"/>
      </bottom>
      <diagonal/>
    </border>
    <border>
      <left/>
      <right/>
      <top style="thin">
        <color theme="4"/>
      </top>
      <bottom style="thin">
        <color theme="3" tint="0.39997558519241921"/>
      </bottom>
      <diagonal/>
    </border>
    <border>
      <left/>
      <right style="thin">
        <color theme="3" tint="0.39997558519241921"/>
      </right>
      <top style="thin">
        <color theme="4"/>
      </top>
      <bottom style="thin">
        <color theme="3" tint="0.39997558519241921"/>
      </bottom>
      <diagonal/>
    </border>
    <border>
      <left/>
      <right style="thin">
        <color theme="0"/>
      </right>
      <top style="thin">
        <color theme="3" tint="0.39997558519241921"/>
      </top>
      <bottom style="thin">
        <color theme="3" tint="0.39997558519241921"/>
      </bottom>
      <diagonal/>
    </border>
    <border>
      <left style="thin">
        <color theme="0"/>
      </left>
      <right style="thin">
        <color theme="3" tint="0.39997558519241921"/>
      </right>
      <top style="thin">
        <color theme="3" tint="0.39997558519241921"/>
      </top>
      <bottom style="thin">
        <color theme="3" tint="0.39997558519241921"/>
      </bottom>
      <diagonal/>
    </border>
    <border>
      <left style="thin">
        <color theme="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diagonal/>
    </border>
    <border>
      <left/>
      <right style="thin">
        <color theme="3" tint="0.39997558519241921"/>
      </right>
      <top style="thin">
        <color theme="3" tint="0.39997558519241921"/>
      </top>
      <bottom/>
      <diagonal/>
    </border>
    <border>
      <left style="thin">
        <color theme="4"/>
      </left>
      <right/>
      <top style="thin">
        <color theme="3" tint="0.39997558519241921"/>
      </top>
      <bottom style="thin">
        <color theme="3" tint="0.3999755851924192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indexed="64"/>
      </left>
      <right style="medium">
        <color indexed="64"/>
      </right>
      <top style="medium">
        <color indexed="64"/>
      </top>
      <bottom style="thin">
        <color theme="1"/>
      </bottom>
      <diagonal/>
    </border>
    <border>
      <left/>
      <right/>
      <top style="thin">
        <color indexed="64"/>
      </top>
      <bottom style="thin">
        <color indexed="64"/>
      </bottom>
      <diagonal/>
    </border>
    <border>
      <left style="thin">
        <color indexed="64"/>
      </left>
      <right style="thin">
        <color theme="0"/>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top style="thin">
        <color indexed="64"/>
      </top>
      <bottom/>
      <diagonal/>
    </border>
    <border>
      <left style="thin">
        <color indexed="64"/>
      </left>
      <right style="thin">
        <color theme="3" tint="0.39997558519241921"/>
      </right>
      <top style="thin">
        <color indexed="64"/>
      </top>
      <bottom style="thin">
        <color theme="3" tint="0.39997558519241921"/>
      </bottom>
      <diagonal/>
    </border>
    <border>
      <left style="thin">
        <color theme="3" tint="0.39997558519241921"/>
      </left>
      <right/>
      <top style="thin">
        <color indexed="64"/>
      </top>
      <bottom style="thin">
        <color theme="3" tint="0.39997558519241921"/>
      </bottom>
      <diagonal/>
    </border>
    <border>
      <left/>
      <right/>
      <top style="thin">
        <color indexed="64"/>
      </top>
      <bottom style="thin">
        <color theme="3" tint="0.39997558519241921"/>
      </bottom>
      <diagonal/>
    </border>
    <border>
      <left style="thin">
        <color indexed="64"/>
      </left>
      <right style="thin">
        <color theme="3" tint="0.39997558519241921"/>
      </right>
      <top/>
      <bottom style="thin">
        <color indexed="64"/>
      </bottom>
      <diagonal/>
    </border>
    <border>
      <left style="thin">
        <color indexed="64"/>
      </left>
      <right style="thin">
        <color theme="3" tint="0.39997558519241921"/>
      </right>
      <top style="thin">
        <color indexed="64"/>
      </top>
      <bottom style="thin">
        <color indexed="64"/>
      </bottom>
      <diagonal/>
    </border>
    <border>
      <left style="thin">
        <color indexed="64"/>
      </left>
      <right style="thin">
        <color theme="3" tint="0.39997558519241921"/>
      </right>
      <top/>
      <bottom style="thin">
        <color theme="3" tint="0.39997558519241921"/>
      </bottom>
      <diagonal/>
    </border>
    <border>
      <left style="thin">
        <color indexed="64"/>
      </left>
      <right style="thin">
        <color theme="3" tint="0.39997558519241921"/>
      </right>
      <top/>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indexed="64"/>
      </left>
      <right style="thin">
        <color theme="4"/>
      </right>
      <top/>
      <bottom/>
      <diagonal/>
    </border>
    <border>
      <left style="thin">
        <color indexed="64"/>
      </left>
      <right style="thin">
        <color theme="4"/>
      </right>
      <top style="thin">
        <color theme="4"/>
      </top>
      <bottom style="thin">
        <color theme="4"/>
      </bottom>
      <diagonal/>
    </border>
    <border>
      <left style="thin">
        <color indexed="64"/>
      </left>
      <right style="thin">
        <color theme="4"/>
      </right>
      <top style="thin">
        <color theme="4"/>
      </top>
      <bottom style="thin">
        <color indexed="64"/>
      </bottom>
      <diagonal/>
    </border>
    <border>
      <left/>
      <right/>
      <top style="thin">
        <color theme="4"/>
      </top>
      <bottom style="thin">
        <color indexed="64"/>
      </bottom>
      <diagonal/>
    </border>
    <border>
      <left style="thin">
        <color indexed="64"/>
      </left>
      <right style="thin">
        <color indexed="64"/>
      </right>
      <top style="thin">
        <color indexed="64"/>
      </top>
      <bottom style="thin">
        <color theme="3" tint="0.39997558519241921"/>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theme="3" tint="0.39997558519241921"/>
      </bottom>
      <diagonal/>
    </border>
    <border>
      <left style="thin">
        <color indexed="64"/>
      </left>
      <right style="thin">
        <color indexed="64"/>
      </right>
      <top/>
      <bottom style="thin">
        <color theme="3" tint="0.39997558519241921"/>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style="thin">
        <color indexed="64"/>
      </bottom>
      <diagonal/>
    </border>
    <border>
      <left style="thin">
        <color indexed="64"/>
      </left>
      <right style="thin">
        <color theme="4"/>
      </right>
      <top style="thin">
        <color indexed="64"/>
      </top>
      <bottom style="thin">
        <color indexed="64"/>
      </bottom>
      <diagonal/>
    </border>
  </borders>
  <cellStyleXfs count="2">
    <xf numFmtId="0" fontId="0" fillId="0" borderId="0"/>
    <xf numFmtId="0" fontId="7" fillId="0" borderId="0"/>
  </cellStyleXfs>
  <cellXfs count="430">
    <xf numFmtId="0" fontId="0" fillId="0" borderId="0" xfId="0"/>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 fillId="2" borderId="0" xfId="0" applyFont="1" applyFill="1"/>
    <xf numFmtId="0" fontId="0" fillId="2" borderId="0" xfId="0" applyFill="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0" borderId="0" xfId="0" applyFont="1" applyAlignment="1" applyProtection="1">
      <alignment wrapText="1"/>
      <protection hidden="1"/>
    </xf>
    <xf numFmtId="0" fontId="9" fillId="2" borderId="0" xfId="0" applyFont="1" applyFill="1" applyAlignment="1" applyProtection="1">
      <alignment horizontal="left" wrapText="1"/>
      <protection hidden="1"/>
    </xf>
    <xf numFmtId="0" fontId="9" fillId="0" borderId="0" xfId="0" applyFont="1" applyAlignment="1" applyProtection="1">
      <alignment horizontal="left" wrapText="1"/>
      <protection hidden="1"/>
    </xf>
    <xf numFmtId="0" fontId="0" fillId="0" borderId="0" xfId="0" applyBorder="1" applyAlignment="1">
      <alignment horizontal="center"/>
    </xf>
    <xf numFmtId="14" fontId="0" fillId="0" borderId="0" xfId="0" applyNumberFormat="1" applyBorder="1" applyAlignment="1">
      <alignment horizontal="center"/>
    </xf>
    <xf numFmtId="4" fontId="0" fillId="0" borderId="0" xfId="0" applyNumberFormat="1" applyBorder="1" applyAlignment="1">
      <alignment horizontal="center"/>
    </xf>
    <xf numFmtId="0" fontId="9" fillId="0" borderId="0" xfId="0" applyFont="1" applyBorder="1" applyAlignment="1" applyProtection="1">
      <alignment horizont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8" fillId="0" borderId="15" xfId="1" applyFont="1" applyBorder="1" applyAlignment="1" applyProtection="1">
      <alignment horizontal="center" wrapText="1"/>
      <protection hidden="1"/>
    </xf>
    <xf numFmtId="0" fontId="8" fillId="0" borderId="12" xfId="1" applyFont="1" applyBorder="1" applyAlignment="1" applyProtection="1">
      <alignment horizontal="center" wrapText="1"/>
      <protection hidden="1"/>
    </xf>
    <xf numFmtId="0" fontId="15" fillId="0" borderId="12" xfId="1" applyFont="1" applyBorder="1" applyAlignment="1" applyProtection="1">
      <alignment horizontal="center" wrapText="1"/>
      <protection hidden="1"/>
    </xf>
    <xf numFmtId="165" fontId="27" fillId="2" borderId="11" xfId="1" applyNumberFormat="1" applyFont="1" applyFill="1" applyBorder="1" applyAlignment="1" applyProtection="1">
      <alignment horizontal="center" vertical="center"/>
      <protection hidden="1"/>
    </xf>
    <xf numFmtId="0" fontId="8" fillId="2" borderId="12" xfId="1" applyFont="1" applyFill="1" applyBorder="1" applyAlignment="1" applyProtection="1">
      <alignment horizontal="left"/>
      <protection hidden="1"/>
    </xf>
    <xf numFmtId="165" fontId="30" fillId="2" borderId="11" xfId="1" applyNumberFormat="1" applyFont="1" applyFill="1" applyBorder="1" applyAlignment="1" applyProtection="1">
      <alignment horizontal="center" vertical="center"/>
      <protection hidden="1"/>
    </xf>
    <xf numFmtId="14" fontId="0" fillId="0" borderId="0" xfId="0" applyNumberFormat="1" applyFill="1" applyBorder="1" applyAlignment="1">
      <alignment horizontal="center"/>
    </xf>
    <xf numFmtId="168" fontId="29" fillId="2" borderId="11" xfId="1" applyNumberFormat="1" applyFont="1" applyFill="1" applyBorder="1" applyAlignment="1" applyProtection="1">
      <alignment horizontal="center" vertical="center"/>
      <protection hidden="1"/>
    </xf>
    <xf numFmtId="168" fontId="0" fillId="0" borderId="0" xfId="0" applyNumberFormat="1" applyBorder="1" applyAlignment="1">
      <alignment horizontal="center"/>
    </xf>
    <xf numFmtId="0" fontId="0" fillId="2" borderId="0" xfId="0" applyFill="1" applyBorder="1" applyProtection="1">
      <protection locked="0"/>
    </xf>
    <xf numFmtId="0" fontId="2" fillId="0" borderId="8" xfId="0" applyFont="1" applyBorder="1" applyAlignment="1">
      <alignment horizontal="center" vertical="center" wrapText="1"/>
    </xf>
    <xf numFmtId="4" fontId="31" fillId="0" borderId="0" xfId="0" applyNumberFormat="1" applyFont="1" applyBorder="1" applyAlignment="1">
      <alignment horizontal="center"/>
    </xf>
    <xf numFmtId="4" fontId="0" fillId="0" borderId="0" xfId="0" applyNumberFormat="1"/>
    <xf numFmtId="0" fontId="0" fillId="2" borderId="23" xfId="0" applyFill="1" applyBorder="1"/>
    <xf numFmtId="0" fontId="0" fillId="2" borderId="24" xfId="0" applyFill="1" applyBorder="1"/>
    <xf numFmtId="4" fontId="0" fillId="2" borderId="20" xfId="0" applyNumberFormat="1" applyFill="1" applyBorder="1" applyProtection="1">
      <protection locked="0"/>
    </xf>
    <xf numFmtId="0" fontId="0" fillId="2" borderId="25" xfId="0" applyFill="1" applyBorder="1"/>
    <xf numFmtId="0" fontId="1" fillId="2" borderId="26" xfId="0" applyFont="1" applyFill="1" applyBorder="1"/>
    <xf numFmtId="4" fontId="0" fillId="2" borderId="21" xfId="0" applyNumberFormat="1" applyFill="1" applyBorder="1"/>
    <xf numFmtId="10" fontId="0" fillId="2" borderId="0" xfId="0" applyNumberFormat="1" applyFill="1" applyBorder="1" applyProtection="1">
      <protection locked="0"/>
    </xf>
    <xf numFmtId="4" fontId="31" fillId="2" borderId="0" xfId="0" applyNumberFormat="1" applyFont="1" applyFill="1" applyBorder="1"/>
    <xf numFmtId="4" fontId="31" fillId="2" borderId="23" xfId="0" applyNumberFormat="1" applyFont="1" applyFill="1" applyBorder="1"/>
    <xf numFmtId="0" fontId="1" fillId="2" borderId="0" xfId="0" applyFont="1" applyFill="1" applyBorder="1"/>
    <xf numFmtId="0" fontId="9" fillId="2" borderId="0" xfId="0" applyFont="1" applyFill="1" applyBorder="1" applyAlignment="1" applyProtection="1">
      <alignment wrapText="1"/>
      <protection hidden="1"/>
    </xf>
    <xf numFmtId="0" fontId="9" fillId="2" borderId="0" xfId="0" applyFont="1" applyFill="1" applyBorder="1" applyAlignment="1" applyProtection="1">
      <alignment horizontal="left" wrapText="1"/>
      <protection hidden="1"/>
    </xf>
    <xf numFmtId="0" fontId="8" fillId="0" borderId="0" xfId="1" applyFont="1" applyBorder="1" applyAlignment="1" applyProtection="1">
      <alignment horizontal="center" wrapText="1"/>
      <protection hidden="1"/>
    </xf>
    <xf numFmtId="0" fontId="15" fillId="0" borderId="0" xfId="1" applyFont="1" applyBorder="1" applyAlignment="1" applyProtection="1">
      <alignment horizontal="center" wrapText="1"/>
      <protection hidden="1"/>
    </xf>
    <xf numFmtId="0" fontId="20" fillId="2" borderId="0" xfId="1" applyFont="1" applyFill="1" applyBorder="1" applyAlignment="1" applyProtection="1">
      <alignment horizontal="center" vertical="center"/>
      <protection hidden="1"/>
    </xf>
    <xf numFmtId="0" fontId="24" fillId="4" borderId="29" xfId="1" applyFont="1" applyFill="1" applyBorder="1" applyAlignment="1" applyProtection="1">
      <alignment horizontal="center" vertical="center" wrapText="1"/>
      <protection hidden="1"/>
    </xf>
    <xf numFmtId="0" fontId="24" fillId="4" borderId="27"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0" fillId="0" borderId="36" xfId="0" applyBorder="1"/>
    <xf numFmtId="0" fontId="2" fillId="0" borderId="6"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vertical="center" wrapText="1"/>
    </xf>
    <xf numFmtId="0" fontId="32"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2" fillId="0" borderId="39" xfId="0" applyFont="1" applyBorder="1" applyAlignment="1">
      <alignment horizontal="justify" vertical="center" wrapText="1"/>
    </xf>
    <xf numFmtId="10" fontId="2" fillId="0" borderId="38" xfId="0" applyNumberFormat="1" applyFont="1" applyBorder="1" applyAlignment="1">
      <alignment horizontal="right" vertical="center" wrapText="1"/>
    </xf>
    <xf numFmtId="10" fontId="2" fillId="0" borderId="2" xfId="0" applyNumberFormat="1" applyFont="1" applyBorder="1" applyAlignment="1">
      <alignment horizontal="left" vertical="center" wrapText="1"/>
    </xf>
    <xf numFmtId="0" fontId="6" fillId="0" borderId="0" xfId="0" applyFont="1" applyAlignment="1">
      <alignment vertical="center"/>
    </xf>
    <xf numFmtId="0" fontId="10" fillId="5" borderId="22" xfId="0" applyFont="1" applyFill="1" applyBorder="1" applyAlignment="1" applyProtection="1">
      <alignment horizontal="center" vertical="center" wrapText="1"/>
      <protection hidden="1"/>
    </xf>
    <xf numFmtId="0" fontId="10" fillId="5" borderId="35"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2" borderId="42" xfId="0" applyFill="1" applyBorder="1"/>
    <xf numFmtId="0" fontId="0" fillId="2" borderId="44" xfId="0" applyFill="1" applyBorder="1"/>
    <xf numFmtId="0" fontId="1" fillId="3" borderId="47" xfId="0" applyFont="1" applyFill="1" applyBorder="1"/>
    <xf numFmtId="0" fontId="1" fillId="3" borderId="48" xfId="0" applyFont="1" applyFill="1" applyBorder="1"/>
    <xf numFmtId="0" fontId="1" fillId="2" borderId="45" xfId="0" applyFont="1" applyFill="1" applyBorder="1"/>
    <xf numFmtId="0" fontId="1" fillId="2" borderId="49" xfId="0" applyFont="1" applyFill="1" applyBorder="1"/>
    <xf numFmtId="0" fontId="31" fillId="2" borderId="0" xfId="0" applyFont="1" applyFill="1" applyBorder="1"/>
    <xf numFmtId="0" fontId="0" fillId="2" borderId="50" xfId="0" applyFill="1" applyBorder="1" applyProtection="1">
      <protection locked="0"/>
    </xf>
    <xf numFmtId="0" fontId="0" fillId="2" borderId="51" xfId="0" applyFill="1" applyBorder="1"/>
    <xf numFmtId="14" fontId="0" fillId="2" borderId="52" xfId="0" applyNumberFormat="1" applyFill="1" applyBorder="1" applyProtection="1">
      <protection locked="0"/>
    </xf>
    <xf numFmtId="164" fontId="0" fillId="2" borderId="53" xfId="0" applyNumberFormat="1" applyFill="1" applyBorder="1"/>
    <xf numFmtId="0" fontId="0" fillId="2" borderId="53" xfId="0" applyFill="1" applyBorder="1"/>
    <xf numFmtId="164" fontId="0" fillId="2" borderId="54" xfId="0" applyNumberFormat="1" applyFill="1" applyBorder="1"/>
    <xf numFmtId="0" fontId="0" fillId="0" borderId="55" xfId="0" applyFont="1" applyFill="1" applyBorder="1"/>
    <xf numFmtId="14" fontId="0" fillId="2" borderId="56" xfId="0" applyNumberFormat="1" applyFill="1" applyBorder="1" applyProtection="1">
      <protection locked="0"/>
    </xf>
    <xf numFmtId="10" fontId="0" fillId="2" borderId="56" xfId="0" applyNumberFormat="1" applyFill="1" applyBorder="1"/>
    <xf numFmtId="0" fontId="0" fillId="2" borderId="57" xfId="0" applyFill="1" applyBorder="1"/>
    <xf numFmtId="10" fontId="0" fillId="2" borderId="53" xfId="0" applyNumberFormat="1" applyFill="1" applyBorder="1"/>
    <xf numFmtId="0" fontId="0" fillId="2" borderId="58" xfId="0" applyFill="1" applyBorder="1"/>
    <xf numFmtId="164" fontId="0" fillId="2" borderId="59" xfId="0" applyNumberFormat="1" applyFill="1" applyBorder="1"/>
    <xf numFmtId="0" fontId="0" fillId="2" borderId="60" xfId="0" applyFill="1" applyBorder="1"/>
    <xf numFmtId="164" fontId="0" fillId="2" borderId="60" xfId="0" applyNumberFormat="1" applyFill="1" applyBorder="1"/>
    <xf numFmtId="0" fontId="9" fillId="2" borderId="60" xfId="0" applyFont="1" applyFill="1" applyBorder="1" applyAlignment="1" applyProtection="1">
      <alignment horizontal="left" wrapText="1"/>
      <protection hidden="1"/>
    </xf>
    <xf numFmtId="0" fontId="9" fillId="2" borderId="61" xfId="0" applyFont="1" applyFill="1" applyBorder="1" applyAlignment="1" applyProtection="1">
      <alignment horizontal="left" wrapText="1"/>
      <protection hidden="1"/>
    </xf>
    <xf numFmtId="0" fontId="9" fillId="2" borderId="57" xfId="0" applyFont="1" applyFill="1" applyBorder="1" applyAlignment="1" applyProtection="1">
      <alignment wrapText="1"/>
      <protection hidden="1"/>
    </xf>
    <xf numFmtId="0" fontId="9" fillId="2" borderId="53" xfId="0" applyFont="1" applyFill="1" applyBorder="1" applyAlignment="1" applyProtection="1">
      <alignment wrapText="1"/>
      <protection hidden="1"/>
    </xf>
    <xf numFmtId="0" fontId="9" fillId="2" borderId="57" xfId="0" applyFont="1" applyFill="1" applyBorder="1" applyAlignment="1" applyProtection="1">
      <alignment horizontal="left" wrapText="1"/>
      <protection hidden="1"/>
    </xf>
    <xf numFmtId="0" fontId="9" fillId="2" borderId="53" xfId="0" applyFont="1" applyFill="1" applyBorder="1" applyAlignment="1" applyProtection="1">
      <alignment horizontal="left" wrapText="1"/>
      <protection hidden="1"/>
    </xf>
    <xf numFmtId="4" fontId="9" fillId="2" borderId="53" xfId="0" applyNumberFormat="1"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9" fillId="2" borderId="42" xfId="0" applyFont="1" applyFill="1" applyBorder="1" applyAlignment="1" applyProtection="1">
      <alignment horizontal="left" wrapText="1"/>
      <protection hidden="1"/>
    </xf>
    <xf numFmtId="0" fontId="9" fillId="2" borderId="59" xfId="0" applyFont="1" applyFill="1" applyBorder="1" applyAlignment="1" applyProtection="1">
      <alignment horizontal="left" wrapText="1"/>
      <protection hidden="1"/>
    </xf>
    <xf numFmtId="0" fontId="0" fillId="0" borderId="57" xfId="0" applyBorder="1"/>
    <xf numFmtId="14" fontId="31" fillId="2" borderId="62" xfId="0" applyNumberFormat="1" applyFont="1" applyFill="1" applyBorder="1"/>
    <xf numFmtId="0" fontId="1" fillId="2" borderId="63" xfId="0" applyFont="1" applyFill="1" applyBorder="1"/>
    <xf numFmtId="4" fontId="31" fillId="2" borderId="42" xfId="0" applyNumberFormat="1" applyFont="1" applyFill="1" applyBorder="1"/>
    <xf numFmtId="4" fontId="0" fillId="2" borderId="59" xfId="0" applyNumberFormat="1" applyFill="1" applyBorder="1" applyProtection="1">
      <protection locked="0"/>
    </xf>
    <xf numFmtId="0" fontId="1" fillId="2" borderId="64" xfId="0" applyFont="1" applyFill="1" applyBorder="1"/>
    <xf numFmtId="14" fontId="0" fillId="2" borderId="46" xfId="0" applyNumberFormat="1" applyFill="1" applyBorder="1" applyProtection="1">
      <protection locked="0"/>
    </xf>
    <xf numFmtId="0" fontId="1" fillId="2" borderId="51" xfId="0" applyFont="1" applyFill="1" applyBorder="1"/>
    <xf numFmtId="4" fontId="0" fillId="2" borderId="53" xfId="0" applyNumberFormat="1" applyFill="1" applyBorder="1" applyProtection="1">
      <protection locked="0"/>
    </xf>
    <xf numFmtId="4" fontId="0" fillId="2" borderId="65" xfId="0" applyNumberFormat="1" applyFill="1" applyBorder="1" applyProtection="1">
      <protection locked="0"/>
    </xf>
    <xf numFmtId="0" fontId="1" fillId="2" borderId="66" xfId="0" applyFont="1" applyFill="1" applyBorder="1"/>
    <xf numFmtId="0" fontId="1" fillId="3" borderId="67" xfId="0" applyFont="1" applyFill="1" applyBorder="1"/>
    <xf numFmtId="10" fontId="31" fillId="2" borderId="68" xfId="0" applyNumberFormat="1" applyFont="1" applyFill="1" applyBorder="1"/>
    <xf numFmtId="0" fontId="0" fillId="2" borderId="68" xfId="0" applyFill="1" applyBorder="1"/>
    <xf numFmtId="10" fontId="0" fillId="2" borderId="69" xfId="0" applyNumberFormat="1" applyFill="1" applyBorder="1" applyProtection="1">
      <protection locked="0"/>
    </xf>
    <xf numFmtId="0" fontId="0" fillId="2" borderId="70" xfId="0" applyFill="1" applyBorder="1"/>
    <xf numFmtId="10" fontId="31" fillId="2" borderId="44" xfId="0" applyNumberFormat="1" applyFont="1" applyFill="1" applyBorder="1"/>
    <xf numFmtId="10" fontId="0" fillId="2" borderId="71" xfId="0" applyNumberFormat="1" applyFill="1" applyBorder="1" applyProtection="1">
      <protection locked="0"/>
    </xf>
    <xf numFmtId="0" fontId="1" fillId="2" borderId="72" xfId="0" applyFont="1" applyFill="1" applyBorder="1"/>
    <xf numFmtId="0" fontId="9" fillId="2" borderId="73" xfId="0" applyFont="1" applyFill="1" applyBorder="1" applyAlignment="1" applyProtection="1">
      <alignment wrapText="1"/>
      <protection hidden="1"/>
    </xf>
    <xf numFmtId="0" fontId="9" fillId="2" borderId="61" xfId="0" applyFont="1" applyFill="1" applyBorder="1" applyAlignment="1" applyProtection="1">
      <alignment wrapText="1"/>
      <protection hidden="1"/>
    </xf>
    <xf numFmtId="0" fontId="9" fillId="2" borderId="74" xfId="0" applyFont="1" applyFill="1" applyBorder="1" applyAlignment="1" applyProtection="1">
      <alignment wrapText="1"/>
      <protection hidden="1"/>
    </xf>
    <xf numFmtId="4" fontId="0" fillId="0" borderId="0" xfId="0" applyNumberFormat="1" applyFill="1" applyBorder="1" applyAlignment="1">
      <alignment horizontal="center"/>
    </xf>
    <xf numFmtId="10" fontId="0" fillId="2" borderId="45" xfId="0" applyNumberFormat="1" applyFill="1" applyBorder="1" applyAlignment="1" applyProtection="1">
      <protection locked="0"/>
    </xf>
    <xf numFmtId="4" fontId="0" fillId="2" borderId="45" xfId="0" applyNumberFormat="1" applyFill="1" applyBorder="1" applyAlignment="1" applyProtection="1">
      <protection locked="0"/>
    </xf>
    <xf numFmtId="165" fontId="35" fillId="2" borderId="11" xfId="1" applyNumberFormat="1" applyFont="1" applyFill="1" applyBorder="1" applyAlignment="1" applyProtection="1">
      <alignment horizontal="center" vertical="center"/>
      <protection hidden="1"/>
    </xf>
    <xf numFmtId="0" fontId="25" fillId="2" borderId="76" xfId="1" applyFont="1" applyFill="1" applyBorder="1" applyProtection="1">
      <protection hidden="1"/>
    </xf>
    <xf numFmtId="14" fontId="26" fillId="2" borderId="77" xfId="1" applyNumberFormat="1" applyFont="1" applyFill="1" applyBorder="1" applyAlignment="1" applyProtection="1">
      <alignment horizontal="center"/>
      <protection hidden="1"/>
    </xf>
    <xf numFmtId="0" fontId="26" fillId="2" borderId="77" xfId="1" applyNumberFormat="1" applyFont="1" applyFill="1" applyBorder="1" applyAlignment="1" applyProtection="1">
      <alignment horizontal="center"/>
      <protection hidden="1"/>
    </xf>
    <xf numFmtId="165" fontId="25" fillId="2" borderId="77" xfId="1" applyNumberFormat="1" applyFont="1" applyFill="1" applyBorder="1" applyAlignment="1" applyProtection="1">
      <alignment horizontal="center" vertical="center"/>
      <protection hidden="1"/>
    </xf>
    <xf numFmtId="165" fontId="25" fillId="2" borderId="77" xfId="1" applyNumberFormat="1" applyFont="1" applyFill="1" applyBorder="1" applyAlignment="1" applyProtection="1">
      <alignment horizontal="center" vertical="center" wrapText="1"/>
      <protection hidden="1"/>
    </xf>
    <xf numFmtId="167" fontId="25" fillId="2" borderId="77" xfId="1" applyNumberFormat="1" applyFont="1" applyFill="1" applyBorder="1" applyAlignment="1" applyProtection="1">
      <alignment horizontal="center" vertical="center" wrapText="1"/>
      <protection hidden="1"/>
    </xf>
    <xf numFmtId="0" fontId="27" fillId="2" borderId="11" xfId="1" applyFont="1" applyFill="1" applyBorder="1" applyAlignment="1" applyProtection="1">
      <alignment horizontal="center"/>
      <protection hidden="1"/>
    </xf>
    <xf numFmtId="14" fontId="28" fillId="2" borderId="11" xfId="1" applyNumberFormat="1" applyFont="1" applyFill="1" applyBorder="1" applyAlignment="1" applyProtection="1">
      <alignment horizontal="center"/>
      <protection hidden="1"/>
    </xf>
    <xf numFmtId="1" fontId="28" fillId="2" borderId="11" xfId="1" applyNumberFormat="1" applyFont="1" applyFill="1" applyBorder="1" applyAlignment="1" applyProtection="1">
      <alignment horizontal="center" vertical="center"/>
      <protection hidden="1"/>
    </xf>
    <xf numFmtId="165" fontId="36" fillId="2" borderId="11" xfId="1" applyNumberFormat="1" applyFont="1" applyFill="1" applyBorder="1" applyAlignment="1" applyProtection="1">
      <alignment horizontal="center" vertical="center" wrapText="1"/>
      <protection hidden="1"/>
    </xf>
    <xf numFmtId="0" fontId="0" fillId="0" borderId="0" xfId="0" applyFont="1"/>
    <xf numFmtId="0" fontId="38" fillId="0" borderId="0" xfId="1" applyFont="1" applyFill="1" applyBorder="1" applyAlignment="1" applyProtection="1">
      <alignment vertical="center" wrapText="1"/>
      <protection locked="0" hidden="1"/>
    </xf>
    <xf numFmtId="0" fontId="38" fillId="0" borderId="0" xfId="1" applyFont="1" applyFill="1" applyBorder="1" applyAlignment="1" applyProtection="1">
      <alignment horizontal="left" vertical="center"/>
      <protection locked="0" hidden="1"/>
    </xf>
    <xf numFmtId="0" fontId="37" fillId="0" borderId="0" xfId="1" applyFont="1" applyFill="1" applyBorder="1" applyAlignment="1" applyProtection="1">
      <alignment vertical="center"/>
      <protection locked="0" hidden="1"/>
    </xf>
    <xf numFmtId="0" fontId="38" fillId="0" borderId="0" xfId="1" applyFont="1" applyFill="1" applyBorder="1" applyProtection="1">
      <protection hidden="1"/>
    </xf>
    <xf numFmtId="0" fontId="38" fillId="0" borderId="0" xfId="1" applyFont="1" applyProtection="1">
      <protection hidden="1"/>
    </xf>
    <xf numFmtId="0" fontId="37" fillId="0" borderId="12" xfId="1" applyFont="1" applyBorder="1" applyAlignment="1" applyProtection="1">
      <alignment horizontal="center" wrapText="1"/>
      <protection hidden="1"/>
    </xf>
    <xf numFmtId="0" fontId="37" fillId="0" borderId="0" xfId="1" applyFont="1" applyBorder="1" applyAlignment="1" applyProtection="1">
      <alignment horizontal="center" wrapText="1"/>
      <protection hidden="1"/>
    </xf>
    <xf numFmtId="165" fontId="40" fillId="2" borderId="78" xfId="1" applyNumberFormat="1" applyFont="1" applyFill="1" applyBorder="1" applyAlignment="1" applyProtection="1">
      <alignment horizontal="center" vertical="center" wrapText="1"/>
      <protection hidden="1"/>
    </xf>
    <xf numFmtId="0" fontId="9" fillId="0" borderId="0" xfId="0" applyFont="1" applyFill="1" applyAlignment="1" applyProtection="1">
      <alignment horizontal="left" wrapText="1"/>
      <protection hidden="1"/>
    </xf>
    <xf numFmtId="0" fontId="0" fillId="0" borderId="0" xfId="0" applyFill="1"/>
    <xf numFmtId="4" fontId="9" fillId="2" borderId="0" xfId="0" applyNumberFormat="1" applyFont="1" applyFill="1" applyAlignment="1" applyProtection="1">
      <alignment horizontal="left" wrapText="1"/>
      <protection hidden="1"/>
    </xf>
    <xf numFmtId="0" fontId="9" fillId="2" borderId="79" xfId="0" applyFont="1" applyFill="1" applyBorder="1" applyAlignment="1" applyProtection="1">
      <alignment horizontal="left" wrapText="1"/>
      <protection hidden="1"/>
    </xf>
    <xf numFmtId="0" fontId="9" fillId="2" borderId="36" xfId="0" applyFont="1" applyFill="1" applyBorder="1" applyAlignment="1" applyProtection="1">
      <alignment horizontal="left" wrapText="1"/>
      <protection hidden="1"/>
    </xf>
    <xf numFmtId="0" fontId="9" fillId="2" borderId="80" xfId="0" applyFont="1" applyFill="1" applyBorder="1" applyAlignment="1" applyProtection="1">
      <alignment horizontal="left" wrapText="1"/>
      <protection hidden="1"/>
    </xf>
    <xf numFmtId="0" fontId="9" fillId="2" borderId="81" xfId="0" applyFont="1" applyFill="1" applyBorder="1" applyAlignment="1" applyProtection="1">
      <alignment horizontal="left" wrapText="1"/>
      <protection hidden="1"/>
    </xf>
    <xf numFmtId="0" fontId="9" fillId="2" borderId="82" xfId="0" applyFont="1" applyFill="1" applyBorder="1" applyAlignment="1" applyProtection="1">
      <alignment horizontal="left" wrapText="1"/>
      <protection hidden="1"/>
    </xf>
    <xf numFmtId="0" fontId="9" fillId="2" borderId="79" xfId="0" applyFont="1" applyFill="1" applyBorder="1" applyAlignment="1" applyProtection="1">
      <alignment wrapText="1"/>
      <protection hidden="1"/>
    </xf>
    <xf numFmtId="0" fontId="9" fillId="2" borderId="83" xfId="0" applyFont="1" applyFill="1" applyBorder="1" applyAlignment="1" applyProtection="1">
      <alignment wrapText="1"/>
      <protection hidden="1"/>
    </xf>
    <xf numFmtId="0" fontId="9" fillId="2" borderId="83" xfId="0" applyFont="1" applyFill="1" applyBorder="1" applyAlignment="1" applyProtection="1">
      <alignment horizontal="left" wrapText="1"/>
      <protection hidden="1"/>
    </xf>
    <xf numFmtId="4" fontId="9" fillId="2" borderId="83" xfId="0" applyNumberFormat="1" applyFont="1" applyFill="1" applyBorder="1" applyAlignment="1" applyProtection="1">
      <alignment wrapText="1"/>
      <protection hidden="1"/>
    </xf>
    <xf numFmtId="0" fontId="2" fillId="0" borderId="84" xfId="0" applyFont="1" applyBorder="1" applyAlignment="1">
      <alignment horizontal="center" vertical="center" wrapText="1"/>
    </xf>
    <xf numFmtId="0" fontId="19" fillId="0" borderId="0" xfId="1" applyFont="1" applyAlignment="1" applyProtection="1">
      <alignment vertical="center"/>
      <protection hidden="1"/>
    </xf>
    <xf numFmtId="0" fontId="33" fillId="2" borderId="0" xfId="0" applyFont="1" applyFill="1" applyAlignment="1">
      <alignment horizontal="center"/>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0" fillId="0" borderId="0" xfId="0" applyBorder="1"/>
    <xf numFmtId="0" fontId="10" fillId="5" borderId="21" xfId="0" applyFont="1" applyFill="1" applyBorder="1" applyAlignment="1" applyProtection="1">
      <alignment horizontal="left" wrapText="1"/>
      <protection hidden="1"/>
    </xf>
    <xf numFmtId="4" fontId="41" fillId="0" borderId="0" xfId="0" applyNumberFormat="1" applyFont="1" applyBorder="1" applyAlignment="1">
      <alignment horizontal="center"/>
    </xf>
    <xf numFmtId="10" fontId="31" fillId="0" borderId="0" xfId="0" applyNumberFormat="1" applyFont="1" applyFill="1"/>
    <xf numFmtId="4" fontId="31" fillId="0" borderId="0" xfId="0" applyNumberFormat="1" applyFont="1" applyFill="1"/>
    <xf numFmtId="0" fontId="0" fillId="2" borderId="58" xfId="0" applyFont="1" applyFill="1" applyBorder="1" applyAlignment="1"/>
    <xf numFmtId="0" fontId="0" fillId="2" borderId="42" xfId="0" applyFont="1" applyFill="1" applyBorder="1" applyAlignment="1"/>
    <xf numFmtId="0" fontId="10" fillId="5" borderId="20" xfId="0" applyFont="1" applyFill="1" applyBorder="1" applyAlignment="1" applyProtection="1">
      <alignment vertical="center" wrapText="1"/>
      <protection hidden="1"/>
    </xf>
    <xf numFmtId="0" fontId="31" fillId="0" borderId="0" xfId="0" applyFont="1" applyFill="1"/>
    <xf numFmtId="0" fontId="10" fillId="5" borderId="77" xfId="0" applyFont="1" applyFill="1" applyBorder="1" applyAlignment="1" applyProtection="1">
      <alignment vertical="center" wrapText="1"/>
      <protection hidden="1"/>
    </xf>
    <xf numFmtId="0" fontId="0" fillId="5" borderId="13" xfId="0" applyFill="1" applyBorder="1" applyAlignment="1"/>
    <xf numFmtId="0" fontId="0" fillId="5" borderId="85" xfId="0" applyFill="1" applyBorder="1" applyAlignment="1"/>
    <xf numFmtId="0" fontId="0" fillId="2" borderId="85" xfId="0" applyFill="1" applyBorder="1" applyAlignment="1"/>
    <xf numFmtId="0" fontId="10" fillId="5" borderId="86" xfId="0" applyFont="1" applyFill="1" applyBorder="1" applyAlignment="1" applyProtection="1">
      <alignment horizontal="center" vertical="center" wrapText="1"/>
      <protection hidden="1"/>
    </xf>
    <xf numFmtId="0" fontId="10" fillId="5" borderId="27"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10" fillId="5" borderId="87" xfId="0" applyFont="1" applyFill="1" applyBorder="1" applyAlignment="1" applyProtection="1">
      <alignment horizontal="center" vertical="center" wrapText="1"/>
      <protection hidden="1"/>
    </xf>
    <xf numFmtId="0" fontId="10" fillId="5" borderId="88" xfId="0" applyFont="1" applyFill="1" applyBorder="1" applyAlignment="1" applyProtection="1">
      <alignment horizontal="center" vertical="center" wrapText="1"/>
      <protection hidden="1"/>
    </xf>
    <xf numFmtId="0" fontId="10" fillId="5" borderId="89" xfId="0" applyFont="1" applyFill="1" applyBorder="1" applyAlignment="1" applyProtection="1">
      <alignment horizontal="center" vertical="center" wrapText="1"/>
      <protection hidden="1"/>
    </xf>
    <xf numFmtId="0" fontId="10" fillId="5" borderId="20" xfId="0" applyFont="1" applyFill="1" applyBorder="1" applyAlignment="1" applyProtection="1">
      <alignment horizontal="center" vertical="center" wrapText="1"/>
      <protection hidden="1"/>
    </xf>
    <xf numFmtId="0" fontId="10" fillId="5" borderId="21" xfId="0" applyFont="1" applyFill="1" applyBorder="1" applyAlignment="1" applyProtection="1">
      <alignment horizontal="center" vertical="center" wrapText="1"/>
      <protection hidden="1"/>
    </xf>
    <xf numFmtId="0" fontId="10" fillId="5" borderId="90" xfId="0" applyFont="1" applyFill="1" applyBorder="1" applyAlignment="1" applyProtection="1">
      <alignment horizontal="center" vertical="center" wrapText="1"/>
      <protection hidden="1"/>
    </xf>
    <xf numFmtId="0" fontId="41" fillId="0" borderId="0" xfId="0" applyFont="1"/>
    <xf numFmtId="4" fontId="41" fillId="0" borderId="0" xfId="0" applyNumberFormat="1" applyFont="1"/>
    <xf numFmtId="0" fontId="41" fillId="0" borderId="0" xfId="0" applyNumberFormat="1" applyFont="1"/>
    <xf numFmtId="4" fontId="0" fillId="2" borderId="0" xfId="0" applyNumberFormat="1" applyFill="1" applyBorder="1" applyAlignment="1">
      <alignment horizontal="center"/>
    </xf>
    <xf numFmtId="10" fontId="31" fillId="2" borderId="0" xfId="0" applyNumberFormat="1" applyFont="1" applyFill="1" applyBorder="1"/>
    <xf numFmtId="10" fontId="31" fillId="2" borderId="24" xfId="0" applyNumberFormat="1" applyFont="1" applyFill="1" applyBorder="1"/>
    <xf numFmtId="0" fontId="0" fillId="2" borderId="0" xfId="0" applyFill="1" applyBorder="1" applyAlignment="1">
      <alignment horizontal="center"/>
    </xf>
    <xf numFmtId="14" fontId="0" fillId="2" borderId="0" xfId="0" applyNumberFormat="1" applyFill="1" applyBorder="1" applyAlignment="1">
      <alignment horizontal="center"/>
    </xf>
    <xf numFmtId="168" fontId="0" fillId="2" borderId="0" xfId="0" applyNumberFormat="1" applyFill="1" applyBorder="1" applyAlignment="1">
      <alignment horizontal="center"/>
    </xf>
    <xf numFmtId="0" fontId="42" fillId="2" borderId="1" xfId="0" applyFont="1" applyFill="1" applyBorder="1" applyAlignment="1">
      <alignment horizontal="left" vertical="center" wrapText="1"/>
    </xf>
    <xf numFmtId="0" fontId="31" fillId="2" borderId="0" xfId="0" applyFont="1" applyFill="1"/>
    <xf numFmtId="0" fontId="42" fillId="2" borderId="6"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39" xfId="0" applyFont="1" applyFill="1" applyBorder="1" applyAlignment="1">
      <alignment horizontal="justify" vertical="center" wrapText="1"/>
    </xf>
    <xf numFmtId="4" fontId="31" fillId="2" borderId="0" xfId="0" applyNumberFormat="1" applyFont="1" applyFill="1"/>
    <xf numFmtId="0" fontId="24" fillId="4" borderId="85" xfId="1" applyFont="1" applyFill="1" applyBorder="1" applyAlignment="1" applyProtection="1">
      <alignment horizontal="center" vertical="center" wrapText="1"/>
      <protection hidden="1"/>
    </xf>
    <xf numFmtId="0" fontId="24" fillId="4" borderId="14" xfId="1" applyFont="1" applyFill="1" applyBorder="1" applyAlignment="1" applyProtection="1">
      <alignment horizontal="center" vertical="center" wrapText="1"/>
      <protection hidden="1"/>
    </xf>
    <xf numFmtId="165" fontId="44" fillId="2" borderId="11" xfId="1" applyNumberFormat="1" applyFont="1" applyFill="1" applyBorder="1" applyAlignment="1" applyProtection="1">
      <alignment horizontal="center" vertical="center" wrapText="1"/>
      <protection hidden="1"/>
    </xf>
    <xf numFmtId="165" fontId="44" fillId="2" borderId="77" xfId="1" applyNumberFormat="1" applyFont="1" applyFill="1" applyBorder="1" applyAlignment="1" applyProtection="1">
      <alignment horizontal="center" vertical="center" wrapText="1"/>
      <protection hidden="1"/>
    </xf>
    <xf numFmtId="0" fontId="45" fillId="2" borderId="0" xfId="1" applyFont="1" applyFill="1" applyBorder="1" applyAlignment="1" applyProtection="1">
      <alignment horizontal="left"/>
      <protection locked="0" hidden="1"/>
    </xf>
    <xf numFmtId="0" fontId="1" fillId="2" borderId="73" xfId="0" applyFont="1" applyFill="1" applyBorder="1"/>
    <xf numFmtId="0" fontId="1" fillId="2" borderId="57" xfId="0" applyFont="1" applyFill="1" applyBorder="1"/>
    <xf numFmtId="0" fontId="1" fillId="2" borderId="58" xfId="0" applyFont="1" applyFill="1" applyBorder="1"/>
    <xf numFmtId="0" fontId="0" fillId="2" borderId="91" xfId="0" applyFont="1" applyFill="1" applyBorder="1"/>
    <xf numFmtId="14" fontId="31" fillId="2" borderId="92" xfId="0" applyNumberFormat="1" applyFont="1" applyFill="1" applyBorder="1"/>
    <xf numFmtId="0" fontId="0" fillId="2" borderId="93" xfId="0" applyFill="1" applyBorder="1"/>
    <xf numFmtId="0" fontId="0" fillId="2" borderId="94" xfId="0" applyFont="1" applyFill="1" applyBorder="1"/>
    <xf numFmtId="0" fontId="0" fillId="2" borderId="95" xfId="0" applyFont="1" applyFill="1" applyBorder="1"/>
    <xf numFmtId="0" fontId="0" fillId="2" borderId="96" xfId="0" applyFont="1" applyFill="1" applyBorder="1"/>
    <xf numFmtId="0" fontId="0" fillId="2" borderId="97" xfId="0" applyFont="1" applyFill="1" applyBorder="1"/>
    <xf numFmtId="0" fontId="0" fillId="2" borderId="98" xfId="0" applyFont="1" applyFill="1" applyBorder="1"/>
    <xf numFmtId="0" fontId="0" fillId="2" borderId="99" xfId="0" applyFont="1" applyFill="1" applyBorder="1"/>
    <xf numFmtId="0" fontId="0" fillId="2" borderId="100" xfId="0" applyFont="1" applyFill="1" applyBorder="1" applyAlignment="1">
      <alignment wrapText="1"/>
    </xf>
    <xf numFmtId="0" fontId="0" fillId="2" borderId="101" xfId="0" applyFont="1" applyFill="1" applyBorder="1" applyAlignment="1">
      <alignment wrapText="1"/>
    </xf>
    <xf numFmtId="10" fontId="31" fillId="2" borderId="102" xfId="0" applyNumberFormat="1" applyFont="1" applyFill="1" applyBorder="1"/>
    <xf numFmtId="14" fontId="0" fillId="2" borderId="103" xfId="0" applyNumberFormat="1" applyFill="1" applyBorder="1" applyProtection="1">
      <protection locked="0"/>
    </xf>
    <xf numFmtId="4" fontId="0" fillId="6" borderId="77" xfId="0" applyNumberFormat="1" applyFill="1" applyBorder="1" applyProtection="1">
      <protection locked="0"/>
    </xf>
    <xf numFmtId="4" fontId="0" fillId="6" borderId="104" xfId="0" applyNumberFormat="1" applyFill="1" applyBorder="1" applyProtection="1">
      <protection locked="0"/>
    </xf>
    <xf numFmtId="10" fontId="0" fillId="2" borderId="105" xfId="0" applyNumberFormat="1" applyFill="1" applyBorder="1" applyProtection="1">
      <protection locked="0"/>
    </xf>
    <xf numFmtId="4" fontId="0" fillId="2" borderId="106" xfId="0" applyNumberFormat="1" applyFill="1" applyBorder="1" applyProtection="1">
      <protection locked="0"/>
    </xf>
    <xf numFmtId="0" fontId="0" fillId="6" borderId="77" xfId="0" applyFill="1" applyBorder="1" applyProtection="1">
      <protection locked="0"/>
    </xf>
    <xf numFmtId="0" fontId="0" fillId="2" borderId="109" xfId="0" applyFont="1" applyFill="1" applyBorder="1"/>
    <xf numFmtId="0" fontId="0" fillId="2" borderId="85" xfId="0" applyFill="1" applyBorder="1"/>
    <xf numFmtId="0" fontId="41" fillId="7" borderId="11" xfId="0" applyFont="1" applyFill="1" applyBorder="1" applyAlignment="1">
      <alignment horizontal="center" vertical="center" wrapText="1"/>
    </xf>
    <xf numFmtId="0" fontId="47" fillId="7" borderId="11" xfId="0" applyFont="1" applyFill="1" applyBorder="1" applyAlignment="1">
      <alignment horizontal="center" vertical="center" wrapText="1"/>
    </xf>
    <xf numFmtId="14" fontId="41" fillId="7" borderId="11" xfId="0" applyNumberFormat="1" applyFont="1" applyFill="1" applyBorder="1" applyAlignment="1">
      <alignment horizontal="center" vertical="center" wrapText="1"/>
    </xf>
    <xf numFmtId="14" fontId="47" fillId="7" borderId="11" xfId="0" applyNumberFormat="1" applyFont="1" applyFill="1" applyBorder="1" applyAlignment="1">
      <alignment horizontal="center" vertical="center" wrapText="1"/>
    </xf>
    <xf numFmtId="0" fontId="41" fillId="7" borderId="11" xfId="0" applyFont="1" applyFill="1" applyBorder="1" applyAlignment="1">
      <alignment horizontal="left" vertical="center" wrapText="1"/>
    </xf>
    <xf numFmtId="0" fontId="41" fillId="0" borderId="11"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41" fillId="0" borderId="11" xfId="0" applyFont="1" applyBorder="1" applyAlignment="1">
      <alignment horizontal="center" vertical="center" wrapText="1"/>
    </xf>
    <xf numFmtId="0" fontId="47" fillId="0" borderId="11"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0" borderId="11" xfId="0" applyFont="1" applyFill="1" applyBorder="1" applyAlignment="1">
      <alignment horizontal="center" vertical="top" wrapText="1"/>
    </xf>
    <xf numFmtId="0" fontId="46" fillId="0" borderId="11" xfId="0" applyFont="1" applyFill="1" applyBorder="1" applyAlignment="1">
      <alignment horizontal="left" vertical="center" wrapText="1"/>
    </xf>
    <xf numFmtId="0" fontId="51" fillId="2" borderId="0" xfId="0" applyFont="1" applyFill="1"/>
    <xf numFmtId="14" fontId="31" fillId="2" borderId="0" xfId="0" applyNumberFormat="1" applyFont="1" applyFill="1"/>
    <xf numFmtId="0" fontId="31" fillId="2" borderId="98" xfId="0" applyFont="1" applyFill="1" applyBorder="1"/>
    <xf numFmtId="14" fontId="31" fillId="2" borderId="0" xfId="0" applyNumberFormat="1" applyFont="1" applyFill="1" applyBorder="1"/>
    <xf numFmtId="0" fontId="0" fillId="8" borderId="0" xfId="0" applyFill="1" applyBorder="1"/>
    <xf numFmtId="164" fontId="0" fillId="8" borderId="53" xfId="0" applyNumberFormat="1" applyFill="1" applyBorder="1"/>
    <xf numFmtId="164" fontId="31" fillId="2" borderId="53" xfId="0" applyNumberFormat="1" applyFont="1" applyFill="1" applyBorder="1"/>
    <xf numFmtId="0" fontId="0" fillId="2" borderId="0" xfId="0" applyFill="1" applyAlignment="1">
      <alignment horizontal="center" wrapText="1"/>
    </xf>
    <xf numFmtId="0" fontId="0" fillId="0" borderId="12" xfId="0" applyFont="1" applyFill="1" applyBorder="1" applyAlignment="1" applyProtection="1">
      <alignment horizontal="left" wrapText="1"/>
      <protection hidden="1"/>
    </xf>
    <xf numFmtId="0" fontId="0" fillId="0" borderId="0" xfId="0" applyFill="1" applyBorder="1" applyAlignment="1">
      <alignment horizontal="center"/>
    </xf>
    <xf numFmtId="0" fontId="0" fillId="2" borderId="44" xfId="0" applyFill="1" applyBorder="1" applyProtection="1"/>
    <xf numFmtId="0" fontId="41" fillId="2" borderId="0" xfId="0" applyFont="1" applyFill="1" applyBorder="1" applyProtection="1"/>
    <xf numFmtId="14" fontId="41" fillId="2" borderId="77" xfId="0" applyNumberFormat="1" applyFont="1" applyFill="1" applyBorder="1" applyProtection="1"/>
    <xf numFmtId="0" fontId="41" fillId="2" borderId="77" xfId="0" applyFont="1" applyFill="1" applyBorder="1" applyProtection="1"/>
    <xf numFmtId="164" fontId="41" fillId="2" borderId="77" xfId="0" applyNumberFormat="1" applyFont="1" applyFill="1" applyBorder="1" applyProtection="1"/>
    <xf numFmtId="0" fontId="31" fillId="2" borderId="24" xfId="0" applyFont="1" applyFill="1" applyBorder="1" applyProtection="1"/>
    <xf numFmtId="0" fontId="0" fillId="2" borderId="24" xfId="0" applyFill="1" applyBorder="1" applyProtection="1"/>
    <xf numFmtId="14" fontId="0" fillId="2" borderId="107" xfId="0" applyNumberFormat="1" applyFill="1" applyBorder="1" applyProtection="1"/>
    <xf numFmtId="0" fontId="0" fillId="2" borderId="102" xfId="0" applyFill="1" applyBorder="1" applyProtection="1"/>
    <xf numFmtId="0" fontId="0" fillId="2" borderId="85" xfId="0" applyFill="1" applyBorder="1" applyProtection="1"/>
    <xf numFmtId="10" fontId="0" fillId="2" borderId="11" xfId="0" applyNumberFormat="1" applyFill="1" applyBorder="1" applyProtection="1"/>
    <xf numFmtId="10" fontId="31" fillId="2" borderId="11" xfId="0" applyNumberFormat="1" applyFont="1" applyFill="1" applyBorder="1" applyProtection="1"/>
    <xf numFmtId="10" fontId="0" fillId="2" borderId="108" xfId="0" applyNumberFormat="1" applyFill="1" applyBorder="1" applyProtection="1"/>
    <xf numFmtId="4" fontId="0" fillId="2" borderId="11" xfId="0" applyNumberFormat="1" applyFill="1" applyBorder="1" applyAlignment="1" applyProtection="1">
      <alignment horizontal="center"/>
    </xf>
    <xf numFmtId="0" fontId="0" fillId="5" borderId="85" xfId="0" applyFill="1" applyBorder="1" applyAlignment="1">
      <alignment horizontal="right"/>
    </xf>
    <xf numFmtId="10" fontId="0" fillId="0" borderId="0" xfId="0" applyNumberFormat="1" applyBorder="1" applyAlignment="1">
      <alignment horizontal="center"/>
    </xf>
    <xf numFmtId="0" fontId="2" fillId="0" borderId="6" xfId="0" applyFont="1" applyBorder="1" applyAlignment="1">
      <alignment horizontal="justify" vertical="center" wrapText="1"/>
    </xf>
    <xf numFmtId="0" fontId="52" fillId="2" borderId="0"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2" fillId="2" borderId="1"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4" fontId="0" fillId="0" borderId="37" xfId="0" applyNumberFormat="1" applyFill="1" applyBorder="1" applyAlignment="1" applyProtection="1">
      <alignment horizontal="center"/>
      <protection locked="0"/>
    </xf>
    <xf numFmtId="4" fontId="0" fillId="0" borderId="4" xfId="0" applyNumberFormat="1" applyFill="1" applyBorder="1" applyAlignment="1" applyProtection="1">
      <alignment horizontal="center"/>
      <protection locked="0"/>
    </xf>
    <xf numFmtId="0" fontId="4" fillId="0" borderId="3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 fontId="0" fillId="0" borderId="10" xfId="0" applyNumberFormat="1" applyFill="1" applyBorder="1" applyAlignment="1" applyProtection="1">
      <alignment horizontal="center"/>
      <protection locked="0"/>
    </xf>
    <xf numFmtId="4" fontId="0" fillId="0" borderId="7" xfId="0" applyNumberFormat="1" applyFill="1" applyBorder="1" applyAlignment="1" applyProtection="1">
      <alignment horizontal="center"/>
      <protection locked="0"/>
    </xf>
    <xf numFmtId="0" fontId="2" fillId="0" borderId="3" xfId="0" applyFont="1" applyBorder="1" applyAlignment="1">
      <alignment vertical="center" wrapText="1"/>
    </xf>
    <xf numFmtId="0" fontId="2" fillId="0" borderId="6" xfId="0" applyFont="1" applyBorder="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9" fontId="2" fillId="0" borderId="8" xfId="0" applyNumberFormat="1" applyFont="1" applyBorder="1" applyAlignment="1">
      <alignment horizontal="center" vertical="center" wrapText="1"/>
    </xf>
    <xf numFmtId="0" fontId="43" fillId="2" borderId="8"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0" fontId="2" fillId="0" borderId="2" xfId="0" applyFont="1" applyBorder="1" applyAlignment="1">
      <alignment horizontal="left"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68" fontId="2" fillId="0" borderId="1"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0" fontId="2" fillId="0" borderId="38"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0" fillId="2" borderId="43" xfId="0" applyFill="1" applyBorder="1" applyAlignment="1">
      <alignment horizontal="left"/>
    </xf>
    <xf numFmtId="0" fontId="0" fillId="2" borderId="44" xfId="0" applyFill="1" applyBorder="1" applyAlignment="1">
      <alignment horizontal="left"/>
    </xf>
    <xf numFmtId="0" fontId="0" fillId="2" borderId="46" xfId="0" applyFill="1" applyBorder="1" applyAlignment="1">
      <alignment horizontal="left"/>
    </xf>
    <xf numFmtId="0" fontId="0" fillId="2" borderId="62" xfId="0" applyFill="1" applyBorder="1" applyAlignment="1">
      <alignment horizontal="left"/>
    </xf>
    <xf numFmtId="0" fontId="33" fillId="2" borderId="0" xfId="0" applyFont="1" applyFill="1" applyAlignment="1">
      <alignment horizontal="center"/>
    </xf>
    <xf numFmtId="0" fontId="32" fillId="2" borderId="0" xfId="0" applyFont="1" applyFill="1" applyBorder="1" applyAlignment="1">
      <alignment horizontal="left"/>
    </xf>
    <xf numFmtId="0" fontId="0" fillId="3" borderId="21" xfId="0" applyFill="1" applyBorder="1" applyAlignment="1">
      <alignment horizontal="left"/>
    </xf>
    <xf numFmtId="0" fontId="1" fillId="3" borderId="11" xfId="0" applyFont="1" applyFill="1" applyBorder="1" applyAlignment="1">
      <alignment horizontal="left" wrapText="1"/>
    </xf>
    <xf numFmtId="0" fontId="0" fillId="3" borderId="20" xfId="0" applyFill="1" applyBorder="1" applyAlignment="1">
      <alignment horizontal="left"/>
    </xf>
    <xf numFmtId="0" fontId="0" fillId="2" borderId="75" xfId="0" applyFill="1" applyBorder="1" applyAlignment="1">
      <alignment horizontal="left"/>
    </xf>
    <xf numFmtId="0" fontId="0" fillId="2" borderId="20" xfId="0" applyFill="1" applyBorder="1" applyAlignment="1">
      <alignment horizontal="center" vertical="center"/>
    </xf>
    <xf numFmtId="0" fontId="0" fillId="2" borderId="21" xfId="0" applyFill="1" applyBorder="1" applyAlignment="1">
      <alignment horizontal="center" vertical="center"/>
    </xf>
    <xf numFmtId="4" fontId="0" fillId="2" borderId="13" xfId="0" applyNumberFormat="1" applyFill="1" applyBorder="1" applyAlignment="1" applyProtection="1">
      <alignment horizontal="center"/>
    </xf>
    <xf numFmtId="4" fontId="0" fillId="2" borderId="14" xfId="0" applyNumberFormat="1" applyFill="1" applyBorder="1" applyAlignment="1" applyProtection="1">
      <alignment horizontal="center"/>
    </xf>
    <xf numFmtId="4" fontId="0" fillId="2" borderId="11" xfId="0" applyNumberFormat="1" applyFill="1" applyBorder="1" applyAlignment="1" applyProtection="1">
      <alignment horizontal="center"/>
    </xf>
    <xf numFmtId="0" fontId="10" fillId="5" borderId="20" xfId="0" applyFont="1" applyFill="1" applyBorder="1" applyAlignment="1" applyProtection="1">
      <alignment horizontal="center" vertical="center" wrapText="1"/>
      <protection hidden="1"/>
    </xf>
    <xf numFmtId="0" fontId="10" fillId="5" borderId="21"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0" fontId="10" fillId="5" borderId="85"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wrapText="1"/>
      <protection hidden="1"/>
    </xf>
    <xf numFmtId="0" fontId="9" fillId="2" borderId="14" xfId="0" applyFont="1" applyFill="1" applyBorder="1" applyAlignment="1" applyProtection="1">
      <alignment horizontal="center" wrapText="1"/>
      <protection hidden="1"/>
    </xf>
    <xf numFmtId="0" fontId="0" fillId="2" borderId="13" xfId="0" applyFill="1" applyBorder="1" applyAlignment="1">
      <alignment horizontal="center"/>
    </xf>
    <xf numFmtId="0" fontId="0" fillId="2" borderId="14" xfId="0" applyFill="1" applyBorder="1" applyAlignment="1">
      <alignment horizontal="center"/>
    </xf>
    <xf numFmtId="0" fontId="0" fillId="5" borderId="13" xfId="0" applyFill="1" applyBorder="1" applyAlignment="1">
      <alignment horizontal="left"/>
    </xf>
    <xf numFmtId="0" fontId="0" fillId="5" borderId="85" xfId="0" applyFill="1" applyBorder="1" applyAlignment="1">
      <alignment horizontal="left"/>
    </xf>
    <xf numFmtId="0" fontId="1" fillId="5" borderId="11" xfId="0" applyFont="1" applyFill="1" applyBorder="1" applyAlignment="1">
      <alignment horizontal="left" wrapText="1"/>
    </xf>
    <xf numFmtId="0" fontId="41" fillId="2" borderId="11" xfId="0" applyFont="1" applyFill="1" applyBorder="1" applyAlignment="1">
      <alignment horizontal="left"/>
    </xf>
    <xf numFmtId="10" fontId="0" fillId="2" borderId="11" xfId="0" applyNumberFormat="1" applyFill="1" applyBorder="1" applyAlignment="1" applyProtection="1">
      <alignment horizontal="center"/>
    </xf>
    <xf numFmtId="0" fontId="0" fillId="2" borderId="11" xfId="0" applyFont="1" applyFill="1" applyBorder="1" applyAlignment="1">
      <alignment horizontal="left"/>
    </xf>
    <xf numFmtId="0" fontId="0" fillId="2" borderId="88" xfId="0" applyFill="1" applyBorder="1" applyAlignment="1">
      <alignment horizontal="center" vertical="center" wrapText="1"/>
    </xf>
    <xf numFmtId="0" fontId="0" fillId="2" borderId="89"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87" xfId="0" applyFill="1" applyBorder="1" applyAlignment="1">
      <alignment horizontal="center" vertical="center" wrapText="1"/>
    </xf>
    <xf numFmtId="165" fontId="8" fillId="0" borderId="20" xfId="1" applyNumberFormat="1" applyFont="1" applyFill="1" applyBorder="1" applyAlignment="1" applyProtection="1">
      <alignment horizontal="center" vertical="center" wrapText="1"/>
      <protection locked="0" hidden="1"/>
    </xf>
    <xf numFmtId="0" fontId="8" fillId="0" borderId="21" xfId="1" applyFont="1" applyFill="1" applyBorder="1" applyAlignment="1" applyProtection="1">
      <alignment horizontal="center" vertical="center" wrapText="1"/>
      <protection locked="0"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22" fillId="4" borderId="28" xfId="1" applyFont="1" applyFill="1" applyBorder="1" applyAlignment="1" applyProtection="1">
      <alignment horizontal="center" vertical="center" wrapText="1"/>
      <protection hidden="1"/>
    </xf>
    <xf numFmtId="0" fontId="22" fillId="4" borderId="31" xfId="1" applyFont="1" applyFill="1" applyBorder="1" applyAlignment="1" applyProtection="1">
      <alignment horizontal="center" vertical="center" wrapText="1"/>
      <protection hidden="1"/>
    </xf>
    <xf numFmtId="0" fontId="22" fillId="4" borderId="32" xfId="1" applyFont="1" applyFill="1" applyBorder="1" applyAlignment="1" applyProtection="1">
      <alignment horizontal="center" vertical="center" wrapText="1"/>
      <protection hidden="1"/>
    </xf>
    <xf numFmtId="0" fontId="22" fillId="4" borderId="29" xfId="1" applyFont="1" applyFill="1" applyBorder="1" applyAlignment="1" applyProtection="1">
      <alignment horizontal="center" vertical="center" wrapText="1"/>
      <protection hidden="1"/>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0" fontId="20" fillId="2" borderId="12" xfId="1" applyFont="1" applyFill="1" applyBorder="1" applyAlignment="1" applyProtection="1">
      <alignment horizontal="left" wrapText="1"/>
      <protection hidden="1"/>
    </xf>
    <xf numFmtId="0" fontId="22" fillId="4" borderId="30" xfId="1" applyFont="1" applyFill="1" applyBorder="1" applyAlignment="1" applyProtection="1">
      <alignment horizontal="center" vertical="center" wrapText="1"/>
      <protection hidden="1"/>
    </xf>
    <xf numFmtId="0" fontId="22" fillId="4" borderId="17" xfId="1" applyFont="1" applyFill="1" applyBorder="1" applyAlignment="1" applyProtection="1">
      <alignment horizontal="center" vertical="center" wrapText="1"/>
      <protection hidden="1"/>
    </xf>
    <xf numFmtId="0" fontId="22" fillId="4" borderId="34" xfId="1" applyFont="1" applyFill="1" applyBorder="1" applyAlignment="1" applyProtection="1">
      <alignment horizontal="center" vertical="center" wrapText="1"/>
      <protection hidden="1"/>
    </xf>
    <xf numFmtId="0" fontId="23" fillId="4" borderId="30" xfId="1" applyFont="1" applyFill="1" applyBorder="1" applyAlignment="1" applyProtection="1">
      <alignment horizontal="center" vertical="center" wrapText="1"/>
      <protection hidden="1"/>
    </xf>
    <xf numFmtId="0" fontId="23" fillId="4" borderId="17" xfId="1" applyFont="1" applyFill="1" applyBorder="1" applyAlignment="1" applyProtection="1">
      <alignment horizontal="center" vertical="center" wrapText="1"/>
      <protection hidden="1"/>
    </xf>
    <xf numFmtId="0" fontId="23" fillId="4" borderId="34" xfId="1" applyFont="1" applyFill="1" applyBorder="1" applyAlignment="1" applyProtection="1">
      <alignment horizontal="center" vertical="center" wrapText="1"/>
      <protection hidden="1"/>
    </xf>
    <xf numFmtId="3" fontId="19" fillId="2" borderId="11" xfId="1" applyNumberFormat="1" applyFont="1" applyFill="1" applyBorder="1" applyAlignment="1" applyProtection="1">
      <alignment horizontal="left" vertical="center"/>
      <protection hidden="1"/>
    </xf>
    <xf numFmtId="0" fontId="8" fillId="2" borderId="11" xfId="1" applyFont="1" applyFill="1" applyBorder="1" applyAlignment="1" applyProtection="1">
      <alignment horizontal="left"/>
      <protection hidden="1"/>
    </xf>
    <xf numFmtId="0" fontId="39" fillId="4" borderId="11" xfId="1" applyFont="1" applyFill="1" applyBorder="1" applyAlignment="1" applyProtection="1">
      <alignment horizontal="center" vertical="center" wrapText="1"/>
      <protection hidden="1"/>
    </xf>
    <xf numFmtId="0" fontId="22" fillId="4" borderId="18" xfId="1" applyFont="1" applyFill="1" applyBorder="1" applyAlignment="1" applyProtection="1">
      <alignment horizontal="center" vertical="center" wrapText="1"/>
      <protection hidden="1"/>
    </xf>
    <xf numFmtId="0" fontId="14" fillId="0" borderId="0" xfId="0" applyFont="1" applyAlignment="1">
      <alignment horizontal="left" wrapText="1"/>
    </xf>
    <xf numFmtId="165" fontId="19" fillId="2" borderId="0" xfId="1" applyNumberFormat="1" applyFont="1" applyFill="1" applyBorder="1" applyAlignment="1" applyProtection="1">
      <alignment horizontal="left" vertical="center"/>
      <protection locked="0" hidden="1"/>
    </xf>
    <xf numFmtId="165" fontId="19" fillId="2" borderId="12" xfId="1" applyNumberFormat="1" applyFont="1" applyFill="1" applyBorder="1" applyAlignment="1" applyProtection="1">
      <alignment horizontal="left" vertical="center"/>
      <protection locked="0" hidden="1"/>
    </xf>
    <xf numFmtId="165" fontId="8" fillId="2" borderId="21" xfId="1" applyNumberFormat="1" applyFont="1" applyFill="1" applyBorder="1" applyAlignment="1" applyProtection="1">
      <alignment horizontal="left" vertical="center"/>
      <protection hidden="1"/>
    </xf>
    <xf numFmtId="0" fontId="8" fillId="0" borderId="88" xfId="1" applyFont="1" applyFill="1" applyBorder="1" applyAlignment="1" applyProtection="1">
      <alignment horizontal="center" vertical="center" wrapText="1"/>
      <protection locked="0" hidden="1"/>
    </xf>
    <xf numFmtId="0" fontId="8" fillId="0" borderId="89" xfId="1" applyFont="1" applyFill="1" applyBorder="1" applyAlignment="1" applyProtection="1">
      <alignment horizontal="center" vertical="center" wrapText="1"/>
      <protection locked="0" hidden="1"/>
    </xf>
    <xf numFmtId="0" fontId="8" fillId="0" borderId="15" xfId="1" applyFont="1" applyFill="1" applyBorder="1" applyAlignment="1" applyProtection="1">
      <alignment horizontal="center" vertical="center" wrapText="1"/>
      <protection locked="0" hidden="1"/>
    </xf>
    <xf numFmtId="0" fontId="8" fillId="0" borderId="87" xfId="1" applyFont="1" applyFill="1" applyBorder="1" applyAlignment="1" applyProtection="1">
      <alignment horizontal="center" vertical="center" wrapText="1"/>
      <protection locked="0" hidden="1"/>
    </xf>
    <xf numFmtId="0" fontId="22" fillId="4" borderId="19" xfId="1" applyFont="1" applyFill="1" applyBorder="1" applyAlignment="1" applyProtection="1">
      <alignment horizontal="center" vertical="center" wrapText="1"/>
      <protection hidden="1"/>
    </xf>
    <xf numFmtId="0" fontId="22" fillId="4" borderId="20" xfId="1" applyFont="1" applyFill="1" applyBorder="1" applyAlignment="1" applyProtection="1">
      <alignment horizontal="center" vertical="center" wrapText="1"/>
      <protection hidden="1"/>
    </xf>
    <xf numFmtId="0" fontId="22" fillId="4" borderId="77" xfId="1" applyFont="1" applyFill="1" applyBorder="1" applyAlignment="1" applyProtection="1">
      <alignment horizontal="center" vertical="center" wrapText="1"/>
      <protection hidden="1"/>
    </xf>
    <xf numFmtId="0" fontId="24" fillId="4" borderId="13" xfId="1" applyFont="1" applyFill="1" applyBorder="1" applyAlignment="1" applyProtection="1">
      <alignment horizontal="left" vertical="center" wrapText="1"/>
      <protection hidden="1"/>
    </xf>
    <xf numFmtId="0" fontId="24" fillId="4" borderId="85" xfId="1" applyFont="1" applyFill="1" applyBorder="1" applyAlignment="1" applyProtection="1">
      <alignment horizontal="left" vertical="center" wrapText="1"/>
      <protection hidden="1"/>
    </xf>
    <xf numFmtId="0" fontId="22" fillId="4" borderId="27" xfId="1" applyFont="1" applyFill="1" applyBorder="1" applyAlignment="1" applyProtection="1">
      <alignment horizontal="center" vertical="center" wrapText="1"/>
      <protection hidden="1"/>
    </xf>
    <xf numFmtId="0" fontId="22" fillId="4" borderId="0" xfId="1"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2" borderId="38"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mruColors>
      <color rgb="FFB0DD7F"/>
      <color rgb="FF00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ravex.com.ua/vazhliva-informaciya-dlya-kliyentiv-banku/dlya-pozichalnikiv-banku" TargetMode="External"/><Relationship Id="rId1" Type="http://schemas.openxmlformats.org/officeDocument/2006/relationships/hyperlink" Target="mailto:bank@pravex.kiev.ua"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7"/>
  <sheetViews>
    <sheetView tabSelected="1" topLeftCell="A70" workbookViewId="0">
      <selection activeCell="B74" sqref="B74:C75"/>
    </sheetView>
  </sheetViews>
  <sheetFormatPr defaultRowHeight="14.5" x14ac:dyDescent="0.35"/>
  <cols>
    <col min="1" max="1" width="45.54296875" customWidth="1"/>
    <col min="2" max="2" width="6.54296875" customWidth="1"/>
    <col min="3" max="3" width="60" customWidth="1"/>
    <col min="4" max="4" width="10" bestFit="1" customWidth="1"/>
  </cols>
  <sheetData>
    <row r="1" spans="1:5" ht="87" x14ac:dyDescent="0.35">
      <c r="C1" s="269" t="s">
        <v>553</v>
      </c>
    </row>
    <row r="2" spans="1:5" ht="15" thickBot="1" x14ac:dyDescent="0.4">
      <c r="A2" s="305" t="s">
        <v>0</v>
      </c>
      <c r="B2" s="306"/>
      <c r="C2" s="306"/>
    </row>
    <row r="3" spans="1:5" ht="15" customHeight="1" x14ac:dyDescent="0.35">
      <c r="A3" s="307" t="s">
        <v>1</v>
      </c>
      <c r="B3" s="310" t="s">
        <v>105</v>
      </c>
      <c r="C3" s="311"/>
    </row>
    <row r="4" spans="1:5" ht="15" thickBot="1" x14ac:dyDescent="0.4">
      <c r="A4" s="308"/>
      <c r="B4" s="312"/>
      <c r="C4" s="313"/>
    </row>
    <row r="5" spans="1:5" ht="15" thickBot="1" x14ac:dyDescent="0.4">
      <c r="A5" s="309"/>
      <c r="B5" s="297" t="s">
        <v>352</v>
      </c>
      <c r="C5" s="298"/>
      <c r="E5" s="262" t="s">
        <v>544</v>
      </c>
    </row>
    <row r="6" spans="1:5" ht="15" customHeight="1" x14ac:dyDescent="0.35">
      <c r="A6" s="307" t="s">
        <v>3</v>
      </c>
      <c r="B6" s="310" t="s">
        <v>4</v>
      </c>
      <c r="C6" s="311"/>
    </row>
    <row r="7" spans="1:5" x14ac:dyDescent="0.35">
      <c r="A7" s="308"/>
      <c r="B7" s="314" t="s">
        <v>5</v>
      </c>
      <c r="C7" s="315"/>
    </row>
    <row r="8" spans="1:5" ht="15" thickBot="1" x14ac:dyDescent="0.4">
      <c r="A8" s="309"/>
      <c r="B8" s="316"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49020, м. Дніпро, 
вул.  Шевченка, 59</v>
      </c>
      <c r="C8" s="317"/>
    </row>
    <row r="9" spans="1:5" x14ac:dyDescent="0.35">
      <c r="A9" s="318" t="s">
        <v>6</v>
      </c>
      <c r="B9" s="320" t="s">
        <v>7</v>
      </c>
      <c r="C9" s="321"/>
    </row>
    <row r="10" spans="1:5" ht="15" thickBot="1" x14ac:dyDescent="0.4">
      <c r="A10" s="319"/>
      <c r="B10" s="322" t="s">
        <v>106</v>
      </c>
      <c r="C10" s="323"/>
    </row>
    <row r="11" spans="1:5" ht="15" thickBot="1" x14ac:dyDescent="0.4">
      <c r="A11" s="79" t="s">
        <v>8</v>
      </c>
      <c r="B11" s="297" t="s">
        <v>9</v>
      </c>
      <c r="C11" s="298"/>
    </row>
    <row r="12" spans="1:5" ht="15" thickBot="1" x14ac:dyDescent="0.4">
      <c r="A12" s="79" t="s">
        <v>10</v>
      </c>
      <c r="B12" s="297" t="s">
        <v>11</v>
      </c>
      <c r="C12" s="298"/>
    </row>
    <row r="13" spans="1:5" ht="15" thickBot="1" x14ac:dyDescent="0.4">
      <c r="A13" s="79" t="s">
        <v>12</v>
      </c>
      <c r="B13" s="297" t="s">
        <v>13</v>
      </c>
      <c r="C13" s="298"/>
    </row>
    <row r="14" spans="1:5" ht="15.75" customHeight="1" thickBot="1" x14ac:dyDescent="0.4">
      <c r="A14" s="294" t="s">
        <v>14</v>
      </c>
      <c r="B14" s="295"/>
      <c r="C14" s="296"/>
    </row>
    <row r="15" spans="1:5" ht="15.75" customHeight="1" thickBot="1" x14ac:dyDescent="0.4">
      <c r="A15" s="216" t="s">
        <v>159</v>
      </c>
      <c r="B15" s="329" t="s">
        <v>160</v>
      </c>
      <c r="C15" s="330"/>
    </row>
    <row r="16" spans="1:5" ht="15.75" customHeight="1" thickBot="1" x14ac:dyDescent="0.4">
      <c r="A16" s="216" t="s">
        <v>161</v>
      </c>
      <c r="B16" s="331"/>
      <c r="C16" s="332"/>
    </row>
    <row r="17" spans="1:5" ht="15.75" customHeight="1" thickBot="1" x14ac:dyDescent="0.4">
      <c r="A17" s="216" t="s">
        <v>8</v>
      </c>
      <c r="B17" s="331"/>
      <c r="C17" s="332"/>
    </row>
    <row r="18" spans="1:5" ht="15.75" customHeight="1" thickBot="1" x14ac:dyDescent="0.4">
      <c r="A18" s="216" t="s">
        <v>10</v>
      </c>
      <c r="B18" s="331"/>
      <c r="C18" s="332"/>
    </row>
    <row r="19" spans="1:5" ht="15.75" customHeight="1" thickBot="1" x14ac:dyDescent="0.4">
      <c r="A19" s="216" t="s">
        <v>162</v>
      </c>
      <c r="B19" s="333"/>
      <c r="C19" s="334"/>
    </row>
    <row r="20" spans="1:5" ht="15.75" customHeight="1" thickBot="1" x14ac:dyDescent="0.4">
      <c r="A20" s="294" t="s">
        <v>15</v>
      </c>
      <c r="B20" s="295"/>
      <c r="C20" s="296"/>
    </row>
    <row r="21" spans="1:5" ht="15" thickBot="1" x14ac:dyDescent="0.4">
      <c r="A21" s="79" t="s">
        <v>16</v>
      </c>
      <c r="B21" s="297" t="s">
        <v>80</v>
      </c>
      <c r="C21" s="298"/>
    </row>
    <row r="22" spans="1:5" ht="15" thickBot="1" x14ac:dyDescent="0.4">
      <c r="A22" s="79" t="s">
        <v>17</v>
      </c>
      <c r="B22" s="324">
        <f>'график анн'!F7</f>
        <v>4000000</v>
      </c>
      <c r="C22" s="325"/>
    </row>
    <row r="23" spans="1:5" ht="15" thickBot="1" x14ac:dyDescent="0.4">
      <c r="A23" s="79" t="s">
        <v>163</v>
      </c>
      <c r="B23" s="290" t="str">
        <f>CONCATENATE(E23,D23)</f>
        <v>240 міс.</v>
      </c>
      <c r="C23" s="291"/>
      <c r="D23" s="217" t="s">
        <v>164</v>
      </c>
      <c r="E23" s="217">
        <f>'график анн'!F8</f>
        <v>240</v>
      </c>
    </row>
    <row r="24" spans="1:5" x14ac:dyDescent="0.35">
      <c r="A24" s="326" t="s">
        <v>19</v>
      </c>
      <c r="B24" s="301" t="s">
        <v>135</v>
      </c>
      <c r="C24" s="302"/>
    </row>
    <row r="25" spans="1:5" ht="15" thickBot="1" x14ac:dyDescent="0.4">
      <c r="A25" s="327"/>
      <c r="B25" s="303"/>
      <c r="C25" s="304"/>
    </row>
    <row r="26" spans="1:5" ht="27" customHeight="1" thickBot="1" x14ac:dyDescent="0.4">
      <c r="A26" s="179" t="s">
        <v>20</v>
      </c>
      <c r="B26" s="297" t="s">
        <v>123</v>
      </c>
      <c r="C26" s="298"/>
    </row>
    <row r="27" spans="1:5" ht="15" thickBot="1" x14ac:dyDescent="0.4">
      <c r="A27" s="76" t="s">
        <v>21</v>
      </c>
      <c r="B27" s="297" t="s">
        <v>136</v>
      </c>
      <c r="C27" s="298"/>
    </row>
    <row r="28" spans="1:5" ht="38.25" customHeight="1" thickBot="1" x14ac:dyDescent="0.4">
      <c r="A28" s="76" t="s">
        <v>22</v>
      </c>
      <c r="B28" s="297" t="s">
        <v>138</v>
      </c>
      <c r="C28" s="298"/>
    </row>
    <row r="29" spans="1:5" ht="20.25" customHeight="1" x14ac:dyDescent="0.35">
      <c r="A29" s="307" t="s">
        <v>24</v>
      </c>
      <c r="B29" s="328">
        <v>0.3</v>
      </c>
      <c r="C29" s="302"/>
    </row>
    <row r="30" spans="1:5" ht="15" thickBot="1" x14ac:dyDescent="0.4">
      <c r="A30" s="308"/>
      <c r="B30" s="303"/>
      <c r="C30" s="304"/>
    </row>
    <row r="31" spans="1:5" ht="19.5" customHeight="1" thickBot="1" x14ac:dyDescent="0.4">
      <c r="A31" s="294" t="s">
        <v>181</v>
      </c>
      <c r="B31" s="295"/>
      <c r="C31" s="296"/>
    </row>
    <row r="32" spans="1:5" ht="19.5" customHeight="1" thickBot="1" x14ac:dyDescent="0.4">
      <c r="A32" s="83" t="s">
        <v>547</v>
      </c>
      <c r="B32" s="84">
        <f>'график анн'!F9</f>
        <v>9.9900000000000003E-2</v>
      </c>
      <c r="C32" s="85" t="s">
        <v>552</v>
      </c>
    </row>
    <row r="33" spans="1:3" ht="15" thickBot="1" x14ac:dyDescent="0.4">
      <c r="A33" s="76" t="s">
        <v>27</v>
      </c>
      <c r="B33" s="303" t="s">
        <v>134</v>
      </c>
      <c r="C33" s="304"/>
    </row>
    <row r="34" spans="1:3" ht="29.25" customHeight="1" thickBot="1" x14ac:dyDescent="0.4">
      <c r="A34" s="76" t="s">
        <v>28</v>
      </c>
      <c r="B34" s="297" t="s">
        <v>550</v>
      </c>
      <c r="C34" s="298"/>
    </row>
    <row r="35" spans="1:3" ht="23.5" thickBot="1" x14ac:dyDescent="0.4">
      <c r="A35" s="76" t="s">
        <v>29</v>
      </c>
      <c r="B35" s="297" t="s">
        <v>30</v>
      </c>
      <c r="C35" s="298"/>
    </row>
    <row r="36" spans="1:3" ht="15" thickBot="1" x14ac:dyDescent="0.4">
      <c r="A36" s="76" t="s">
        <v>104</v>
      </c>
      <c r="B36" s="338">
        <f>'график анн'!P3</f>
        <v>2.9899999999999999E-2</v>
      </c>
      <c r="C36" s="339"/>
    </row>
    <row r="37" spans="1:3" ht="15" thickBot="1" x14ac:dyDescent="0.4">
      <c r="A37" s="76" t="s">
        <v>31</v>
      </c>
      <c r="B37" s="340" t="s">
        <v>23</v>
      </c>
      <c r="C37" s="298"/>
    </row>
    <row r="38" spans="1:3" ht="26.25" customHeight="1" thickBot="1" x14ac:dyDescent="0.4">
      <c r="A38" s="83" t="s">
        <v>32</v>
      </c>
      <c r="B38" s="324" t="s">
        <v>23</v>
      </c>
      <c r="C38" s="298"/>
    </row>
    <row r="39" spans="1:3" ht="15" hidden="1" thickBot="1" x14ac:dyDescent="0.4">
      <c r="A39" s="76"/>
      <c r="B39" s="2"/>
    </row>
    <row r="40" spans="1:3" ht="23.5" thickBot="1" x14ac:dyDescent="0.4">
      <c r="A40" s="218" t="s">
        <v>165</v>
      </c>
      <c r="B40" s="299" t="s">
        <v>166</v>
      </c>
      <c r="C40" s="300"/>
    </row>
    <row r="41" spans="1:3" ht="23.5" thickBot="1" x14ac:dyDescent="0.4">
      <c r="A41" s="218" t="s">
        <v>167</v>
      </c>
      <c r="B41" s="299" t="s">
        <v>168</v>
      </c>
      <c r="C41" s="300"/>
    </row>
    <row r="42" spans="1:3" ht="15" thickBot="1" x14ac:dyDescent="0.4">
      <c r="A42" s="76" t="s">
        <v>33</v>
      </c>
      <c r="B42" s="324">
        <f ca="1">B43-B22</f>
        <v>6233567.6868276931</v>
      </c>
      <c r="C42" s="325"/>
    </row>
    <row r="43" spans="1:3" ht="35" thickBot="1" x14ac:dyDescent="0.4">
      <c r="A43" s="76" t="s">
        <v>34</v>
      </c>
      <c r="B43" s="324">
        <f ca="1">SUM('дод 1 до дог кредит'!P30:P280)</f>
        <v>10233567.686827693</v>
      </c>
      <c r="C43" s="325"/>
    </row>
    <row r="44" spans="1:3" ht="15" thickBot="1" x14ac:dyDescent="0.4">
      <c r="A44" s="78" t="s">
        <v>35</v>
      </c>
      <c r="B44" s="341">
        <f ca="1">SUM('график анн'!P25:P265)</f>
        <v>0.12249302268028259</v>
      </c>
      <c r="C44" s="342"/>
    </row>
    <row r="45" spans="1:3" ht="48" customHeight="1" thickBot="1" x14ac:dyDescent="0.4">
      <c r="A45" s="335" t="s">
        <v>36</v>
      </c>
      <c r="B45" s="336"/>
      <c r="C45" s="337"/>
    </row>
    <row r="46" spans="1:3" ht="24" customHeight="1" thickBot="1" x14ac:dyDescent="0.4">
      <c r="A46" s="335" t="s">
        <v>137</v>
      </c>
      <c r="B46" s="336"/>
      <c r="C46" s="337"/>
    </row>
    <row r="47" spans="1:3" ht="24" customHeight="1" thickBot="1" x14ac:dyDescent="0.4">
      <c r="A47" s="335" t="s">
        <v>38</v>
      </c>
      <c r="B47" s="336"/>
      <c r="C47" s="337"/>
    </row>
    <row r="48" spans="1:3" ht="24" customHeight="1" thickBot="1" x14ac:dyDescent="0.4">
      <c r="A48" s="219" t="s">
        <v>169</v>
      </c>
      <c r="B48" s="290" t="s">
        <v>30</v>
      </c>
      <c r="C48" s="291"/>
    </row>
    <row r="49" spans="1:5" ht="24" customHeight="1" thickBot="1" x14ac:dyDescent="0.4">
      <c r="A49" s="220" t="s">
        <v>180</v>
      </c>
      <c r="B49" s="292" t="str">
        <f>IF(D49=0,E49,CONCATENATE(E49,D49))</f>
        <v>так, 10000</v>
      </c>
      <c r="C49" s="293"/>
      <c r="D49" s="221">
        <f>'график анн'!I24</f>
        <v>10000</v>
      </c>
      <c r="E49" s="217" t="str">
        <f>IF(D49&gt;0,"так, ","ні")</f>
        <v xml:space="preserve">так, </v>
      </c>
    </row>
    <row r="50" spans="1:5" ht="24" customHeight="1" thickBot="1" x14ac:dyDescent="0.4">
      <c r="A50" s="220" t="s">
        <v>170</v>
      </c>
      <c r="B50" s="292" t="str">
        <f>IF(D50=0,E50,CONCATENATE(E50,D50))</f>
        <v>так, 2000</v>
      </c>
      <c r="C50" s="293"/>
      <c r="D50" s="221">
        <f>'график анн'!J24</f>
        <v>2000</v>
      </c>
      <c r="E50" s="217" t="str">
        <f>IF(D50&gt;0,"так, ","ні")</f>
        <v xml:space="preserve">так, </v>
      </c>
    </row>
    <row r="51" spans="1:5" ht="24" customHeight="1" thickBot="1" x14ac:dyDescent="0.4">
      <c r="A51" s="220" t="s">
        <v>171</v>
      </c>
      <c r="B51" s="292" t="str">
        <f>IF(D51=0,E51,CONCATENATE(E51,D51))</f>
        <v>так, 342857,16</v>
      </c>
      <c r="C51" s="293"/>
      <c r="D51" s="221">
        <f>'график анн'!P9+'график анн'!P11</f>
        <v>342857.16000000009</v>
      </c>
      <c r="E51" s="217" t="str">
        <f>IF(D51&gt;0,"так, ","ні")</f>
        <v xml:space="preserve">так, </v>
      </c>
    </row>
    <row r="52" spans="1:5" ht="24" customHeight="1" thickBot="1" x14ac:dyDescent="0.4">
      <c r="A52" s="220" t="s">
        <v>172</v>
      </c>
      <c r="B52" s="292" t="str">
        <f>IF(D52=0,E52,CONCATENATE(E52,D52))</f>
        <v>ні</v>
      </c>
      <c r="C52" s="293"/>
      <c r="D52" s="221">
        <f>'график анн'!L24</f>
        <v>0</v>
      </c>
      <c r="E52" s="217" t="str">
        <f>IF(D52&gt;0,"так, ","ні")</f>
        <v>ні</v>
      </c>
    </row>
    <row r="53" spans="1:5" ht="15" thickBot="1" x14ac:dyDescent="0.4">
      <c r="A53" s="294" t="s">
        <v>39</v>
      </c>
      <c r="B53" s="295"/>
      <c r="C53" s="296"/>
    </row>
    <row r="54" spans="1:5" ht="72" customHeight="1" thickBot="1" x14ac:dyDescent="0.4">
      <c r="A54" s="83" t="s">
        <v>40</v>
      </c>
      <c r="B54" s="290" t="s">
        <v>173</v>
      </c>
      <c r="C54" s="291"/>
    </row>
    <row r="55" spans="1:5" ht="15" thickBot="1" x14ac:dyDescent="0.4">
      <c r="A55" s="294" t="s">
        <v>42</v>
      </c>
      <c r="B55" s="295"/>
      <c r="C55" s="296"/>
    </row>
    <row r="56" spans="1:5" ht="23.5" thickBot="1" x14ac:dyDescent="0.4">
      <c r="A56" s="76" t="s">
        <v>45</v>
      </c>
      <c r="B56" s="290" t="s">
        <v>174</v>
      </c>
      <c r="C56" s="291"/>
    </row>
    <row r="57" spans="1:5" ht="15" thickBot="1" x14ac:dyDescent="0.4">
      <c r="A57" s="76" t="s">
        <v>46</v>
      </c>
      <c r="B57" s="297" t="s">
        <v>47</v>
      </c>
      <c r="C57" s="298"/>
    </row>
    <row r="58" spans="1:5" ht="15" thickBot="1" x14ac:dyDescent="0.4">
      <c r="A58" s="218" t="s">
        <v>175</v>
      </c>
      <c r="B58" s="299" t="s">
        <v>23</v>
      </c>
      <c r="C58" s="300"/>
    </row>
    <row r="59" spans="1:5" ht="23.5" thickBot="1" x14ac:dyDescent="0.4">
      <c r="A59" s="76" t="s">
        <v>141</v>
      </c>
      <c r="B59" s="297" t="s">
        <v>81</v>
      </c>
      <c r="C59" s="298"/>
    </row>
    <row r="60" spans="1:5" ht="15" thickBot="1" x14ac:dyDescent="0.4">
      <c r="A60" s="288" t="s">
        <v>48</v>
      </c>
      <c r="B60" s="297" t="s">
        <v>23</v>
      </c>
      <c r="C60" s="298"/>
    </row>
    <row r="61" spans="1:5" ht="25.5" customHeight="1" thickBot="1" x14ac:dyDescent="0.4">
      <c r="A61" s="288" t="s">
        <v>558</v>
      </c>
      <c r="B61" s="426" t="s">
        <v>559</v>
      </c>
      <c r="C61" s="427"/>
      <c r="D61" s="217"/>
      <c r="E61" s="217"/>
    </row>
    <row r="62" spans="1:5" ht="25.5" customHeight="1" thickBot="1" x14ac:dyDescent="0.4">
      <c r="A62" s="426" t="s">
        <v>560</v>
      </c>
      <c r="B62" s="428"/>
      <c r="C62" s="427"/>
      <c r="D62" s="217"/>
      <c r="E62" s="217"/>
    </row>
    <row r="63" spans="1:5" ht="15" thickBot="1" x14ac:dyDescent="0.4">
      <c r="A63" s="294" t="s">
        <v>49</v>
      </c>
      <c r="B63" s="295"/>
      <c r="C63" s="296"/>
    </row>
    <row r="64" spans="1:5" ht="36" customHeight="1" thickBot="1" x14ac:dyDescent="0.4">
      <c r="A64" s="297" t="s">
        <v>50</v>
      </c>
      <c r="B64" s="343"/>
      <c r="C64" s="298"/>
    </row>
    <row r="65" spans="1:5" ht="46.5" thickBot="1" x14ac:dyDescent="0.4">
      <c r="A65" s="83" t="s">
        <v>51</v>
      </c>
      <c r="B65" s="297" t="s">
        <v>23</v>
      </c>
      <c r="C65" s="298"/>
    </row>
    <row r="66" spans="1:5" ht="36" customHeight="1" thickBot="1" x14ac:dyDescent="0.4">
      <c r="A66" s="297" t="s">
        <v>52</v>
      </c>
      <c r="B66" s="343"/>
      <c r="C66" s="298"/>
    </row>
    <row r="67" spans="1:5" ht="36" customHeight="1" thickBot="1" x14ac:dyDescent="0.4">
      <c r="A67" s="297" t="s">
        <v>53</v>
      </c>
      <c r="B67" s="343"/>
      <c r="C67" s="298"/>
    </row>
    <row r="68" spans="1:5" ht="15" customHeight="1" x14ac:dyDescent="0.35">
      <c r="A68" s="344" t="str">
        <f ca="1">CONCATENATE(E69,TEXT(D69,"dd.mm.yyyy"))</f>
        <v>Дата надання інформації: 12.07.2021</v>
      </c>
      <c r="B68" s="346" t="str">
        <f ca="1">CONCATENATE(E70,TEXT(D70,"dd.mm.yyyy"))</f>
        <v>Ця інформація зберігає чинність та є актуальною до 11.07.2041</v>
      </c>
      <c r="C68" s="347"/>
    </row>
    <row r="69" spans="1:5" ht="15" thickBot="1" x14ac:dyDescent="0.4">
      <c r="A69" s="345"/>
      <c r="B69" s="348"/>
      <c r="C69" s="349"/>
      <c r="D69" s="263">
        <f ca="1">TODAY()</f>
        <v>44389</v>
      </c>
      <c r="E69" s="217" t="s">
        <v>545</v>
      </c>
    </row>
    <row r="70" spans="1:5" x14ac:dyDescent="0.35">
      <c r="A70" s="77"/>
      <c r="B70" s="301" t="s">
        <v>57</v>
      </c>
      <c r="C70" s="302"/>
      <c r="D70" s="263">
        <f ca="1">EDATE(D69,'график анн'!F8)-1</f>
        <v>51693</v>
      </c>
      <c r="E70" s="289" t="s">
        <v>546</v>
      </c>
    </row>
    <row r="71" spans="1:5" ht="15" thickBot="1" x14ac:dyDescent="0.4">
      <c r="A71" s="3" t="s">
        <v>56</v>
      </c>
      <c r="B71" s="303"/>
      <c r="C71" s="304"/>
      <c r="D71" s="217"/>
      <c r="E71" s="289"/>
    </row>
    <row r="72" spans="1:5" ht="24" customHeight="1" thickBot="1" x14ac:dyDescent="0.4">
      <c r="A72" s="297" t="s">
        <v>58</v>
      </c>
      <c r="B72" s="343"/>
      <c r="C72" s="298"/>
    </row>
    <row r="73" spans="1:5" ht="48" customHeight="1" thickBot="1" x14ac:dyDescent="0.4">
      <c r="A73" s="297" t="s">
        <v>59</v>
      </c>
      <c r="B73" s="343"/>
      <c r="C73" s="298"/>
    </row>
    <row r="74" spans="1:5" x14ac:dyDescent="0.35">
      <c r="A74" s="1"/>
      <c r="B74" s="301" t="s">
        <v>61</v>
      </c>
      <c r="C74" s="302"/>
    </row>
    <row r="75" spans="1:5" ht="15" thickBot="1" x14ac:dyDescent="0.4">
      <c r="A75" s="3" t="s">
        <v>60</v>
      </c>
      <c r="B75" s="303"/>
      <c r="C75" s="304"/>
    </row>
    <row r="76" spans="1:5" ht="58" customHeight="1" thickBot="1" x14ac:dyDescent="0.4">
      <c r="A76" s="290" t="s">
        <v>561</v>
      </c>
      <c r="B76" s="429"/>
      <c r="C76" s="291"/>
    </row>
    <row r="77" spans="1:5" ht="30" customHeight="1" thickBot="1" x14ac:dyDescent="0.4">
      <c r="A77" s="290" t="s">
        <v>562</v>
      </c>
      <c r="B77" s="429"/>
      <c r="C77" s="291"/>
    </row>
  </sheetData>
  <mergeCells count="72">
    <mergeCell ref="B61:C61"/>
    <mergeCell ref="A62:C62"/>
    <mergeCell ref="A76:C76"/>
    <mergeCell ref="A77:C77"/>
    <mergeCell ref="A72:C72"/>
    <mergeCell ref="A73:C73"/>
    <mergeCell ref="B74:C75"/>
    <mergeCell ref="A64:C64"/>
    <mergeCell ref="B65:C65"/>
    <mergeCell ref="A66:C66"/>
    <mergeCell ref="A67:C67"/>
    <mergeCell ref="A68:A69"/>
    <mergeCell ref="B68:C69"/>
    <mergeCell ref="A47:C47"/>
    <mergeCell ref="B33:C33"/>
    <mergeCell ref="B34:C34"/>
    <mergeCell ref="B35:C35"/>
    <mergeCell ref="B36:C36"/>
    <mergeCell ref="B37:C37"/>
    <mergeCell ref="B38:C38"/>
    <mergeCell ref="B42:C42"/>
    <mergeCell ref="B43:C43"/>
    <mergeCell ref="B44:C44"/>
    <mergeCell ref="A45:C45"/>
    <mergeCell ref="A46:C46"/>
    <mergeCell ref="B40:C40"/>
    <mergeCell ref="B41:C41"/>
    <mergeCell ref="A31:C31"/>
    <mergeCell ref="A14:C14"/>
    <mergeCell ref="A20:C20"/>
    <mergeCell ref="B21:C21"/>
    <mergeCell ref="B22:C22"/>
    <mergeCell ref="B23:C23"/>
    <mergeCell ref="A24:A25"/>
    <mergeCell ref="B24:C25"/>
    <mergeCell ref="B26:C26"/>
    <mergeCell ref="B27:C27"/>
    <mergeCell ref="B28:C28"/>
    <mergeCell ref="A29:A30"/>
    <mergeCell ref="B29:C30"/>
    <mergeCell ref="B15:C19"/>
    <mergeCell ref="B13:C13"/>
    <mergeCell ref="A2:C2"/>
    <mergeCell ref="A3:A5"/>
    <mergeCell ref="B3:C3"/>
    <mergeCell ref="B4:C4"/>
    <mergeCell ref="B5:C5"/>
    <mergeCell ref="A6:A8"/>
    <mergeCell ref="B6:C6"/>
    <mergeCell ref="B7:C7"/>
    <mergeCell ref="B8:C8"/>
    <mergeCell ref="A9:A10"/>
    <mergeCell ref="B9:C9"/>
    <mergeCell ref="B10:C10"/>
    <mergeCell ref="B11:C11"/>
    <mergeCell ref="B12:C12"/>
    <mergeCell ref="E70:E71"/>
    <mergeCell ref="B48:C48"/>
    <mergeCell ref="B49:C49"/>
    <mergeCell ref="B50:C50"/>
    <mergeCell ref="B51:C51"/>
    <mergeCell ref="B52:C52"/>
    <mergeCell ref="A63:C63"/>
    <mergeCell ref="A53:C53"/>
    <mergeCell ref="B54:C54"/>
    <mergeCell ref="A55:C55"/>
    <mergeCell ref="B56:C56"/>
    <mergeCell ref="B57:C57"/>
    <mergeCell ref="B59:C59"/>
    <mergeCell ref="B60:C60"/>
    <mergeCell ref="B58:C58"/>
    <mergeCell ref="B70:C71"/>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65"/>
  <sheetViews>
    <sheetView topLeftCell="A43" workbookViewId="0">
      <selection activeCell="B47" sqref="B47:C47"/>
    </sheetView>
  </sheetViews>
  <sheetFormatPr defaultRowHeight="14.5" x14ac:dyDescent="0.35"/>
  <cols>
    <col min="1" max="1" width="45.54296875" customWidth="1"/>
    <col min="2" max="2" width="6.54296875" customWidth="1"/>
    <col min="3" max="3" width="60" customWidth="1"/>
  </cols>
  <sheetData>
    <row r="1" spans="1:3" ht="15" thickBot="1" x14ac:dyDescent="0.4">
      <c r="A1" s="305" t="s">
        <v>0</v>
      </c>
      <c r="B1" s="306"/>
      <c r="C1" s="306"/>
    </row>
    <row r="2" spans="1:3" ht="15" customHeight="1" x14ac:dyDescent="0.35">
      <c r="A2" s="307" t="s">
        <v>1</v>
      </c>
      <c r="B2" s="310" t="s">
        <v>105</v>
      </c>
      <c r="C2" s="311"/>
    </row>
    <row r="3" spans="1:3" x14ac:dyDescent="0.35">
      <c r="A3" s="308"/>
      <c r="B3" s="312"/>
      <c r="C3" s="313"/>
    </row>
    <row r="4" spans="1:3" ht="15" thickBot="1" x14ac:dyDescent="0.4">
      <c r="A4" s="309"/>
      <c r="B4" s="303" t="s">
        <v>2</v>
      </c>
      <c r="C4" s="304"/>
    </row>
    <row r="5" spans="1:3" ht="15" customHeight="1" x14ac:dyDescent="0.35">
      <c r="A5" s="307" t="s">
        <v>3</v>
      </c>
      <c r="B5" s="310" t="s">
        <v>4</v>
      </c>
      <c r="C5" s="311"/>
    </row>
    <row r="6" spans="1:3" x14ac:dyDescent="0.35">
      <c r="A6" s="308"/>
      <c r="B6" s="314" t="s">
        <v>5</v>
      </c>
      <c r="C6" s="315"/>
    </row>
    <row r="7" spans="1:3" ht="15" thickBot="1" x14ac:dyDescent="0.4">
      <c r="A7" s="309"/>
      <c r="B7" s="316"/>
      <c r="C7" s="317"/>
    </row>
    <row r="8" spans="1:3" x14ac:dyDescent="0.35">
      <c r="A8" s="318" t="s">
        <v>6</v>
      </c>
      <c r="B8" s="320" t="s">
        <v>7</v>
      </c>
      <c r="C8" s="321"/>
    </row>
    <row r="9" spans="1:3" ht="15" thickBot="1" x14ac:dyDescent="0.4">
      <c r="A9" s="319"/>
      <c r="B9" s="322" t="s">
        <v>106</v>
      </c>
      <c r="C9" s="323"/>
    </row>
    <row r="10" spans="1:3" ht="15" thickBot="1" x14ac:dyDescent="0.4">
      <c r="A10" s="79" t="s">
        <v>8</v>
      </c>
      <c r="B10" s="297" t="s">
        <v>9</v>
      </c>
      <c r="C10" s="298"/>
    </row>
    <row r="11" spans="1:3" ht="15" thickBot="1" x14ac:dyDescent="0.4">
      <c r="A11" s="79" t="s">
        <v>10</v>
      </c>
      <c r="B11" s="297" t="s">
        <v>11</v>
      </c>
      <c r="C11" s="298"/>
    </row>
    <row r="12" spans="1:3" ht="15" thickBot="1" x14ac:dyDescent="0.4">
      <c r="A12" s="79" t="s">
        <v>12</v>
      </c>
      <c r="B12" s="297" t="s">
        <v>13</v>
      </c>
      <c r="C12" s="298"/>
    </row>
    <row r="13" spans="1:3" ht="15.75" customHeight="1" thickBot="1" x14ac:dyDescent="0.4">
      <c r="A13" s="294" t="s">
        <v>14</v>
      </c>
      <c r="B13" s="295"/>
      <c r="C13" s="296"/>
    </row>
    <row r="14" spans="1:3" ht="15.75" customHeight="1" thickBot="1" x14ac:dyDescent="0.4">
      <c r="A14" s="294" t="s">
        <v>15</v>
      </c>
      <c r="B14" s="295"/>
      <c r="C14" s="296"/>
    </row>
    <row r="15" spans="1:3" ht="15" thickBot="1" x14ac:dyDescent="0.4">
      <c r="A15" s="79" t="s">
        <v>16</v>
      </c>
      <c r="B15" s="297" t="s">
        <v>80</v>
      </c>
      <c r="C15" s="298"/>
    </row>
    <row r="16" spans="1:3" ht="15" thickBot="1" x14ac:dyDescent="0.4">
      <c r="A16" s="79" t="s">
        <v>17</v>
      </c>
      <c r="B16" s="324">
        <f>'график с повышеной%'!F7</f>
        <v>4000000</v>
      </c>
      <c r="C16" s="325"/>
    </row>
    <row r="17" spans="1:3" ht="15" thickBot="1" x14ac:dyDescent="0.4">
      <c r="A17" s="79" t="s">
        <v>18</v>
      </c>
      <c r="B17" s="350">
        <f>'график с повышеной%'!F8</f>
        <v>240</v>
      </c>
      <c r="C17" s="351"/>
    </row>
    <row r="18" spans="1:3" x14ac:dyDescent="0.35">
      <c r="A18" s="326" t="s">
        <v>19</v>
      </c>
      <c r="B18" s="301" t="s">
        <v>122</v>
      </c>
      <c r="C18" s="302"/>
    </row>
    <row r="19" spans="1:3" ht="15" thickBot="1" x14ac:dyDescent="0.4">
      <c r="A19" s="327"/>
      <c r="B19" s="303"/>
      <c r="C19" s="304"/>
    </row>
    <row r="20" spans="1:3" ht="27" customHeight="1" thickBot="1" x14ac:dyDescent="0.4">
      <c r="A20" s="54" t="s">
        <v>20</v>
      </c>
      <c r="B20" s="297" t="s">
        <v>123</v>
      </c>
      <c r="C20" s="298"/>
    </row>
    <row r="21" spans="1:3" ht="15" thickBot="1" x14ac:dyDescent="0.4">
      <c r="A21" s="76" t="s">
        <v>21</v>
      </c>
      <c r="B21" s="297" t="s">
        <v>129</v>
      </c>
      <c r="C21" s="298"/>
    </row>
    <row r="22" spans="1:3" ht="15" thickBot="1" x14ac:dyDescent="0.4">
      <c r="A22" s="76" t="s">
        <v>22</v>
      </c>
      <c r="B22" s="297" t="s">
        <v>23</v>
      </c>
      <c r="C22" s="298"/>
    </row>
    <row r="23" spans="1:3" ht="20.25" customHeight="1" x14ac:dyDescent="0.35">
      <c r="A23" s="307" t="s">
        <v>24</v>
      </c>
      <c r="B23" s="301" t="s">
        <v>115</v>
      </c>
      <c r="C23" s="302"/>
    </row>
    <row r="24" spans="1:3" ht="15" thickBot="1" x14ac:dyDescent="0.4">
      <c r="A24" s="308"/>
      <c r="B24" s="303"/>
      <c r="C24" s="304"/>
    </row>
    <row r="25" spans="1:3" ht="19.5" customHeight="1" thickBot="1" x14ac:dyDescent="0.4">
      <c r="A25" s="294" t="s">
        <v>25</v>
      </c>
      <c r="B25" s="295"/>
      <c r="C25" s="296"/>
    </row>
    <row r="26" spans="1:3" ht="19.5" customHeight="1" thickBot="1" x14ac:dyDescent="0.4">
      <c r="A26" s="83" t="s">
        <v>26</v>
      </c>
      <c r="B26" s="84">
        <f>'график с повышеной%'!F9</f>
        <v>0.2999</v>
      </c>
      <c r="C26" s="85" t="s">
        <v>131</v>
      </c>
    </row>
    <row r="27" spans="1:3" ht="15" thickBot="1" x14ac:dyDescent="0.4">
      <c r="A27" s="76" t="s">
        <v>27</v>
      </c>
      <c r="B27" s="303" t="s">
        <v>124</v>
      </c>
      <c r="C27" s="304"/>
    </row>
    <row r="28" spans="1:3" ht="21" customHeight="1" thickBot="1" x14ac:dyDescent="0.4">
      <c r="A28" s="76" t="s">
        <v>28</v>
      </c>
      <c r="B28" s="297" t="s">
        <v>114</v>
      </c>
      <c r="C28" s="298"/>
    </row>
    <row r="29" spans="1:3" ht="23.5" thickBot="1" x14ac:dyDescent="0.4">
      <c r="A29" s="76" t="s">
        <v>29</v>
      </c>
      <c r="B29" s="297" t="s">
        <v>30</v>
      </c>
      <c r="C29" s="298"/>
    </row>
    <row r="30" spans="1:3" ht="15" thickBot="1" x14ac:dyDescent="0.4">
      <c r="A30" s="76" t="s">
        <v>104</v>
      </c>
      <c r="B30" s="338">
        <f>'график с повышеной%'!K7</f>
        <v>10000</v>
      </c>
      <c r="C30" s="339"/>
    </row>
    <row r="31" spans="1:3" ht="15" thickBot="1" x14ac:dyDescent="0.4">
      <c r="A31" s="76" t="s">
        <v>31</v>
      </c>
      <c r="B31" s="340">
        <v>0</v>
      </c>
      <c r="C31" s="298"/>
    </row>
    <row r="32" spans="1:3" ht="26.25" customHeight="1" thickBot="1" x14ac:dyDescent="0.4">
      <c r="A32" s="83" t="s">
        <v>32</v>
      </c>
      <c r="B32" s="324">
        <f>'график с повышеной%'!K9</f>
        <v>342857.16000000009</v>
      </c>
      <c r="C32" s="298"/>
    </row>
    <row r="33" spans="1:3" ht="15" hidden="1" thickBot="1" x14ac:dyDescent="0.4">
      <c r="A33" s="76"/>
      <c r="B33" s="2"/>
    </row>
    <row r="34" spans="1:3" ht="15" thickBot="1" x14ac:dyDescent="0.4">
      <c r="A34" s="76" t="s">
        <v>33</v>
      </c>
      <c r="B34" s="324">
        <f>B35-B16</f>
        <v>-4000000</v>
      </c>
      <c r="C34" s="325"/>
    </row>
    <row r="35" spans="1:3" ht="35" thickBot="1" x14ac:dyDescent="0.4">
      <c r="A35" s="76" t="s">
        <v>34</v>
      </c>
      <c r="B35" s="324">
        <f>SUM('дод 1 до дог кредит'!P30:P113)</f>
        <v>0</v>
      </c>
      <c r="C35" s="325"/>
    </row>
    <row r="36" spans="1:3" ht="15" thickBot="1" x14ac:dyDescent="0.4">
      <c r="A36" s="78" t="s">
        <v>35</v>
      </c>
      <c r="B36" s="341"/>
      <c r="C36" s="342"/>
    </row>
    <row r="37" spans="1:3" ht="48" customHeight="1" thickBot="1" x14ac:dyDescent="0.4">
      <c r="A37" s="335" t="s">
        <v>36</v>
      </c>
      <c r="B37" s="336"/>
      <c r="C37" s="337"/>
    </row>
    <row r="38" spans="1:3" ht="24" customHeight="1" thickBot="1" x14ac:dyDescent="0.4">
      <c r="A38" s="335" t="s">
        <v>37</v>
      </c>
      <c r="B38" s="336"/>
      <c r="C38" s="337"/>
    </row>
    <row r="39" spans="1:3" ht="24" customHeight="1" thickBot="1" x14ac:dyDescent="0.4">
      <c r="A39" s="335" t="s">
        <v>38</v>
      </c>
      <c r="B39" s="336"/>
      <c r="C39" s="337"/>
    </row>
    <row r="40" spans="1:3" ht="15" thickBot="1" x14ac:dyDescent="0.4">
      <c r="A40" s="294" t="s">
        <v>39</v>
      </c>
      <c r="B40" s="295"/>
      <c r="C40" s="296"/>
    </row>
    <row r="41" spans="1:3" ht="15" thickBot="1" x14ac:dyDescent="0.4">
      <c r="A41" s="83" t="s">
        <v>40</v>
      </c>
      <c r="B41" s="297" t="s">
        <v>41</v>
      </c>
      <c r="C41" s="298"/>
    </row>
    <row r="42" spans="1:3" ht="15" thickBot="1" x14ac:dyDescent="0.4">
      <c r="A42" s="294" t="s">
        <v>42</v>
      </c>
      <c r="B42" s="295"/>
      <c r="C42" s="296"/>
    </row>
    <row r="43" spans="1:3" ht="15" customHeight="1" x14ac:dyDescent="0.35">
      <c r="A43" s="301" t="s">
        <v>43</v>
      </c>
      <c r="B43" s="352"/>
      <c r="C43" s="302"/>
    </row>
    <row r="44" spans="1:3" ht="15" thickBot="1" x14ac:dyDescent="0.4">
      <c r="A44" s="303"/>
      <c r="B44" s="353"/>
      <c r="C44" s="304"/>
    </row>
    <row r="45" spans="1:3" ht="15" thickBot="1" x14ac:dyDescent="0.4">
      <c r="A45" s="76" t="s">
        <v>44</v>
      </c>
      <c r="B45" s="297" t="s">
        <v>125</v>
      </c>
      <c r="C45" s="298"/>
    </row>
    <row r="46" spans="1:3" ht="15" thickBot="1" x14ac:dyDescent="0.4">
      <c r="A46" s="76" t="s">
        <v>117</v>
      </c>
      <c r="B46" s="297" t="s">
        <v>125</v>
      </c>
      <c r="C46" s="298"/>
    </row>
    <row r="47" spans="1:3" ht="37.5" customHeight="1" thickBot="1" x14ac:dyDescent="0.4">
      <c r="A47" s="76" t="s">
        <v>126</v>
      </c>
      <c r="B47" s="297" t="s">
        <v>132</v>
      </c>
      <c r="C47" s="298"/>
    </row>
    <row r="48" spans="1:3" ht="23.5" thickBot="1" x14ac:dyDescent="0.4">
      <c r="A48" s="76" t="s">
        <v>45</v>
      </c>
      <c r="B48" s="297"/>
      <c r="C48" s="298"/>
    </row>
    <row r="49" spans="1:3" ht="15" thickBot="1" x14ac:dyDescent="0.4">
      <c r="A49" s="76" t="s">
        <v>46</v>
      </c>
      <c r="B49" s="297" t="s">
        <v>47</v>
      </c>
      <c r="C49" s="298"/>
    </row>
    <row r="50" spans="1:3" ht="23.5" thickBot="1" x14ac:dyDescent="0.4">
      <c r="A50" s="76" t="s">
        <v>127</v>
      </c>
      <c r="B50" s="297" t="s">
        <v>81</v>
      </c>
      <c r="C50" s="298"/>
    </row>
    <row r="51" spans="1:3" ht="15" thickBot="1" x14ac:dyDescent="0.4">
      <c r="A51" s="78" t="s">
        <v>48</v>
      </c>
      <c r="B51" s="297" t="s">
        <v>128</v>
      </c>
      <c r="C51" s="298"/>
    </row>
    <row r="52" spans="1:3" ht="15" thickBot="1" x14ac:dyDescent="0.4">
      <c r="A52" s="294" t="s">
        <v>49</v>
      </c>
      <c r="B52" s="295"/>
      <c r="C52" s="296"/>
    </row>
    <row r="53" spans="1:3" ht="36" customHeight="1" thickBot="1" x14ac:dyDescent="0.4">
      <c r="A53" s="297" t="s">
        <v>50</v>
      </c>
      <c r="B53" s="343"/>
      <c r="C53" s="298"/>
    </row>
    <row r="54" spans="1:3" ht="46.5" thickBot="1" x14ac:dyDescent="0.4">
      <c r="A54" s="83" t="s">
        <v>51</v>
      </c>
      <c r="B54" s="297" t="s">
        <v>118</v>
      </c>
      <c r="C54" s="298"/>
    </row>
    <row r="55" spans="1:3" ht="36" customHeight="1" thickBot="1" x14ac:dyDescent="0.4">
      <c r="A55" s="297" t="s">
        <v>52</v>
      </c>
      <c r="B55" s="343"/>
      <c r="C55" s="298"/>
    </row>
    <row r="56" spans="1:3" ht="36" customHeight="1" thickBot="1" x14ac:dyDescent="0.4">
      <c r="A56" s="297" t="s">
        <v>53</v>
      </c>
      <c r="B56" s="343"/>
      <c r="C56" s="298"/>
    </row>
    <row r="57" spans="1:3" ht="15" customHeight="1" x14ac:dyDescent="0.35">
      <c r="A57" s="326" t="s">
        <v>54</v>
      </c>
      <c r="B57" s="301" t="s">
        <v>55</v>
      </c>
      <c r="C57" s="302"/>
    </row>
    <row r="58" spans="1:3" ht="15" thickBot="1" x14ac:dyDescent="0.4">
      <c r="A58" s="327"/>
      <c r="B58" s="303"/>
      <c r="C58" s="304"/>
    </row>
    <row r="59" spans="1:3" x14ac:dyDescent="0.35">
      <c r="A59" s="77"/>
      <c r="B59" s="301" t="s">
        <v>57</v>
      </c>
      <c r="C59" s="302"/>
    </row>
    <row r="60" spans="1:3" ht="15" thickBot="1" x14ac:dyDescent="0.4">
      <c r="A60" s="3" t="s">
        <v>56</v>
      </c>
      <c r="B60" s="303"/>
      <c r="C60" s="304"/>
    </row>
    <row r="61" spans="1:3" ht="24" customHeight="1" thickBot="1" x14ac:dyDescent="0.4">
      <c r="A61" s="297" t="s">
        <v>58</v>
      </c>
      <c r="B61" s="343"/>
      <c r="C61" s="298"/>
    </row>
    <row r="62" spans="1:3" ht="48" customHeight="1" thickBot="1" x14ac:dyDescent="0.4">
      <c r="A62" s="297" t="s">
        <v>59</v>
      </c>
      <c r="B62" s="343"/>
      <c r="C62" s="298"/>
    </row>
    <row r="63" spans="1:3" x14ac:dyDescent="0.35">
      <c r="A63" s="1"/>
      <c r="B63" s="301" t="s">
        <v>61</v>
      </c>
      <c r="C63" s="302"/>
    </row>
    <row r="64" spans="1:3" ht="15" thickBot="1" x14ac:dyDescent="0.4">
      <c r="A64" s="3" t="s">
        <v>60</v>
      </c>
      <c r="B64" s="303"/>
      <c r="C64" s="304"/>
    </row>
    <row r="65" spans="1:1" x14ac:dyDescent="0.35">
      <c r="A65" s="86"/>
    </row>
  </sheetData>
  <mergeCells count="62">
    <mergeCell ref="B59:C60"/>
    <mergeCell ref="A61:C61"/>
    <mergeCell ref="A62:C62"/>
    <mergeCell ref="B63:C64"/>
    <mergeCell ref="A53:C53"/>
    <mergeCell ref="B54:C54"/>
    <mergeCell ref="A55:C55"/>
    <mergeCell ref="A56:C56"/>
    <mergeCell ref="A57:A58"/>
    <mergeCell ref="B57:C58"/>
    <mergeCell ref="A52:C52"/>
    <mergeCell ref="A40:C40"/>
    <mergeCell ref="B41:C41"/>
    <mergeCell ref="A42:C42"/>
    <mergeCell ref="A43:C44"/>
    <mergeCell ref="B45:C45"/>
    <mergeCell ref="B46:C46"/>
    <mergeCell ref="B47:C47"/>
    <mergeCell ref="B48:C48"/>
    <mergeCell ref="B49:C49"/>
    <mergeCell ref="B50:C50"/>
    <mergeCell ref="B51:C51"/>
    <mergeCell ref="A39:C39"/>
    <mergeCell ref="B27:C27"/>
    <mergeCell ref="B28:C28"/>
    <mergeCell ref="B29:C29"/>
    <mergeCell ref="B30:C30"/>
    <mergeCell ref="B31:C31"/>
    <mergeCell ref="B32:C32"/>
    <mergeCell ref="B34:C34"/>
    <mergeCell ref="B35:C35"/>
    <mergeCell ref="B36:C36"/>
    <mergeCell ref="A37:C37"/>
    <mergeCell ref="A38:C38"/>
    <mergeCell ref="A25:C25"/>
    <mergeCell ref="A13:C13"/>
    <mergeCell ref="A14:C14"/>
    <mergeCell ref="B15:C15"/>
    <mergeCell ref="B16:C16"/>
    <mergeCell ref="B17:C17"/>
    <mergeCell ref="A18:A19"/>
    <mergeCell ref="B18:C19"/>
    <mergeCell ref="B20:C20"/>
    <mergeCell ref="B21:C21"/>
    <mergeCell ref="B22:C22"/>
    <mergeCell ref="A23:A24"/>
    <mergeCell ref="B23:C24"/>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hyperlink ref="B47" r:id="rId2" display="https://www.pravex.com.ua/vazhliva-informaciya-dlya-kliyentiv-banku/dlya-pozichalnikiv-banku"/>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6"/>
  <sheetViews>
    <sheetView workbookViewId="0">
      <selection activeCell="K22" sqref="K22"/>
    </sheetView>
  </sheetViews>
  <sheetFormatPr defaultRowHeight="14.5" x14ac:dyDescent="0.35"/>
  <cols>
    <col min="2" max="2" width="24.81640625" hidden="1" customWidth="1"/>
    <col min="3" max="3" width="19.1796875" customWidth="1"/>
    <col min="4" max="4" width="12.81640625" customWidth="1"/>
    <col min="5" max="5" width="15.81640625" customWidth="1"/>
    <col min="6" max="6" width="15.453125" customWidth="1"/>
    <col min="7" max="7" width="12.453125" customWidth="1"/>
    <col min="8" max="8" width="16.453125" customWidth="1"/>
    <col min="9" max="9" width="13.26953125" customWidth="1"/>
    <col min="10" max="10" width="18.1796875" customWidth="1"/>
    <col min="11" max="11" width="12.26953125" customWidth="1"/>
    <col min="12" max="12" width="12" customWidth="1"/>
    <col min="13" max="13" width="0" hidden="1" customWidth="1"/>
    <col min="15" max="15" width="9.1796875" customWidth="1"/>
    <col min="16" max="16" width="9.453125" hidden="1" customWidth="1"/>
    <col min="17" max="17" width="10.1796875" hidden="1" customWidth="1"/>
  </cols>
  <sheetData>
    <row r="1" spans="1:17" ht="15.5" x14ac:dyDescent="0.35">
      <c r="A1" s="358" t="s">
        <v>116</v>
      </c>
      <c r="B1" s="358"/>
      <c r="C1" s="358"/>
      <c r="D1" s="358"/>
      <c r="E1" s="358"/>
      <c r="F1" s="358"/>
      <c r="G1" s="358"/>
      <c r="H1" s="358"/>
      <c r="I1" s="358"/>
      <c r="J1" s="358"/>
      <c r="K1" s="358"/>
      <c r="L1" s="358"/>
    </row>
    <row r="2" spans="1:17" x14ac:dyDescent="0.35">
      <c r="A2" s="5"/>
      <c r="B2" s="5"/>
      <c r="C2" s="6"/>
      <c r="D2" s="6"/>
      <c r="E2" s="6"/>
      <c r="F2" s="6"/>
      <c r="G2" s="4"/>
      <c r="H2" s="5"/>
      <c r="I2" s="5"/>
      <c r="J2" s="5"/>
      <c r="K2" s="5"/>
      <c r="L2" s="5"/>
    </row>
    <row r="3" spans="1:17" x14ac:dyDescent="0.35">
      <c r="A3" s="5"/>
      <c r="B3" s="127" t="s">
        <v>62</v>
      </c>
      <c r="C3" s="140" t="s">
        <v>62</v>
      </c>
      <c r="D3" s="123">
        <f ca="1">F3</f>
        <v>44389</v>
      </c>
      <c r="E3" s="91"/>
      <c r="F3" s="128">
        <f ca="1">'график анн'!F3</f>
        <v>44389</v>
      </c>
      <c r="G3" s="66"/>
      <c r="H3" s="359" t="s">
        <v>111</v>
      </c>
      <c r="I3" s="359"/>
      <c r="J3" s="80"/>
      <c r="K3" s="63"/>
      <c r="L3" s="5"/>
    </row>
    <row r="4" spans="1:17" hidden="1" x14ac:dyDescent="0.35">
      <c r="A4" s="5"/>
      <c r="B4" s="129" t="s">
        <v>63</v>
      </c>
      <c r="C4" s="92" t="s">
        <v>63</v>
      </c>
      <c r="D4" s="64">
        <f t="shared" ref="D4:D9" si="0">F4</f>
        <v>1000000</v>
      </c>
      <c r="E4" s="6"/>
      <c r="F4" s="130">
        <v>1000000</v>
      </c>
      <c r="G4" s="6"/>
      <c r="H4" s="360" t="s">
        <v>64</v>
      </c>
      <c r="I4" s="360"/>
      <c r="J4" s="81"/>
      <c r="K4" s="62">
        <f>K3*F7</f>
        <v>0</v>
      </c>
      <c r="L4" s="5"/>
    </row>
    <row r="5" spans="1:17" hidden="1" x14ac:dyDescent="0.35">
      <c r="A5" s="5"/>
      <c r="B5" s="129" t="s">
        <v>65</v>
      </c>
      <c r="C5" s="93" t="s">
        <v>65</v>
      </c>
      <c r="D5" s="65">
        <f t="shared" si="0"/>
        <v>300000</v>
      </c>
      <c r="E5" s="57"/>
      <c r="F5" s="131">
        <v>300000</v>
      </c>
      <c r="G5" s="7"/>
      <c r="H5" s="361" t="s">
        <v>66</v>
      </c>
      <c r="I5" s="361"/>
      <c r="J5" s="361"/>
      <c r="K5" s="361"/>
      <c r="L5" s="5"/>
      <c r="P5" t="s">
        <v>82</v>
      </c>
      <c r="Q5">
        <v>1700</v>
      </c>
    </row>
    <row r="6" spans="1:17" hidden="1" x14ac:dyDescent="0.35">
      <c r="A6" s="5"/>
      <c r="B6" s="132" t="s">
        <v>67</v>
      </c>
      <c r="C6" s="133" t="s">
        <v>67</v>
      </c>
      <c r="D6" s="134">
        <f t="shared" si="0"/>
        <v>0.3</v>
      </c>
      <c r="E6" s="135"/>
      <c r="F6" s="136">
        <f>F5/F4</f>
        <v>0.3</v>
      </c>
      <c r="G6" s="8"/>
      <c r="H6" s="362"/>
      <c r="I6" s="362"/>
      <c r="J6" s="82"/>
      <c r="K6" s="59"/>
      <c r="L6" s="5"/>
    </row>
    <row r="7" spans="1:17" x14ac:dyDescent="0.35">
      <c r="A7" s="5"/>
      <c r="B7" s="66" t="s">
        <v>68</v>
      </c>
      <c r="C7" s="124" t="s">
        <v>68</v>
      </c>
      <c r="D7" s="125">
        <f t="shared" si="0"/>
        <v>4000000</v>
      </c>
      <c r="E7" s="90"/>
      <c r="F7" s="126">
        <f>'график анн'!F7</f>
        <v>4000000</v>
      </c>
      <c r="G7" s="8"/>
      <c r="H7" s="363" t="str">
        <f>H3</f>
        <v>Комісії банка, % від суми кредиту</v>
      </c>
      <c r="I7" s="355"/>
      <c r="J7" s="356"/>
      <c r="K7" s="145">
        <f>'график анн'!P7</f>
        <v>10000</v>
      </c>
      <c r="L7" s="5"/>
      <c r="Q7">
        <f>F4/Q5</f>
        <v>588.23529411764707</v>
      </c>
    </row>
    <row r="8" spans="1:17" x14ac:dyDescent="0.35">
      <c r="A8" s="5"/>
      <c r="B8" s="61" t="s">
        <v>69</v>
      </c>
      <c r="C8" s="95" t="s">
        <v>69</v>
      </c>
      <c r="D8" s="96">
        <f>F8</f>
        <v>240</v>
      </c>
      <c r="E8" s="137"/>
      <c r="F8" s="97">
        <f>'график анн'!F8</f>
        <v>240</v>
      </c>
      <c r="G8" s="8"/>
      <c r="H8" s="354" t="str">
        <f>H4</f>
        <v>Одноразова комісія за надання кредиту, грн</v>
      </c>
      <c r="I8" s="355"/>
      <c r="J8" s="356"/>
      <c r="K8" s="146">
        <f>K7*F7</f>
        <v>40000000000</v>
      </c>
      <c r="L8" s="53"/>
      <c r="M8" t="s">
        <v>103</v>
      </c>
      <c r="Q8" t="str">
        <f>IF(Q7&lt;165,"3%",IF(Q7&gt;290,"5%","4%"))</f>
        <v>5%</v>
      </c>
    </row>
    <row r="9" spans="1:17" x14ac:dyDescent="0.35">
      <c r="A9" s="5"/>
      <c r="B9" s="66" t="s">
        <v>70</v>
      </c>
      <c r="C9" s="94" t="s">
        <v>70</v>
      </c>
      <c r="D9" s="138">
        <f t="shared" si="0"/>
        <v>0.2999</v>
      </c>
      <c r="E9" s="137"/>
      <c r="F9" s="139">
        <v>0.2999</v>
      </c>
      <c r="G9" s="8"/>
      <c r="H9" s="357" t="s">
        <v>130</v>
      </c>
      <c r="I9" s="355"/>
      <c r="J9" s="356"/>
      <c r="K9" s="146">
        <f>'график анн'!P9</f>
        <v>342857.16000000009</v>
      </c>
      <c r="L9" s="5"/>
      <c r="M9" t="s">
        <v>102</v>
      </c>
      <c r="N9" s="122"/>
    </row>
    <row r="10" spans="1:17" ht="17.25" hidden="1" customHeight="1" x14ac:dyDescent="0.35">
      <c r="A10" s="5"/>
      <c r="B10" s="6"/>
      <c r="C10" s="98"/>
      <c r="D10" s="6"/>
      <c r="E10" s="6"/>
      <c r="F10" s="99">
        <f ca="1">EDATE(F3,F8)</f>
        <v>51694</v>
      </c>
      <c r="G10" s="9"/>
      <c r="H10" s="141"/>
      <c r="I10" s="142"/>
      <c r="J10" s="142"/>
      <c r="K10" s="143"/>
      <c r="L10" s="9"/>
      <c r="M10" s="10"/>
    </row>
    <row r="11" spans="1:17" ht="18.75" hidden="1" customHeight="1" x14ac:dyDescent="0.35">
      <c r="A11" s="5"/>
      <c r="B11" s="6"/>
      <c r="C11" s="98"/>
      <c r="D11" s="6"/>
      <c r="E11" s="6"/>
      <c r="F11" s="100">
        <f>-PMT(F9/12,F8,E24)</f>
        <v>100234.66844229943</v>
      </c>
      <c r="G11" s="9"/>
      <c r="H11" s="114"/>
      <c r="I11" s="67"/>
      <c r="J11" s="67"/>
      <c r="K11" s="115"/>
      <c r="L11" s="9"/>
      <c r="M11" s="10"/>
    </row>
    <row r="12" spans="1:17" ht="15.75" hidden="1" customHeight="1" x14ac:dyDescent="0.35">
      <c r="A12" s="5"/>
      <c r="B12" s="6"/>
      <c r="C12" s="98"/>
      <c r="D12" s="6"/>
      <c r="E12" s="6"/>
      <c r="F12" s="101">
        <v>0</v>
      </c>
      <c r="G12" s="11"/>
      <c r="H12" s="116"/>
      <c r="I12" s="68"/>
      <c r="J12" s="68"/>
      <c r="K12" s="117"/>
      <c r="L12" s="11"/>
      <c r="M12" s="12"/>
    </row>
    <row r="13" spans="1:17" hidden="1" x14ac:dyDescent="0.35">
      <c r="A13" s="5"/>
      <c r="B13" s="6"/>
      <c r="C13" s="98"/>
      <c r="D13" s="6"/>
      <c r="E13" s="6"/>
      <c r="F13" s="100">
        <f>F11+F12</f>
        <v>100234.66844229943</v>
      </c>
      <c r="G13" s="11"/>
      <c r="H13" s="116"/>
      <c r="I13" s="68"/>
      <c r="J13" s="68"/>
      <c r="K13" s="117"/>
      <c r="L13" s="11"/>
      <c r="M13" s="12"/>
    </row>
    <row r="14" spans="1:17" hidden="1" x14ac:dyDescent="0.35">
      <c r="A14" s="5"/>
      <c r="B14" s="6"/>
      <c r="C14" s="98"/>
      <c r="D14" s="60"/>
      <c r="E14" s="60"/>
      <c r="F14" s="102"/>
      <c r="G14" s="11"/>
      <c r="H14" s="116"/>
      <c r="I14" s="68"/>
      <c r="J14" s="68"/>
      <c r="K14" s="117"/>
      <c r="L14" s="11"/>
      <c r="M14" s="12"/>
    </row>
    <row r="15" spans="1:17" hidden="1" x14ac:dyDescent="0.35">
      <c r="A15" s="5"/>
      <c r="B15" s="6"/>
      <c r="C15" s="103" t="s">
        <v>107</v>
      </c>
      <c r="D15" s="58"/>
      <c r="E15" s="58"/>
      <c r="F15" s="104">
        <f ca="1">EDATE(F3,60)</f>
        <v>46215</v>
      </c>
      <c r="G15" s="11"/>
      <c r="H15" s="116"/>
      <c r="I15" s="68"/>
      <c r="J15" s="68"/>
      <c r="K15" s="117"/>
      <c r="L15" s="11"/>
      <c r="M15" s="12"/>
    </row>
    <row r="16" spans="1:17" hidden="1" x14ac:dyDescent="0.35">
      <c r="A16" s="5"/>
      <c r="B16" s="6"/>
      <c r="C16" s="103" t="s">
        <v>110</v>
      </c>
      <c r="D16" s="58"/>
      <c r="E16" s="58"/>
      <c r="F16" s="105">
        <v>0.1588</v>
      </c>
      <c r="G16" s="11"/>
      <c r="H16" s="116"/>
      <c r="I16" s="68"/>
      <c r="J16" s="68"/>
      <c r="K16" s="117"/>
      <c r="L16" s="11"/>
      <c r="M16" s="12"/>
    </row>
    <row r="17" spans="1:15" hidden="1" x14ac:dyDescent="0.35">
      <c r="A17" s="5"/>
      <c r="B17" s="5"/>
      <c r="C17" s="103" t="s">
        <v>108</v>
      </c>
      <c r="D17" s="58"/>
      <c r="E17" s="58"/>
      <c r="F17" s="105">
        <v>7.0000000000000007E-2</v>
      </c>
      <c r="G17" s="68"/>
      <c r="H17" s="116"/>
      <c r="I17" s="68"/>
      <c r="J17" s="68"/>
      <c r="K17" s="117"/>
      <c r="L17" s="11"/>
      <c r="M17" s="12"/>
    </row>
    <row r="18" spans="1:15" hidden="1" x14ac:dyDescent="0.35">
      <c r="A18" s="5"/>
      <c r="B18" s="5"/>
      <c r="C18" s="106" t="s">
        <v>109</v>
      </c>
      <c r="D18" s="6"/>
      <c r="E18" s="6"/>
      <c r="F18" s="107">
        <f>F16+F17</f>
        <v>0.2288</v>
      </c>
      <c r="G18" s="9"/>
      <c r="H18" s="114"/>
      <c r="I18" s="67"/>
      <c r="J18" s="67"/>
      <c r="K18" s="118"/>
      <c r="L18" s="9"/>
      <c r="M18" s="10"/>
    </row>
    <row r="19" spans="1:15" hidden="1" x14ac:dyDescent="0.35">
      <c r="A19" s="5"/>
      <c r="B19" s="5"/>
      <c r="C19" s="106"/>
      <c r="D19" s="6"/>
      <c r="E19" s="6"/>
      <c r="F19" s="100">
        <f>-PMT(F18/12,F8,F7)</f>
        <v>77095.381814464563</v>
      </c>
      <c r="G19" s="11"/>
      <c r="H19" s="116"/>
      <c r="I19" s="68"/>
      <c r="J19" s="68"/>
      <c r="K19" s="117"/>
      <c r="L19" s="11"/>
      <c r="M19" s="12"/>
    </row>
    <row r="20" spans="1:15" hidden="1" x14ac:dyDescent="0.35">
      <c r="A20" s="5"/>
      <c r="B20" s="5"/>
      <c r="C20" s="106"/>
      <c r="D20" s="6"/>
      <c r="E20" s="6"/>
      <c r="F20" s="100">
        <f>-F7*0.2%</f>
        <v>-8000</v>
      </c>
      <c r="G20" s="11"/>
      <c r="H20" s="116"/>
      <c r="I20" s="68"/>
      <c r="J20" s="68"/>
      <c r="K20" s="117"/>
      <c r="L20" s="11"/>
      <c r="M20" s="12"/>
    </row>
    <row r="21" spans="1:15" hidden="1" x14ac:dyDescent="0.35">
      <c r="A21" s="5"/>
      <c r="B21" s="5"/>
      <c r="C21" s="108"/>
      <c r="D21" s="90"/>
      <c r="E21" s="90"/>
      <c r="F21" s="109">
        <f>F19+F20</f>
        <v>69095.381814464563</v>
      </c>
      <c r="G21" s="11"/>
      <c r="H21" s="119"/>
      <c r="I21" s="120"/>
      <c r="J21" s="120"/>
      <c r="K21" s="121"/>
      <c r="L21" s="11"/>
      <c r="M21" s="12"/>
    </row>
    <row r="22" spans="1:15" x14ac:dyDescent="0.35">
      <c r="A22" s="5"/>
      <c r="B22" s="5"/>
      <c r="C22" s="110"/>
      <c r="D22" s="110"/>
      <c r="E22" s="110"/>
      <c r="F22" s="111"/>
      <c r="G22" s="11"/>
      <c r="H22" s="112"/>
      <c r="I22" s="112"/>
      <c r="J22" s="113"/>
      <c r="K22" s="113"/>
      <c r="L22" s="11"/>
      <c r="M22" s="12"/>
    </row>
    <row r="23" spans="1:15" ht="48" x14ac:dyDescent="0.35">
      <c r="A23" s="87" t="s">
        <v>71</v>
      </c>
      <c r="B23" s="87" t="s">
        <v>72</v>
      </c>
      <c r="C23" s="87" t="s">
        <v>72</v>
      </c>
      <c r="D23" s="87" t="s">
        <v>73</v>
      </c>
      <c r="E23" s="87" t="s">
        <v>74</v>
      </c>
      <c r="F23" s="87" t="s">
        <v>75</v>
      </c>
      <c r="G23" s="87" t="s">
        <v>76</v>
      </c>
      <c r="H23" s="87" t="s">
        <v>77</v>
      </c>
      <c r="I23" s="87" t="s">
        <v>78</v>
      </c>
      <c r="J23" s="88" t="s">
        <v>120</v>
      </c>
      <c r="K23" s="89" t="s">
        <v>112</v>
      </c>
      <c r="L23" s="87" t="s">
        <v>113</v>
      </c>
      <c r="M23" s="12"/>
      <c r="O23" s="75"/>
    </row>
    <row r="24" spans="1:15" ht="12" customHeight="1" x14ac:dyDescent="0.35">
      <c r="A24" s="16"/>
      <c r="B24" s="14">
        <f ca="1">D3</f>
        <v>44389</v>
      </c>
      <c r="C24" s="14">
        <f t="shared" ref="C24:C28" ca="1" si="1">IF(A24&gt;$D$8,"",B24)</f>
        <v>44389</v>
      </c>
      <c r="D24" s="16"/>
      <c r="E24" s="15">
        <f>IF(L8="кредит",D7+J8,D7)</f>
        <v>4000000</v>
      </c>
      <c r="F24" s="16"/>
      <c r="G24" s="16"/>
      <c r="H24" s="55">
        <f>-E24+I24+K9</f>
        <v>39996342857.160004</v>
      </c>
      <c r="I24" s="15">
        <f>K8</f>
        <v>40000000000</v>
      </c>
      <c r="J24" s="15">
        <f>K9</f>
        <v>342857.16000000009</v>
      </c>
      <c r="K24" s="17"/>
      <c r="L24" s="18"/>
      <c r="M24" s="12"/>
    </row>
    <row r="25" spans="1:15" x14ac:dyDescent="0.35">
      <c r="A25" s="13">
        <v>1</v>
      </c>
      <c r="B25" s="50">
        <f ca="1">EDATE($B$24,1)</f>
        <v>44420</v>
      </c>
      <c r="C25" s="14">
        <f t="shared" ca="1" si="1"/>
        <v>44420</v>
      </c>
      <c r="D25" s="13">
        <f t="shared" ref="D25:D36" ca="1" si="2">B25-B24</f>
        <v>31</v>
      </c>
      <c r="E25" s="15">
        <f t="shared" ref="E25:E36" ca="1" si="3">E24-F25</f>
        <v>4001649.1671741391</v>
      </c>
      <c r="F25" s="19">
        <f ca="1">F13-G25</f>
        <v>-1649.1671741389291</v>
      </c>
      <c r="G25" s="19">
        <f ca="1">E24*D25*$D$9/IF(OR(YEAR(C25)=2020,YEAR(C25)=2024),366,365)</f>
        <v>101883.83561643836</v>
      </c>
      <c r="H25" s="19">
        <f>$F$11+$F$12</f>
        <v>100234.66844229943</v>
      </c>
      <c r="I25" s="13"/>
      <c r="J25" s="13"/>
      <c r="K25" s="52" t="str">
        <f>IF(A24=$D$8,XIRR(H$24:H24,C$24:C24),"")</f>
        <v/>
      </c>
      <c r="L25" s="13"/>
    </row>
    <row r="26" spans="1:15" x14ac:dyDescent="0.35">
      <c r="A26" s="13">
        <f>IF(A25&lt;$D$8,A25+1,"")</f>
        <v>2</v>
      </c>
      <c r="B26" s="50">
        <f ca="1">EDATE($B$24,2)</f>
        <v>44451</v>
      </c>
      <c r="C26" s="14">
        <f t="shared" ca="1" si="1"/>
        <v>44451</v>
      </c>
      <c r="D26" s="13">
        <f t="shared" ca="1" si="2"/>
        <v>31</v>
      </c>
      <c r="E26" s="15">
        <f t="shared" ca="1" si="3"/>
        <v>4003340.3402175964</v>
      </c>
      <c r="F26" s="15">
        <f ca="1">IF(AND(A25="",A27=""),"",IF(A26="",SUM($F$25:F25),IF(A26=$D$8,$E$24-SUM($F$25:F25),$F$13-G26)))</f>
        <v>-1691.1730434574274</v>
      </c>
      <c r="G26" s="15">
        <f ca="1">IF(A25=$D$8,SUM($G$25:G25),IF(A25&gt;$D$8,"",E25*D26*$D$9/IF(OR(YEAR(C26)=2020,YEAR(C26)=2024),366,365)))</f>
        <v>101925.84148575686</v>
      </c>
      <c r="H26" s="15">
        <f ca="1">IF(A25=$D$8,SUM($H$25:H25),IF(A25="","",(G26+F26)))</f>
        <v>100234.66844229943</v>
      </c>
      <c r="I26" s="13"/>
      <c r="J26" s="13"/>
      <c r="K26" s="52" t="str">
        <f>IF(A25=$D$8,XIRR(H$24:H25,C$24:C25),"")</f>
        <v/>
      </c>
      <c r="L26" s="13"/>
    </row>
    <row r="27" spans="1:15" x14ac:dyDescent="0.35">
      <c r="A27" s="13">
        <f t="shared" ref="A27:A90" si="4">IF(A26&lt;$D$8,A26+1,"")</f>
        <v>3</v>
      </c>
      <c r="B27" s="50">
        <f ca="1">EDATE($B$24,3)</f>
        <v>44481</v>
      </c>
      <c r="C27" s="14">
        <f t="shared" ca="1" si="1"/>
        <v>44481</v>
      </c>
      <c r="D27" s="13">
        <f t="shared" ca="1" si="2"/>
        <v>30</v>
      </c>
      <c r="E27" s="15">
        <f t="shared" ca="1" si="3"/>
        <v>4001785.269147729</v>
      </c>
      <c r="F27" s="15">
        <f ca="1">IF(AND(A26="",A28=""),"",IF(A27="",SUM($F$25:F26),IF(A27=$D$8,$E$24-SUM($F$25:F26),$F$13-G27)))</f>
        <v>1555.0710698673356</v>
      </c>
      <c r="G27" s="15">
        <f ca="1">IF(A26=$D$8,SUM($G$25:G26),IF(A26&gt;$D$8,"",E26*D27*$D$9/IF(OR(YEAR(C27)=2020,YEAR(C27)=2024),366,365)))</f>
        <v>98679.597372432094</v>
      </c>
      <c r="H27" s="15">
        <f ca="1">IF(A26=$D$8,SUM($H$25:H26),IF(A26="","",(G27+F27)))</f>
        <v>100234.66844229943</v>
      </c>
      <c r="I27" s="13"/>
      <c r="J27" s="13"/>
      <c r="K27" s="52" t="str">
        <f>IF(A26=$D$8,XIRR(H$24:H26,C$24:C26),"")</f>
        <v/>
      </c>
      <c r="L27" s="15" t="str">
        <f t="shared" ref="L27:L36" si="5">IF(A26=$D$8,G27+I27+F27,"")</f>
        <v/>
      </c>
    </row>
    <row r="28" spans="1:15" x14ac:dyDescent="0.35">
      <c r="A28" s="13">
        <f t="shared" si="4"/>
        <v>4</v>
      </c>
      <c r="B28" s="50">
        <f ca="1">EDATE($B$24,4)</f>
        <v>44512</v>
      </c>
      <c r="C28" s="14">
        <f t="shared" ca="1" si="1"/>
        <v>44512</v>
      </c>
      <c r="D28" s="13">
        <f t="shared" ca="1" si="2"/>
        <v>31</v>
      </c>
      <c r="E28" s="15">
        <f t="shared" ca="1" si="3"/>
        <v>4003479.9088389627</v>
      </c>
      <c r="F28" s="15">
        <f ca="1">IF(AND(A27="",A29=""),"",IF(A28="",SUM($F$25:F27),IF(A28=$D$8,$E$24-SUM($F$25:F27),$F$13-G28)))</f>
        <v>-1694.6396912335185</v>
      </c>
      <c r="G28" s="15">
        <f ca="1">IF(A27=$D$8,SUM($G$25:G27),IF(A27&gt;$D$8,"",E27*D28*$D$9/IF(OR(YEAR(C28)=2020,YEAR(C28)=2024),366,365)))</f>
        <v>101929.30813353295</v>
      </c>
      <c r="H28" s="15">
        <f ca="1">IF(A27=$D$8,SUM($H$25:H27),IF(A27="","",(G28+F28)))</f>
        <v>100234.66844229943</v>
      </c>
      <c r="I28" s="13"/>
      <c r="J28" s="13"/>
      <c r="K28" s="52" t="str">
        <f>IF(A27=$D$8,XIRR(H$24:H27,C$24:C27),"")</f>
        <v/>
      </c>
      <c r="L28" s="15" t="str">
        <f t="shared" si="5"/>
        <v/>
      </c>
    </row>
    <row r="29" spans="1:15" x14ac:dyDescent="0.35">
      <c r="A29" s="13">
        <f t="shared" si="4"/>
        <v>5</v>
      </c>
      <c r="B29" s="50">
        <f ca="1">EDATE($B$24,5)</f>
        <v>44542</v>
      </c>
      <c r="C29" s="14">
        <f t="shared" ref="C29:C47" ca="1" si="6">IF(B29&gt;$F$10,"",IF(B29=$F$10,B29-1,B29))</f>
        <v>44542</v>
      </c>
      <c r="D29" s="13">
        <f t="shared" ca="1" si="2"/>
        <v>30</v>
      </c>
      <c r="E29" s="15">
        <f t="shared" ca="1" si="3"/>
        <v>4001928.278040017</v>
      </c>
      <c r="F29" s="15">
        <f ca="1">IF(AND(A28="",A30=""),"",IF(A29="",SUM($F$25:F28),IF(A29=$D$8,$E$24-SUM($F$25:F28),$F$13-G29)))</f>
        <v>1551.6307989456109</v>
      </c>
      <c r="G29" s="15">
        <f ca="1">IF(A28=$D$8,SUM($G$25:G28),IF(A28&gt;$D$8,"",E28*D29*$D$9/IF(OR(YEAR(C29)=2020,YEAR(C29)=2024),366,365)))</f>
        <v>98683.037643353819</v>
      </c>
      <c r="H29" s="15">
        <f ca="1">IF(A28=$D$8,SUM($H$25:H28),IF(A28="","",(G29+F29)))</f>
        <v>100234.66844229943</v>
      </c>
      <c r="I29" s="15" t="str">
        <f t="shared" ref="I29:I37" si="7">IF(A29="",$I$24,"")</f>
        <v/>
      </c>
      <c r="J29" s="15"/>
      <c r="K29" s="52" t="str">
        <f>IF(A28=$D$8,XIRR(H$24:H28,C$24:C28),"")</f>
        <v/>
      </c>
      <c r="L29" s="15" t="str">
        <f t="shared" si="5"/>
        <v/>
      </c>
    </row>
    <row r="30" spans="1:15" x14ac:dyDescent="0.35">
      <c r="A30" s="13">
        <f t="shared" si="4"/>
        <v>6</v>
      </c>
      <c r="B30" s="50">
        <f ca="1">EDATE($B$24,6)</f>
        <v>44573</v>
      </c>
      <c r="C30" s="14">
        <f t="shared" ca="1" si="6"/>
        <v>44573</v>
      </c>
      <c r="D30" s="13">
        <f t="shared" ca="1" si="2"/>
        <v>31</v>
      </c>
      <c r="E30" s="15">
        <f t="shared" ca="1" si="3"/>
        <v>4003626.560304869</v>
      </c>
      <c r="F30" s="15">
        <f ca="1">IF(AND(A29="",A31=""),"",IF(A30="",SUM($F$25:F29),IF(A30=$D$8,$E$24-SUM($F$25:F29),$F$13-G30)))</f>
        <v>-1698.2822648518923</v>
      </c>
      <c r="G30" s="15">
        <f ca="1">IF(A29=$D$8,SUM($G$25:G29),IF(A29&gt;$D$8,"",E29*D30*$D$9/IF(OR(YEAR(C30)=2020,YEAR(C30)=2024),366,365)))</f>
        <v>101932.95070715132</v>
      </c>
      <c r="H30" s="15">
        <f ca="1">IF(A29=$D$8,SUM($H$25:H29),IF(A29="","",(G30+F30)))</f>
        <v>100234.66844229943</v>
      </c>
      <c r="I30" s="15" t="str">
        <f t="shared" si="7"/>
        <v/>
      </c>
      <c r="J30" s="15"/>
      <c r="K30" s="52" t="str">
        <f>IF(A29=$D$8,XIRR(H$24:H29,C$24:C29),"")</f>
        <v/>
      </c>
      <c r="L30" s="15" t="str">
        <f t="shared" si="5"/>
        <v/>
      </c>
    </row>
    <row r="31" spans="1:15" x14ac:dyDescent="0.35">
      <c r="A31" s="13">
        <f t="shared" si="4"/>
        <v>7</v>
      </c>
      <c r="B31" s="50">
        <f ca="1">EDATE($B$24,7)</f>
        <v>44604</v>
      </c>
      <c r="C31" s="14">
        <f t="shared" ca="1" si="6"/>
        <v>44604</v>
      </c>
      <c r="D31" s="13">
        <f t="shared" ca="1" si="2"/>
        <v>31</v>
      </c>
      <c r="E31" s="15">
        <f t="shared" ca="1" si="3"/>
        <v>4005368.0994474967</v>
      </c>
      <c r="F31" s="15">
        <f ca="1">IF(AND(A30="",A32=""),"",IF(A31="",SUM($F$25:F30),IF(A31=$D$8,$E$24-SUM($F$25:F30),$F$13-G31)))</f>
        <v>-1741.539142627531</v>
      </c>
      <c r="G31" s="15">
        <f ca="1">IF(A30=$D$8,SUM($G$25:G30),IF(A30&gt;$D$8,"",E30*D31*$D$9/IF(OR(YEAR(C31)=2020,YEAR(C31)=2024),366,365)))</f>
        <v>101976.20758492696</v>
      </c>
      <c r="H31" s="15">
        <f ca="1">IF(A30=$D$8,SUM($H$25:H30),IF(A30="","",(G31+F31)))</f>
        <v>100234.66844229943</v>
      </c>
      <c r="I31" s="15" t="str">
        <f t="shared" si="7"/>
        <v/>
      </c>
      <c r="J31" s="15"/>
      <c r="K31" s="52" t="str">
        <f>IF(A30=$D$8,XIRR(H$24:H30,C$24:C30),"")</f>
        <v/>
      </c>
      <c r="L31" s="15" t="str">
        <f t="shared" si="5"/>
        <v/>
      </c>
    </row>
    <row r="32" spans="1:15" x14ac:dyDescent="0.35">
      <c r="A32" s="13">
        <f t="shared" si="4"/>
        <v>8</v>
      </c>
      <c r="B32" s="50">
        <f ca="1">EDATE($B$24,8)</f>
        <v>44632</v>
      </c>
      <c r="C32" s="14">
        <f t="shared" ca="1" si="6"/>
        <v>44632</v>
      </c>
      <c r="D32" s="13">
        <f t="shared" ca="1" si="2"/>
        <v>28</v>
      </c>
      <c r="E32" s="15">
        <f t="shared" ca="1" si="3"/>
        <v>3997281.0392371989</v>
      </c>
      <c r="F32" s="15">
        <f ca="1">IF(AND(A31="",A33=""),"",IF(A32="",SUM($F$25:F31),IF(A32=$D$8,$E$24-SUM($F$25:F31),$F$13-G32)))</f>
        <v>8087.0602102980047</v>
      </c>
      <c r="G32" s="15">
        <f ca="1">IF(A31=$D$8,SUM($G$25:G31),IF(A31&gt;$D$8,"",E31*D32*$D$9/IF(OR(YEAR(C32)=2020,YEAR(C32)=2024),366,365)))</f>
        <v>92147.608232001425</v>
      </c>
      <c r="H32" s="15">
        <f ca="1">IF(A31=$D$8,SUM($H$25:H31),IF(A31="","",(G32+F32)))</f>
        <v>100234.66844229943</v>
      </c>
      <c r="I32" s="15" t="str">
        <f t="shared" si="7"/>
        <v/>
      </c>
      <c r="J32" s="15"/>
      <c r="K32" s="52" t="str">
        <f>IF(A31=$D$8,XIRR(H$24:H31,C$24:C31),"")</f>
        <v/>
      </c>
      <c r="L32" s="15" t="str">
        <f t="shared" si="5"/>
        <v/>
      </c>
    </row>
    <row r="33" spans="1:12" x14ac:dyDescent="0.35">
      <c r="A33" s="13">
        <f t="shared" si="4"/>
        <v>9</v>
      </c>
      <c r="B33" s="50">
        <f ca="1">EDATE($B$24,9)</f>
        <v>44663</v>
      </c>
      <c r="C33" s="14">
        <f t="shared" ca="1" si="6"/>
        <v>44663</v>
      </c>
      <c r="D33" s="13">
        <f t="shared" ca="1" si="2"/>
        <v>31</v>
      </c>
      <c r="E33" s="15">
        <f t="shared" ca="1" si="3"/>
        <v>3998860.9518734869</v>
      </c>
      <c r="F33" s="15">
        <f ca="1">IF(AND(A32="",A34=""),"",IF(A33="",SUM($F$25:F32),IF(A33=$D$8,$E$24-SUM($F$25:F32),$F$13-G33)))</f>
        <v>-1579.9126362877432</v>
      </c>
      <c r="G33" s="15">
        <f ca="1">IF(A32=$D$8,SUM($G$25:G32),IF(A32&gt;$D$8,"",E32*D33*$D$9/IF(OR(YEAR(C33)=2020,YEAR(C33)=2024),366,365)))</f>
        <v>101814.58107858717</v>
      </c>
      <c r="H33" s="15">
        <f ca="1">IF(A32=$D$8,SUM($H$25:H32),IF(A32="","",(G33+F33)))</f>
        <v>100234.66844229943</v>
      </c>
      <c r="I33" s="15" t="str">
        <f t="shared" si="7"/>
        <v/>
      </c>
      <c r="J33" s="15"/>
      <c r="K33" s="52" t="str">
        <f>IF(A32=$D$8,XIRR(H$24:H32,C$24:C32),"")</f>
        <v/>
      </c>
      <c r="L33" s="15" t="str">
        <f t="shared" si="5"/>
        <v/>
      </c>
    </row>
    <row r="34" spans="1:12" x14ac:dyDescent="0.35">
      <c r="A34" s="13">
        <f t="shared" si="4"/>
        <v>10</v>
      </c>
      <c r="B34" s="50">
        <f ca="1">EDATE($B$24,10)</f>
        <v>44693</v>
      </c>
      <c r="C34" s="14">
        <f t="shared" ca="1" si="6"/>
        <v>44693</v>
      </c>
      <c r="D34" s="13">
        <f t="shared" ca="1" si="2"/>
        <v>30</v>
      </c>
      <c r="E34" s="15">
        <f t="shared" ca="1" si="3"/>
        <v>3997195.4669490112</v>
      </c>
      <c r="F34" s="15">
        <f ca="1">IF(AND(A33="",A35=""),"",IF(A34="",SUM($F$25:F33),IF(A34=$D$8,$E$24-SUM($F$25:F33),$F$13-G34)))</f>
        <v>1665.4849244754441</v>
      </c>
      <c r="G34" s="15">
        <f ca="1">IF(A33=$D$8,SUM($G$25:G33),IF(A33&gt;$D$8,"",E33*D34*$D$9/IF(OR(YEAR(C34)=2020,YEAR(C34)=2024),366,365)))</f>
        <v>98569.183517823985</v>
      </c>
      <c r="H34" s="15">
        <f ca="1">IF(A33=$D$8,SUM($H$25:H33),IF(A33="","",(G34+F34)))</f>
        <v>100234.66844229943</v>
      </c>
      <c r="I34" s="15" t="str">
        <f t="shared" si="7"/>
        <v/>
      </c>
      <c r="J34" s="15"/>
      <c r="K34" s="52" t="str">
        <f>IF(A33=$D$8,XIRR(H$24:H33,C$24:C33),"")</f>
        <v/>
      </c>
      <c r="L34" s="15" t="str">
        <f t="shared" si="5"/>
        <v/>
      </c>
    </row>
    <row r="35" spans="1:12" x14ac:dyDescent="0.35">
      <c r="A35" s="13">
        <f t="shared" si="4"/>
        <v>11</v>
      </c>
      <c r="B35" s="50">
        <f ca="1">EDATE($B$24,11)</f>
        <v>44724</v>
      </c>
      <c r="C35" s="14">
        <f t="shared" ca="1" si="6"/>
        <v>44724</v>
      </c>
      <c r="D35" s="13">
        <f t="shared" ca="1" si="2"/>
        <v>31</v>
      </c>
      <c r="E35" s="15">
        <f t="shared" ca="1" si="3"/>
        <v>3998773.1999770631</v>
      </c>
      <c r="F35" s="15">
        <f ca="1">IF(AND(A34="",A36=""),"",IF(A35="",SUM($F$25:F34),IF(A35=$D$8,$E$24-SUM($F$25:F34),$F$13-G35)))</f>
        <v>-1577.7330280519673</v>
      </c>
      <c r="G35" s="15">
        <f ca="1">IF(A34=$D$8,SUM($G$25:G34),IF(A34&gt;$D$8,"",E34*D35*$D$9/IF(OR(YEAR(C35)=2020,YEAR(C35)=2024),366,365)))</f>
        <v>101812.4014703514</v>
      </c>
      <c r="H35" s="15">
        <f ca="1">IF(A34=$D$8,SUM($H$25:H34),IF(A34="","",(G35+F35)))</f>
        <v>100234.66844229943</v>
      </c>
      <c r="I35" s="15" t="str">
        <f t="shared" si="7"/>
        <v/>
      </c>
      <c r="J35" s="15"/>
      <c r="K35" s="52" t="str">
        <f>IF(A34=$D$8,XIRR(H$24:H34,C$24:C34),"")</f>
        <v/>
      </c>
      <c r="L35" s="15" t="str">
        <f t="shared" si="5"/>
        <v/>
      </c>
    </row>
    <row r="36" spans="1:12" x14ac:dyDescent="0.35">
      <c r="A36" s="13">
        <f t="shared" si="4"/>
        <v>12</v>
      </c>
      <c r="B36" s="50">
        <f ca="1">EDATE($B$24,12)</f>
        <v>44754</v>
      </c>
      <c r="C36" s="14">
        <f t="shared" ca="1" si="6"/>
        <v>44754</v>
      </c>
      <c r="D36" s="13">
        <f t="shared" ca="1" si="2"/>
        <v>30</v>
      </c>
      <c r="E36" s="15">
        <f t="shared" ca="1" si="3"/>
        <v>3997105.5520284451</v>
      </c>
      <c r="F36" s="15">
        <f ca="1">IF(AND(A35="",A37=""),"",IF(A36="",SUM($F$25:F35),IF(A36=$D$8,$E$24-SUM($F$25:F35),$F$13-G36)))</f>
        <v>1667.6479486182361</v>
      </c>
      <c r="G36" s="15">
        <f ca="1">IF(A35=$D$8,SUM($G$25:G35),IF(A35&gt;$D$8,"",E35*D36*$D$9/IF(OR(YEAR(C36)=2020,YEAR(C36)=2024),366,365)))</f>
        <v>98567.020493681193</v>
      </c>
      <c r="H36" s="15">
        <f ca="1">IF(A35=$D$8,SUM($H$25:H35),IF(A35="","",(G36+F36)))</f>
        <v>100234.66844229943</v>
      </c>
      <c r="I36" s="15" t="str">
        <f t="shared" si="7"/>
        <v/>
      </c>
      <c r="J36" s="15"/>
      <c r="K36" s="52" t="str">
        <f>IF(A35=$D$8,XIRR(H$24:H35,C$24:C35),"")</f>
        <v/>
      </c>
      <c r="L36" s="15" t="str">
        <f t="shared" si="5"/>
        <v/>
      </c>
    </row>
    <row r="37" spans="1:12" x14ac:dyDescent="0.35">
      <c r="A37" s="13">
        <f t="shared" si="4"/>
        <v>13</v>
      </c>
      <c r="B37" s="50">
        <f ca="1">EDATE($B$24,13)</f>
        <v>44785</v>
      </c>
      <c r="C37" s="14">
        <f t="shared" ca="1" si="6"/>
        <v>44785</v>
      </c>
      <c r="D37" s="13">
        <f ca="1">IF(A37&gt;$D$8,"",C37-C36)</f>
        <v>31</v>
      </c>
      <c r="E37" s="15">
        <f t="shared" ref="E37:E100" ca="1" si="8">IF(A37&gt;$D$8,"",E36-F37)</f>
        <v>3998680.9948372506</v>
      </c>
      <c r="F37" s="15">
        <f ca="1">IF(AND(A36="",A38=""),"",IF(A37="",SUM($F$25:F36),IF(A37=$D$8,$E$24-SUM($F$25:F36),$F$13-G37)))</f>
        <v>-1575.4428088053683</v>
      </c>
      <c r="G37" s="15">
        <f ca="1">IF(A36=$D$8,SUM($G$25:G36),IF(A36&gt;$D$8,"",E36*D37*$D$9/IF(OR(YEAR(C37)=2020,YEAR(C37)=2024),366,365)))</f>
        <v>101810.1112511048</v>
      </c>
      <c r="H37" s="15">
        <f ca="1">IF(A36=$D$8,SUM($H$25:H36),IF(A36="","",(G37+F37)))</f>
        <v>100234.66844229943</v>
      </c>
      <c r="I37" s="15" t="str">
        <f t="shared" si="7"/>
        <v/>
      </c>
      <c r="J37" s="15"/>
      <c r="K37" s="52" t="str">
        <f>IF(A36=$D$8,XIRR(H$24:H36,C$24:C36),"")</f>
        <v/>
      </c>
      <c r="L37" s="144" t="str">
        <f>IF(A36=$D$8,G37+I37+F37+$J$24,"")</f>
        <v/>
      </c>
    </row>
    <row r="38" spans="1:12" x14ac:dyDescent="0.35">
      <c r="A38" s="13">
        <f t="shared" si="4"/>
        <v>14</v>
      </c>
      <c r="B38" s="50">
        <f ca="1">EDATE($B$24,14)</f>
        <v>44816</v>
      </c>
      <c r="C38" s="14">
        <f t="shared" ca="1" si="6"/>
        <v>44816</v>
      </c>
      <c r="D38" s="13">
        <f t="shared" ref="D38:D101" ca="1" si="9">IF(A38&gt;$D$8,"",C38-C37)</f>
        <v>31</v>
      </c>
      <c r="E38" s="15">
        <f t="shared" ca="1" si="8"/>
        <v>4000296.5656850948</v>
      </c>
      <c r="F38" s="15">
        <f ca="1">IF(AND(A37="",A39=""),"",IF(A38="",SUM($F$25:F37),IF(A38=$D$8,$E$24-SUM($F$25:F37),$F$13-G38)))</f>
        <v>-1615.5708478442248</v>
      </c>
      <c r="G38" s="15">
        <f ca="1">IF(A37=$D$8,SUM($G$25:G37),IF(A37&gt;$D$8,"",E37*D38*$D$9/IF(OR(YEAR(C38)=2020,YEAR(C38)=2024),366,365)))</f>
        <v>101850.23929014365</v>
      </c>
      <c r="H38" s="15">
        <f ca="1">IF(A37=$D$8,SUM($H$25:H37),IF(A37="","",(G38+F38)))</f>
        <v>100234.66844229943</v>
      </c>
      <c r="I38" s="15" t="str">
        <f t="shared" ref="I38:I101" si="10">IF(A37=$F$8,$I$24,"")</f>
        <v/>
      </c>
      <c r="J38" s="15"/>
      <c r="K38" s="52" t="str">
        <f>IF(A37=$D$8,XIRR(H$24:H37,C$24:C37),"")</f>
        <v/>
      </c>
      <c r="L38" s="144" t="str">
        <f t="shared" ref="L38:L85" si="11">IF(A37=$D$8,G38+I38+F38+$J$24,"")</f>
        <v/>
      </c>
    </row>
    <row r="39" spans="1:12" x14ac:dyDescent="0.35">
      <c r="A39" s="13">
        <f t="shared" si="4"/>
        <v>15</v>
      </c>
      <c r="B39" s="50">
        <f ca="1">EDATE($B$24,15)</f>
        <v>44846</v>
      </c>
      <c r="C39" s="14">
        <f t="shared" ca="1" si="6"/>
        <v>44846</v>
      </c>
      <c r="D39" s="13">
        <f t="shared" ca="1" si="9"/>
        <v>30</v>
      </c>
      <c r="E39" s="15">
        <f t="shared" ca="1" si="8"/>
        <v>3998666.4676577784</v>
      </c>
      <c r="F39" s="15">
        <f ca="1">IF(AND(A38="",A40=""),"",IF(A39="",SUM($F$25:F38),IF(A39=$D$8,$E$24-SUM($F$25:F38),$F$13-G39)))</f>
        <v>1630.0980273164314</v>
      </c>
      <c r="G39" s="15">
        <f ca="1">IF(A38=$D$8,SUM($G$25:G38),IF(A38&gt;$D$8,"",E38*D39*$D$9/IF(OR(YEAR(C39)=2020,YEAR(C39)=2024),366,365)))</f>
        <v>98604.570414982998</v>
      </c>
      <c r="H39" s="15">
        <f ca="1">IF(A38=$D$8,SUM($H$25:H38),IF(A38="","",(G39+F39)))</f>
        <v>100234.66844229943</v>
      </c>
      <c r="I39" s="15" t="str">
        <f t="shared" si="10"/>
        <v/>
      </c>
      <c r="J39" s="15"/>
      <c r="K39" s="52" t="str">
        <f>IF(A38=$D$8,XIRR(H$24:H38,C$24:C38),"")</f>
        <v/>
      </c>
      <c r="L39" s="144" t="str">
        <f t="shared" si="11"/>
        <v/>
      </c>
    </row>
    <row r="40" spans="1:12" x14ac:dyDescent="0.35">
      <c r="A40" s="13">
        <f t="shared" si="4"/>
        <v>16</v>
      </c>
      <c r="B40" s="50">
        <f ca="1">EDATE($B$24,16)</f>
        <v>44877</v>
      </c>
      <c r="C40" s="14">
        <f t="shared" ca="1" si="6"/>
        <v>44877</v>
      </c>
      <c r="D40" s="13">
        <f t="shared" ca="1" si="9"/>
        <v>31</v>
      </c>
      <c r="E40" s="15">
        <f t="shared" ca="1" si="8"/>
        <v>4000281.6684844312</v>
      </c>
      <c r="F40" s="15">
        <f ca="1">IF(AND(A39="",A41=""),"",IF(A40="",SUM($F$25:F39),IF(A40=$D$8,$E$24-SUM($F$25:F39),$F$13-G40)))</f>
        <v>-1615.200826652901</v>
      </c>
      <c r="G40" s="15">
        <f ca="1">IF(A39=$D$8,SUM($G$25:G39),IF(A39&gt;$D$8,"",E39*D40*$D$9/IF(OR(YEAR(C40)=2020,YEAR(C40)=2024),366,365)))</f>
        <v>101849.86926895233</v>
      </c>
      <c r="H40" s="15">
        <f ca="1">IF(A39=$D$8,SUM($H$25:H39),IF(A39="","",(G40+F40)))</f>
        <v>100234.66844229943</v>
      </c>
      <c r="I40" s="15" t="str">
        <f t="shared" si="10"/>
        <v/>
      </c>
      <c r="J40" s="15"/>
      <c r="K40" s="52" t="str">
        <f>IF(A39=$D$8,XIRR(H$24:H39,C$24:C39),"")</f>
        <v/>
      </c>
      <c r="L40" s="144" t="str">
        <f t="shared" si="11"/>
        <v/>
      </c>
    </row>
    <row r="41" spans="1:12" x14ac:dyDescent="0.35">
      <c r="A41" s="13">
        <f t="shared" si="4"/>
        <v>17</v>
      </c>
      <c r="B41" s="50">
        <f ca="1">EDATE($B$24,17)</f>
        <v>44907</v>
      </c>
      <c r="C41" s="14">
        <f t="shared" ca="1" si="6"/>
        <v>44907</v>
      </c>
      <c r="D41" s="13">
        <f t="shared" ca="1" si="9"/>
        <v>30</v>
      </c>
      <c r="E41" s="15">
        <f t="shared" ca="1" si="8"/>
        <v>3998651.2032513218</v>
      </c>
      <c r="F41" s="15">
        <f ca="1">IF(AND(A40="",A42=""),"",IF(A41="",SUM($F$25:F40),IF(A41=$D$8,$E$24-SUM($F$25:F40),$F$13-G41)))</f>
        <v>1630.465233109222</v>
      </c>
      <c r="G41" s="15">
        <f ca="1">IF(A40=$D$8,SUM($G$25:G40),IF(A40&gt;$D$8,"",E40*D41*$D$9/IF(OR(YEAR(C41)=2020,YEAR(C41)=2024),366,365)))</f>
        <v>98604.203209190207</v>
      </c>
      <c r="H41" s="15">
        <f ca="1">IF(A40=$D$8,SUM($H$25:H40),IF(A40="","",(G41+F41)))</f>
        <v>100234.66844229943</v>
      </c>
      <c r="I41" s="15" t="str">
        <f t="shared" si="10"/>
        <v/>
      </c>
      <c r="J41" s="15"/>
      <c r="K41" s="52" t="str">
        <f>IF(A40=$D$8,XIRR(H$24:H40,C$24:C40),"")</f>
        <v/>
      </c>
      <c r="L41" s="144" t="str">
        <f t="shared" si="11"/>
        <v/>
      </c>
    </row>
    <row r="42" spans="1:12" x14ac:dyDescent="0.35">
      <c r="A42" s="13">
        <f t="shared" si="4"/>
        <v>18</v>
      </c>
      <c r="B42" s="50">
        <f ca="1">EDATE($B$24,18)</f>
        <v>44938</v>
      </c>
      <c r="C42" s="14">
        <f t="shared" ca="1" si="6"/>
        <v>44938</v>
      </c>
      <c r="D42" s="13">
        <f t="shared" ca="1" si="9"/>
        <v>31</v>
      </c>
      <c r="E42" s="15">
        <f t="shared" ca="1" si="8"/>
        <v>4000266.0152789052</v>
      </c>
      <c r="F42" s="15">
        <f ca="1">IF(AND(A41="",A43=""),"",IF(A42="",SUM($F$25:F41),IF(A42=$D$8,$E$24-SUM($F$25:F41),$F$13-G42)))</f>
        <v>-1614.8120275833498</v>
      </c>
      <c r="G42" s="15">
        <f ca="1">IF(A41=$D$8,SUM($G$25:G41),IF(A41&gt;$D$8,"",E41*D42*$D$9/IF(OR(YEAR(C42)=2020,YEAR(C42)=2024),366,365)))</f>
        <v>101849.48046988278</v>
      </c>
      <c r="H42" s="15">
        <f ca="1">IF(A41=$D$8,SUM($H$25:H41),IF(A41="","",(G42+F42)))</f>
        <v>100234.66844229943</v>
      </c>
      <c r="I42" s="15" t="str">
        <f t="shared" si="10"/>
        <v/>
      </c>
      <c r="J42" s="15"/>
      <c r="K42" s="52" t="str">
        <f>IF(A41=$D$8,XIRR(H$24:H41,C$24:C41),"")</f>
        <v/>
      </c>
      <c r="L42" s="144" t="str">
        <f t="shared" si="11"/>
        <v/>
      </c>
    </row>
    <row r="43" spans="1:12" x14ac:dyDescent="0.35">
      <c r="A43" s="13">
        <f t="shared" si="4"/>
        <v>19</v>
      </c>
      <c r="B43" s="50">
        <f ca="1">EDATE($B$24,19)</f>
        <v>44969</v>
      </c>
      <c r="C43" s="14">
        <f t="shared" ca="1" si="6"/>
        <v>44969</v>
      </c>
      <c r="D43" s="13">
        <f t="shared" ca="1" si="9"/>
        <v>31</v>
      </c>
      <c r="E43" s="15">
        <f t="shared" ca="1" si="8"/>
        <v>4001921.9581172811</v>
      </c>
      <c r="F43" s="15">
        <f ca="1">IF(AND(A42="",A44=""),"",IF(A43="",SUM($F$25:F42),IF(A43=$D$8,$E$24-SUM($F$25:F42),$F$13-G43)))</f>
        <v>-1655.9428383757768</v>
      </c>
      <c r="G43" s="15">
        <f ca="1">IF(A42=$D$8,SUM($G$25:G42),IF(A42&gt;$D$8,"",E42*D43*$D$9/IF(OR(YEAR(C43)=2020,YEAR(C43)=2024),366,365)))</f>
        <v>101890.61128067521</v>
      </c>
      <c r="H43" s="15">
        <f ca="1">IF(A42=$D$8,SUM($H$25:H42),IF(A42="","",(G43+F43)))</f>
        <v>100234.66844229943</v>
      </c>
      <c r="I43" s="15" t="str">
        <f t="shared" si="10"/>
        <v/>
      </c>
      <c r="J43" s="15"/>
      <c r="K43" s="52" t="str">
        <f>IF(A42=$D$8,XIRR(H$24:H42,C$24:C42),"")</f>
        <v/>
      </c>
      <c r="L43" s="144" t="str">
        <f t="shared" si="11"/>
        <v/>
      </c>
    </row>
    <row r="44" spans="1:12" x14ac:dyDescent="0.35">
      <c r="A44" s="13">
        <f t="shared" si="4"/>
        <v>20</v>
      </c>
      <c r="B44" s="50">
        <f ca="1">EDATE($B$24,20)</f>
        <v>44997</v>
      </c>
      <c r="C44" s="14">
        <f t="shared" ca="1" si="6"/>
        <v>44997</v>
      </c>
      <c r="D44" s="13">
        <f t="shared" ca="1" si="9"/>
        <v>28</v>
      </c>
      <c r="E44" s="15">
        <f t="shared" ca="1" si="8"/>
        <v>3993755.6158851255</v>
      </c>
      <c r="F44" s="15">
        <f ca="1">IF(AND(A43="",A45=""),"",IF(A44="",SUM($F$25:F43),IF(A44=$D$8,$E$24-SUM($F$25:F43),$F$13-G44)))</f>
        <v>8166.3422321557737</v>
      </c>
      <c r="G44" s="15">
        <f ca="1">IF(A43=$D$8,SUM($G$25:G43),IF(A43&gt;$D$8,"",E43*D44*$D$9/IF(OR(YEAR(C44)=2020,YEAR(C44)=2024),366,365)))</f>
        <v>92068.326210143656</v>
      </c>
      <c r="H44" s="15">
        <f ca="1">IF(A43=$D$8,SUM($H$25:H43),IF(A43="","",(G44+F44)))</f>
        <v>100234.66844229943</v>
      </c>
      <c r="I44" s="15" t="str">
        <f t="shared" si="10"/>
        <v/>
      </c>
      <c r="J44" s="15"/>
      <c r="K44" s="52" t="str">
        <f>IF(A43=$D$8,XIRR(H$24:H43,C$24:C43),"")</f>
        <v/>
      </c>
      <c r="L44" s="144" t="str">
        <f t="shared" si="11"/>
        <v/>
      </c>
    </row>
    <row r="45" spans="1:12" x14ac:dyDescent="0.35">
      <c r="A45" s="13">
        <f t="shared" si="4"/>
        <v>21</v>
      </c>
      <c r="B45" s="50">
        <f ca="1">EDATE($B$24,21)</f>
        <v>45028</v>
      </c>
      <c r="C45" s="14">
        <f t="shared" ca="1" si="6"/>
        <v>45028</v>
      </c>
      <c r="D45" s="13">
        <f t="shared" ca="1" si="9"/>
        <v>31</v>
      </c>
      <c r="E45" s="15">
        <f t="shared" ca="1" si="8"/>
        <v>3995245.7326080929</v>
      </c>
      <c r="F45" s="15">
        <f ca="1">IF(AND(A44="",A46=""),"",IF(A45="",SUM($F$25:F44),IF(A45=$D$8,$E$24-SUM($F$25:F44),$F$13-G45)))</f>
        <v>-1490.1167229674902</v>
      </c>
      <c r="G45" s="15">
        <f ca="1">IF(A44=$D$8,SUM($G$25:G44),IF(A44&gt;$D$8,"",E44*D45*$D$9/IF(OR(YEAR(C45)=2020,YEAR(C45)=2024),366,365)))</f>
        <v>101724.78516526692</v>
      </c>
      <c r="H45" s="15">
        <f ca="1">IF(A44=$D$8,SUM($H$25:H44),IF(A44="","",(G45+F45)))</f>
        <v>100234.66844229943</v>
      </c>
      <c r="I45" s="15" t="str">
        <f t="shared" si="10"/>
        <v/>
      </c>
      <c r="J45" s="15"/>
      <c r="K45" s="52" t="str">
        <f>IF(A44=$D$8,XIRR(H$24:H44,C$24:C44),"")</f>
        <v/>
      </c>
      <c r="L45" s="144" t="str">
        <f t="shared" si="11"/>
        <v/>
      </c>
    </row>
    <row r="46" spans="1:12" x14ac:dyDescent="0.35">
      <c r="A46" s="13">
        <f t="shared" si="4"/>
        <v>22</v>
      </c>
      <c r="B46" s="50">
        <f ca="1">EDATE($B$24,22)</f>
        <v>45058</v>
      </c>
      <c r="C46" s="14">
        <f t="shared" ca="1" si="6"/>
        <v>45058</v>
      </c>
      <c r="D46" s="13">
        <f t="shared" ca="1" si="9"/>
        <v>30</v>
      </c>
      <c r="E46" s="15">
        <f t="shared" ca="1" si="8"/>
        <v>3993491.1350049032</v>
      </c>
      <c r="F46" s="15">
        <f ca="1">IF(AND(A45="",A47=""),"",IF(A46="",SUM($F$25:F45),IF(A46=$D$8,$E$24-SUM($F$25:F45),$F$13-G46)))</f>
        <v>1754.5976031898026</v>
      </c>
      <c r="G46" s="15">
        <f ca="1">IF(A45=$D$8,SUM($G$25:G45),IF(A45&gt;$D$8,"",E45*D46*$D$9/IF(OR(YEAR(C46)=2020,YEAR(C46)=2024),366,365)))</f>
        <v>98480.070839109627</v>
      </c>
      <c r="H46" s="15">
        <f ca="1">IF(A45=$D$8,SUM($H$25:H45),IF(A45="","",(G46+F46)))</f>
        <v>100234.66844229943</v>
      </c>
      <c r="I46" s="15" t="str">
        <f t="shared" si="10"/>
        <v/>
      </c>
      <c r="J46" s="15"/>
      <c r="K46" s="52" t="str">
        <f>IF(A45=$D$8,XIRR(H$24:H45,C$24:C45),"")</f>
        <v/>
      </c>
      <c r="L46" s="144" t="str">
        <f t="shared" si="11"/>
        <v/>
      </c>
    </row>
    <row r="47" spans="1:12" x14ac:dyDescent="0.35">
      <c r="A47" s="13">
        <f t="shared" si="4"/>
        <v>23</v>
      </c>
      <c r="B47" s="50">
        <f ca="1">EDATE($B$24,23)</f>
        <v>45089</v>
      </c>
      <c r="C47" s="14">
        <f t="shared" ca="1" si="6"/>
        <v>45089</v>
      </c>
      <c r="D47" s="13">
        <f t="shared" ca="1" si="9"/>
        <v>31</v>
      </c>
      <c r="E47" s="15">
        <f t="shared" ca="1" si="8"/>
        <v>3994974.5151462397</v>
      </c>
      <c r="F47" s="15">
        <f ca="1">IF(AND(A46="",A48=""),"",IF(A47="",SUM($F$25:F46),IF(A47=$D$8,$E$24-SUM($F$25:F46),$F$13-G47)))</f>
        <v>-1483.3801413364272</v>
      </c>
      <c r="G47" s="15">
        <f ca="1">IF(A46=$D$8,SUM($G$25:G46),IF(A46&gt;$D$8,"",E46*D47*$D$9/IF(OR(YEAR(C47)=2020,YEAR(C47)=2024),366,365)))</f>
        <v>101718.04858363586</v>
      </c>
      <c r="H47" s="15">
        <f ca="1">IF(A46=$D$8,SUM($H$25:H46),IF(A46="","",(G47+F47)))</f>
        <v>100234.66844229943</v>
      </c>
      <c r="I47" s="15" t="str">
        <f t="shared" si="10"/>
        <v/>
      </c>
      <c r="J47" s="15"/>
      <c r="K47" s="52" t="str">
        <f>IF(A46=$D$8,XIRR(H$24:H46,C$24:C46),"")</f>
        <v/>
      </c>
      <c r="L47" s="144" t="str">
        <f t="shared" si="11"/>
        <v/>
      </c>
    </row>
    <row r="48" spans="1:12" x14ac:dyDescent="0.35">
      <c r="A48" s="13">
        <f t="shared" si="4"/>
        <v>24</v>
      </c>
      <c r="B48" s="50">
        <f ca="1">EDATE($B$24,24)</f>
        <v>45119</v>
      </c>
      <c r="C48" s="14">
        <f ca="1">IF(B48&gt;$F$10,"",IF(B48=$F$10,B48-1,B48))</f>
        <v>45119</v>
      </c>
      <c r="D48" s="13">
        <f t="shared" ca="1" si="9"/>
        <v>30</v>
      </c>
      <c r="E48" s="15">
        <f t="shared" ca="1" si="8"/>
        <v>3993213.2322183806</v>
      </c>
      <c r="F48" s="15">
        <f ca="1">IF(AND(A47="",A49=""),"",IF(A48="",SUM($F$25:F47),IF(A48=$D$8,$E$24-SUM($F$25:F47),$F$13-G48)))</f>
        <v>1761.2829278591089</v>
      </c>
      <c r="G48" s="15">
        <f ca="1">IF(A47=$D$8,SUM($G$25:G47),IF(A47&gt;$D$8,"",E47*D48*$D$9/IF(OR(YEAR(C48)=2020,YEAR(C48)=2024),366,365)))</f>
        <v>98473.385514440321</v>
      </c>
      <c r="H48" s="15">
        <f ca="1">IF(A47=$D$8,SUM($H$25:H47),IF(A47="","",(G48+F48)))</f>
        <v>100234.66844229943</v>
      </c>
      <c r="I48" s="15" t="str">
        <f t="shared" si="10"/>
        <v/>
      </c>
      <c r="J48" s="15"/>
      <c r="K48" s="52" t="str">
        <f>IF(A47=$D$8,XIRR(H$24:H47,C$24:C47),"")</f>
        <v/>
      </c>
      <c r="L48" s="144" t="str">
        <f t="shared" si="11"/>
        <v/>
      </c>
    </row>
    <row r="49" spans="1:12" x14ac:dyDescent="0.35">
      <c r="A49" s="13">
        <f t="shared" si="4"/>
        <v>25</v>
      </c>
      <c r="B49" s="50">
        <f ca="1">EDATE($B$24,25)</f>
        <v>45150</v>
      </c>
      <c r="C49" s="14">
        <f t="shared" ref="C49:C108" ca="1" si="12">IF(B49&gt;$F$10,"",IF(B49=$F$10,B49-1,B49))</f>
        <v>45150</v>
      </c>
      <c r="D49" s="13">
        <f t="shared" ca="1" si="9"/>
        <v>31</v>
      </c>
      <c r="E49" s="15">
        <f t="shared" ca="1" si="8"/>
        <v>3994689.5339092622</v>
      </c>
      <c r="F49" s="15">
        <f ca="1">IF(AND(A48="",A50=""),"",IF(A49="",SUM($F$25:F48),IF(A49=$D$8,$E$24-SUM($F$25:F48),$F$13-G49)))</f>
        <v>-1476.3016908815625</v>
      </c>
      <c r="G49" s="15">
        <f ca="1">IF(A48=$D$8,SUM($G$25:G48),IF(A48&gt;$D$8,"",E48*D49*$D$9/IF(OR(YEAR(C49)=2020,YEAR(C49)=2024),366,365)))</f>
        <v>101710.97013318099</v>
      </c>
      <c r="H49" s="15">
        <f ca="1">IF(A48=$D$8,SUM($H$25:H48),IF(A48="","",(G49+F49)))</f>
        <v>100234.66844229943</v>
      </c>
      <c r="I49" s="15" t="str">
        <f t="shared" si="10"/>
        <v/>
      </c>
      <c r="J49" s="15"/>
      <c r="K49" s="52" t="str">
        <f>IF(A48=$D$8,XIRR(H$24:H48,C$24:C48),"")</f>
        <v/>
      </c>
      <c r="L49" s="144" t="str">
        <f t="shared" si="11"/>
        <v/>
      </c>
    </row>
    <row r="50" spans="1:12" x14ac:dyDescent="0.35">
      <c r="A50" s="13">
        <f t="shared" si="4"/>
        <v>26</v>
      </c>
      <c r="B50" s="50">
        <f ca="1">EDATE($B$24,26)</f>
        <v>45181</v>
      </c>
      <c r="C50" s="14">
        <f t="shared" ca="1" si="12"/>
        <v>45181</v>
      </c>
      <c r="D50" s="13">
        <f t="shared" ca="1" si="9"/>
        <v>31</v>
      </c>
      <c r="E50" s="15">
        <f t="shared" ca="1" si="8"/>
        <v>3996203.4384198422</v>
      </c>
      <c r="F50" s="15">
        <f ca="1">IF(AND(A49="",A51=""),"",IF(A50="",SUM($F$25:F49),IF(A50=$D$8,$E$24-SUM($F$25:F49),$F$13-G50)))</f>
        <v>-1513.9045105800615</v>
      </c>
      <c r="G50" s="15">
        <f ca="1">IF(A49=$D$8,SUM($G$25:G49),IF(A49&gt;$D$8,"",E49*D50*$D$9/IF(OR(YEAR(C50)=2020,YEAR(C50)=2024),366,365)))</f>
        <v>101748.57295287949</v>
      </c>
      <c r="H50" s="15">
        <f ca="1">IF(A49=$D$8,SUM($H$25:H49),IF(A49="","",(G50+F50)))</f>
        <v>100234.66844229943</v>
      </c>
      <c r="I50" s="15" t="str">
        <f t="shared" si="10"/>
        <v/>
      </c>
      <c r="J50" s="15"/>
      <c r="K50" s="52" t="str">
        <f>IF(A49=$D$8,XIRR(H$24:H49,C$24:C49),"")</f>
        <v/>
      </c>
      <c r="L50" s="144" t="str">
        <f t="shared" si="11"/>
        <v/>
      </c>
    </row>
    <row r="51" spans="1:12" x14ac:dyDescent="0.35">
      <c r="A51" s="13">
        <f t="shared" si="4"/>
        <v>27</v>
      </c>
      <c r="B51" s="50">
        <f ca="1">EDATE($B$24,27)</f>
        <v>45211</v>
      </c>
      <c r="C51" s="14">
        <f t="shared" ca="1" si="12"/>
        <v>45211</v>
      </c>
      <c r="D51" s="13">
        <f t="shared" ca="1" si="9"/>
        <v>30</v>
      </c>
      <c r="E51" s="15">
        <f t="shared" ca="1" si="8"/>
        <v>3994472.4476089492</v>
      </c>
      <c r="F51" s="15">
        <f ca="1">IF(AND(A50="",A52=""),"",IF(A51="",SUM($F$25:F50),IF(A51=$D$8,$E$24-SUM($F$25:F50),$F$13-G51)))</f>
        <v>1730.9908108930686</v>
      </c>
      <c r="G51" s="15">
        <f ca="1">IF(A50=$D$8,SUM($G$25:G50),IF(A50&gt;$D$8,"",E50*D51*$D$9/IF(OR(YEAR(C51)=2020,YEAR(C51)=2024),366,365)))</f>
        <v>98503.677631406361</v>
      </c>
      <c r="H51" s="15">
        <f ca="1">IF(A50=$D$8,SUM($H$25:H50),IF(A50="","",(G51+F51)))</f>
        <v>100234.66844229943</v>
      </c>
      <c r="I51" s="15" t="str">
        <f t="shared" si="10"/>
        <v/>
      </c>
      <c r="J51" s="15"/>
      <c r="K51" s="52" t="str">
        <f>IF(A50=$D$8,XIRR(H$24:H50,C$24:C50),"")</f>
        <v/>
      </c>
      <c r="L51" s="144" t="str">
        <f t="shared" si="11"/>
        <v/>
      </c>
    </row>
    <row r="52" spans="1:12" x14ac:dyDescent="0.35">
      <c r="A52" s="13">
        <f t="shared" si="4"/>
        <v>28</v>
      </c>
      <c r="B52" s="50">
        <f ca="1">EDATE($B$24,28)</f>
        <v>45242</v>
      </c>
      <c r="C52" s="14">
        <f t="shared" ca="1" si="12"/>
        <v>45242</v>
      </c>
      <c r="D52" s="13">
        <f t="shared" ca="1" si="9"/>
        <v>31</v>
      </c>
      <c r="E52" s="15">
        <f t="shared" ca="1" si="8"/>
        <v>3995980.8227232955</v>
      </c>
      <c r="F52" s="15">
        <f ca="1">IF(AND(A51="",A53=""),"",IF(A52="",SUM($F$25:F51),IF(A52=$D$8,$E$24-SUM($F$25:F51),$F$13-G52)))</f>
        <v>-1508.3751143461704</v>
      </c>
      <c r="G52" s="15">
        <f ca="1">IF(A51=$D$8,SUM($G$25:G51),IF(A51&gt;$D$8,"",E51*D52*$D$9/IF(OR(YEAR(C52)=2020,YEAR(C52)=2024),366,365)))</f>
        <v>101743.0435566456</v>
      </c>
      <c r="H52" s="15">
        <f ca="1">IF(A51=$D$8,SUM($H$25:H51),IF(A51="","",(G52+F52)))</f>
        <v>100234.66844229943</v>
      </c>
      <c r="I52" s="15" t="str">
        <f t="shared" si="10"/>
        <v/>
      </c>
      <c r="J52" s="15"/>
      <c r="K52" s="52" t="str">
        <f>IF(A51=$D$8,XIRR(H$24:H51,C$24:C51),"")</f>
        <v/>
      </c>
      <c r="L52" s="144" t="str">
        <f t="shared" si="11"/>
        <v/>
      </c>
    </row>
    <row r="53" spans="1:12" x14ac:dyDescent="0.35">
      <c r="A53" s="13">
        <f t="shared" si="4"/>
        <v>29</v>
      </c>
      <c r="B53" s="50">
        <f ca="1">EDATE($B$24,29)</f>
        <v>45272</v>
      </c>
      <c r="C53" s="14">
        <f t="shared" ca="1" si="12"/>
        <v>45272</v>
      </c>
      <c r="D53" s="13">
        <f t="shared" ca="1" si="9"/>
        <v>30</v>
      </c>
      <c r="E53" s="15">
        <f t="shared" ca="1" si="8"/>
        <v>3994244.3445879589</v>
      </c>
      <c r="F53" s="15">
        <f ca="1">IF(AND(A52="",A54=""),"",IF(A53="",SUM($F$25:F52),IF(A53=$D$8,$E$24-SUM($F$25:F52),$F$13-G53)))</f>
        <v>1736.4781353364378</v>
      </c>
      <c r="G53" s="15">
        <f ca="1">IF(A52=$D$8,SUM($G$25:G52),IF(A52&gt;$D$8,"",E52*D53*$D$9/IF(OR(YEAR(C53)=2020,YEAR(C53)=2024),366,365)))</f>
        <v>98498.190306962992</v>
      </c>
      <c r="H53" s="15">
        <f ca="1">IF(A52=$D$8,SUM($H$25:H52),IF(A52="","",(G53+F53)))</f>
        <v>100234.66844229943</v>
      </c>
      <c r="I53" s="15" t="str">
        <f t="shared" si="10"/>
        <v/>
      </c>
      <c r="J53" s="15"/>
      <c r="K53" s="52" t="str">
        <f>IF(A52=$D$8,XIRR(H$24:H52,C$24:C52),"")</f>
        <v/>
      </c>
      <c r="L53" s="144" t="str">
        <f t="shared" si="11"/>
        <v/>
      </c>
    </row>
    <row r="54" spans="1:12" x14ac:dyDescent="0.35">
      <c r="A54" s="13">
        <f t="shared" si="4"/>
        <v>30</v>
      </c>
      <c r="B54" s="50">
        <f ca="1">EDATE($B$24,30)</f>
        <v>45303</v>
      </c>
      <c r="C54" s="14">
        <f t="shared" ca="1" si="12"/>
        <v>45303</v>
      </c>
      <c r="D54" s="13">
        <f t="shared" ca="1" si="9"/>
        <v>31</v>
      </c>
      <c r="E54" s="15">
        <f t="shared" ca="1" si="8"/>
        <v>3995468.9391161506</v>
      </c>
      <c r="F54" s="15">
        <f ca="1">IF(AND(A53="",A55=""),"",IF(A54="",SUM($F$25:F53),IF(A54=$D$8,$E$24-SUM($F$25:F53),$F$13-G54)))</f>
        <v>-1224.5945281918102</v>
      </c>
      <c r="G54" s="15">
        <f ca="1">IF(A53=$D$8,SUM($G$25:G53),IF(A53&gt;$D$8,"",E53*D54*$D$9/IF(OR(YEAR(C54)=2020,YEAR(C54)=2024),366,365)))</f>
        <v>101459.26297049124</v>
      </c>
      <c r="H54" s="15">
        <f ca="1">IF(A53=$D$8,SUM($H$25:H53),IF(A53="","",(G54+F54)))</f>
        <v>100234.66844229943</v>
      </c>
      <c r="I54" s="15" t="str">
        <f t="shared" si="10"/>
        <v/>
      </c>
      <c r="J54" s="15"/>
      <c r="K54" s="52" t="str">
        <f>IF(A53=$D$8,XIRR(H$24:H53,C$24:C53),"")</f>
        <v/>
      </c>
      <c r="L54" s="144" t="str">
        <f t="shared" si="11"/>
        <v/>
      </c>
    </row>
    <row r="55" spans="1:12" x14ac:dyDescent="0.35">
      <c r="A55" s="13">
        <f t="shared" si="4"/>
        <v>31</v>
      </c>
      <c r="B55" s="50">
        <f ca="1">EDATE($B$24,31)</f>
        <v>45334</v>
      </c>
      <c r="C55" s="14">
        <f t="shared" ca="1" si="12"/>
        <v>45334</v>
      </c>
      <c r="D55" s="13">
        <f t="shared" ca="1" si="9"/>
        <v>31</v>
      </c>
      <c r="E55" s="15">
        <f t="shared" ca="1" si="8"/>
        <v>3996724.640018302</v>
      </c>
      <c r="F55" s="15">
        <f ca="1">IF(AND(A54="",A56=""),"",IF(A55="",SUM($F$25:F54),IF(A55=$D$8,$E$24-SUM($F$25:F54),$F$13-G55)))</f>
        <v>-1255.7009021512204</v>
      </c>
      <c r="G55" s="15">
        <f ca="1">IF(A54=$D$8,SUM($G$25:G54),IF(A54&gt;$D$8,"",E54*D55*$D$9/IF(OR(YEAR(C55)=2020,YEAR(C55)=2024),366,365)))</f>
        <v>101490.36934445065</v>
      </c>
      <c r="H55" s="15">
        <f ca="1">IF(A54=$D$8,SUM($H$25:H54),IF(A54="","",(G55+F55)))</f>
        <v>100234.66844229943</v>
      </c>
      <c r="I55" s="15" t="str">
        <f t="shared" si="10"/>
        <v/>
      </c>
      <c r="J55" s="15"/>
      <c r="K55" s="52" t="str">
        <f>IF(A54=$D$8,XIRR(H$24:H54,C$24:C54),"")</f>
        <v/>
      </c>
      <c r="L55" s="144" t="str">
        <f t="shared" si="11"/>
        <v/>
      </c>
    </row>
    <row r="56" spans="1:12" x14ac:dyDescent="0.35">
      <c r="A56" s="13">
        <f t="shared" si="4"/>
        <v>32</v>
      </c>
      <c r="B56" s="50">
        <f ca="1">EDATE($B$24,32)</f>
        <v>45363</v>
      </c>
      <c r="C56" s="14">
        <f t="shared" ca="1" si="12"/>
        <v>45363</v>
      </c>
      <c r="D56" s="13">
        <f t="shared" ca="1" si="9"/>
        <v>29</v>
      </c>
      <c r="E56" s="15">
        <f t="shared" ca="1" si="8"/>
        <v>3991462.4138347544</v>
      </c>
      <c r="F56" s="15">
        <f ca="1">IF(AND(A55="",A57=""),"",IF(A56="",SUM($F$25:F55),IF(A56=$D$8,$E$24-SUM($F$25:F55),$F$13-G56)))</f>
        <v>5262.2261835475801</v>
      </c>
      <c r="G56" s="15">
        <f ca="1">IF(A55=$D$8,SUM($G$25:G55),IF(A55&gt;$D$8,"",E55*D56*$D$9/IF(OR(YEAR(C56)=2020,YEAR(C56)=2024),366,365)))</f>
        <v>94972.442258751849</v>
      </c>
      <c r="H56" s="15">
        <f ca="1">IF(A55=$D$8,SUM($H$25:H55),IF(A55="","",(G56+F56)))</f>
        <v>100234.66844229943</v>
      </c>
      <c r="I56" s="15" t="str">
        <f t="shared" si="10"/>
        <v/>
      </c>
      <c r="J56" s="15"/>
      <c r="K56" s="52" t="str">
        <f>IF(A55=$D$8,XIRR(H$24:H55,C$24:C55),"")</f>
        <v/>
      </c>
      <c r="L56" s="144" t="str">
        <f t="shared" si="11"/>
        <v/>
      </c>
    </row>
    <row r="57" spans="1:12" x14ac:dyDescent="0.35">
      <c r="A57" s="13">
        <f t="shared" si="4"/>
        <v>33</v>
      </c>
      <c r="B57" s="50">
        <f ca="1">EDATE($B$24,33)</f>
        <v>45394</v>
      </c>
      <c r="C57" s="14">
        <f t="shared" ca="1" si="12"/>
        <v>45394</v>
      </c>
      <c r="D57" s="13">
        <f t="shared" ca="1" si="9"/>
        <v>31</v>
      </c>
      <c r="E57" s="15">
        <f t="shared" ca="1" si="8"/>
        <v>3992616.3435213631</v>
      </c>
      <c r="F57" s="15">
        <f ca="1">IF(AND(A56="",A58=""),"",IF(A57="",SUM($F$25:F56),IF(A57=$D$8,$E$24-SUM($F$25:F56),$F$13-G57)))</f>
        <v>-1153.9296866085642</v>
      </c>
      <c r="G57" s="15">
        <f ca="1">IF(A56=$D$8,SUM($G$25:G56),IF(A56&gt;$D$8,"",E56*D57*$D$9/IF(OR(YEAR(C57)=2020,YEAR(C57)=2024),366,365)))</f>
        <v>101388.59812890799</v>
      </c>
      <c r="H57" s="15">
        <f ca="1">IF(A56=$D$8,SUM($H$25:H56),IF(A56="","",(G57+F57)))</f>
        <v>100234.66844229943</v>
      </c>
      <c r="I57" s="15" t="str">
        <f t="shared" si="10"/>
        <v/>
      </c>
      <c r="J57" s="15"/>
      <c r="K57" s="52" t="str">
        <f>IF(A56=$D$8,XIRR(H$24:H56,C$24:C56),"")</f>
        <v/>
      </c>
      <c r="L57" s="144" t="str">
        <f t="shared" si="11"/>
        <v/>
      </c>
    </row>
    <row r="58" spans="1:12" x14ac:dyDescent="0.35">
      <c r="A58" s="13">
        <f t="shared" si="4"/>
        <v>34</v>
      </c>
      <c r="B58" s="50">
        <f ca="1">EDATE($B$24,34)</f>
        <v>45424</v>
      </c>
      <c r="C58" s="14">
        <f t="shared" ca="1" si="12"/>
        <v>45424</v>
      </c>
      <c r="D58" s="13">
        <f t="shared" ca="1" si="9"/>
        <v>30</v>
      </c>
      <c r="E58" s="15">
        <f t="shared" ca="1" si="8"/>
        <v>3990528.0391300521</v>
      </c>
      <c r="F58" s="15">
        <f ca="1">IF(AND(A57="",A59=""),"",IF(A58="",SUM($F$25:F57),IF(A58=$D$8,$E$24-SUM($F$25:F57),$F$13-G58)))</f>
        <v>2088.304391311176</v>
      </c>
      <c r="G58" s="15">
        <f ca="1">IF(A57=$D$8,SUM($G$25:G57),IF(A57&gt;$D$8,"",E57*D58*$D$9/IF(OR(YEAR(C58)=2020,YEAR(C58)=2024),366,365)))</f>
        <v>98146.364050988253</v>
      </c>
      <c r="H58" s="15">
        <f ca="1">IF(A57=$D$8,SUM($H$25:H57),IF(A57="","",(G58+F58)))</f>
        <v>100234.66844229943</v>
      </c>
      <c r="I58" s="15" t="str">
        <f t="shared" si="10"/>
        <v/>
      </c>
      <c r="J58" s="15"/>
      <c r="K58" s="52" t="str">
        <f>IF(A57=$D$8,XIRR(H$24:H57,C$24:C57),"")</f>
        <v/>
      </c>
      <c r="L58" s="144" t="str">
        <f t="shared" si="11"/>
        <v/>
      </c>
    </row>
    <row r="59" spans="1:12" x14ac:dyDescent="0.35">
      <c r="A59" s="13">
        <f t="shared" si="4"/>
        <v>35</v>
      </c>
      <c r="B59" s="50">
        <f ca="1">EDATE($B$24,35)</f>
        <v>45455</v>
      </c>
      <c r="C59" s="14">
        <f t="shared" ca="1" si="12"/>
        <v>45455</v>
      </c>
      <c r="D59" s="13">
        <f t="shared" ca="1" si="9"/>
        <v>31</v>
      </c>
      <c r="E59" s="15">
        <f t="shared" ca="1" si="8"/>
        <v>3991658.234422693</v>
      </c>
      <c r="F59" s="15">
        <f ca="1">IF(AND(A58="",A60=""),"",IF(A59="",SUM($F$25:F58),IF(A59=$D$8,$E$24-SUM($F$25:F58),$F$13-G59)))</f>
        <v>-1130.1952926409576</v>
      </c>
      <c r="G59" s="15">
        <f ca="1">IF(A58=$D$8,SUM($G$25:G58),IF(A58&gt;$D$8,"",E58*D59*$D$9/IF(OR(YEAR(C59)=2020,YEAR(C59)=2024),366,365)))</f>
        <v>101364.86373494039</v>
      </c>
      <c r="H59" s="15">
        <f ca="1">IF(A58=$D$8,SUM($H$25:H58),IF(A58="","",(G59+F59)))</f>
        <v>100234.66844229943</v>
      </c>
      <c r="I59" s="15" t="str">
        <f t="shared" si="10"/>
        <v/>
      </c>
      <c r="J59" s="15"/>
      <c r="K59" s="52" t="str">
        <f>IF(A58=$D$8,XIRR(H$24:H58,C$24:C58),"")</f>
        <v/>
      </c>
      <c r="L59" s="144" t="str">
        <f t="shared" si="11"/>
        <v/>
      </c>
    </row>
    <row r="60" spans="1:12" x14ac:dyDescent="0.35">
      <c r="A60" s="13">
        <f t="shared" si="4"/>
        <v>36</v>
      </c>
      <c r="B60" s="50">
        <f ca="1">EDATE($B$24,36)</f>
        <v>45485</v>
      </c>
      <c r="C60" s="14">
        <f t="shared" ca="1" si="12"/>
        <v>45485</v>
      </c>
      <c r="D60" s="13">
        <f t="shared" ca="1" si="9"/>
        <v>30</v>
      </c>
      <c r="E60" s="15">
        <f t="shared" ca="1" si="8"/>
        <v>3989546.3778249319</v>
      </c>
      <c r="F60" s="15">
        <f ca="1">IF(AND(A59="",A61=""),"",IF(A60="",SUM($F$25:F59),IF(A60=$D$8,$E$24-SUM($F$25:F59),$F$13-G60)))</f>
        <v>2111.8565977612598</v>
      </c>
      <c r="G60" s="15">
        <f ca="1">IF(A59=$D$8,SUM($G$25:G59),IF(A59&gt;$D$8,"",E59*D60*$D$9/IF(OR(YEAR(C60)=2020,YEAR(C60)=2024),366,365)))</f>
        <v>98122.81184453817</v>
      </c>
      <c r="H60" s="15">
        <f ca="1">IF(A59=$D$8,SUM($H$25:H59),IF(A59="","",(G60+F60)))</f>
        <v>100234.66844229943</v>
      </c>
      <c r="I60" s="15" t="str">
        <f t="shared" si="10"/>
        <v/>
      </c>
      <c r="J60" s="15"/>
      <c r="K60" s="52" t="str">
        <f>IF(A59=$D$8,XIRR(H$24:H59,C$24:C59),"")</f>
        <v/>
      </c>
      <c r="L60" s="144" t="str">
        <f t="shared" si="11"/>
        <v/>
      </c>
    </row>
    <row r="61" spans="1:12" x14ac:dyDescent="0.35">
      <c r="A61" s="13">
        <f t="shared" si="4"/>
        <v>37</v>
      </c>
      <c r="B61" s="50">
        <f ca="1">EDATE($B$24,37)</f>
        <v>45516</v>
      </c>
      <c r="C61" s="14">
        <f t="shared" ca="1" si="12"/>
        <v>45516</v>
      </c>
      <c r="D61" s="13">
        <f t="shared" ca="1" si="9"/>
        <v>31</v>
      </c>
      <c r="E61" s="15">
        <f t="shared" ca="1" si="8"/>
        <v>3990651.6375793554</v>
      </c>
      <c r="F61" s="15">
        <f ca="1">IF(AND(A60="",A62=""),"",IF(A61="",SUM($F$25:F60),IF(A61=$D$8,$E$24-SUM($F$25:F60),$F$13-G61)))</f>
        <v>-1105.2597544235468</v>
      </c>
      <c r="G61" s="15">
        <f ca="1">IF(A60=$D$8,SUM($G$25:G60),IF(A60&gt;$D$8,"",E60*D61*$D$9/IF(OR(YEAR(C61)=2020,YEAR(C61)=2024),366,365)))</f>
        <v>101339.92819672298</v>
      </c>
      <c r="H61" s="15">
        <f ca="1">IF(A60=$D$8,SUM($H$25:H60),IF(A60="","",(G61+F61)))</f>
        <v>100234.66844229943</v>
      </c>
      <c r="I61" s="15" t="str">
        <f t="shared" si="10"/>
        <v/>
      </c>
      <c r="J61" s="15"/>
      <c r="K61" s="52" t="str">
        <f>IF(A60=$D$8,XIRR(H$24:H60,C$24:C60),"")</f>
        <v/>
      </c>
      <c r="L61" s="144" t="str">
        <f t="shared" si="11"/>
        <v/>
      </c>
    </row>
    <row r="62" spans="1:12" x14ac:dyDescent="0.35">
      <c r="A62" s="13">
        <f t="shared" si="4"/>
        <v>38</v>
      </c>
      <c r="B62" s="50">
        <f ca="1">EDATE($B$24,38)</f>
        <v>45547</v>
      </c>
      <c r="C62" s="14">
        <f t="shared" ca="1" si="12"/>
        <v>45547</v>
      </c>
      <c r="D62" s="13">
        <f t="shared" ca="1" si="9"/>
        <v>31</v>
      </c>
      <c r="E62" s="15">
        <f t="shared" ca="1" si="8"/>
        <v>3991784.9724414591</v>
      </c>
      <c r="F62" s="15">
        <f ca="1">IF(AND(A61="",A63=""),"",IF(A62="",SUM($F$25:F61),IF(A62=$D$8,$E$24-SUM($F$25:F61),$F$13-G62)))</f>
        <v>-1133.3348621035984</v>
      </c>
      <c r="G62" s="15">
        <f ca="1">IF(A61=$D$8,SUM($G$25:G61),IF(A61&gt;$D$8,"",E61*D62*$D$9/IF(OR(YEAR(C62)=2020,YEAR(C62)=2024),366,365)))</f>
        <v>101368.00330440303</v>
      </c>
      <c r="H62" s="15">
        <f ca="1">IF(A61=$D$8,SUM($H$25:H61),IF(A61="","",(G62+F62)))</f>
        <v>100234.66844229943</v>
      </c>
      <c r="I62" s="15" t="str">
        <f t="shared" si="10"/>
        <v/>
      </c>
      <c r="J62" s="15"/>
      <c r="K62" s="52" t="str">
        <f>IF(A61=$D$8,XIRR(H$24:H61,C$24:C61),"")</f>
        <v/>
      </c>
      <c r="L62" s="144" t="str">
        <f t="shared" si="11"/>
        <v/>
      </c>
    </row>
    <row r="63" spans="1:12" x14ac:dyDescent="0.35">
      <c r="A63" s="13">
        <f t="shared" si="4"/>
        <v>39</v>
      </c>
      <c r="B63" s="50">
        <f ca="1">EDATE($B$24,39)</f>
        <v>45577</v>
      </c>
      <c r="C63" s="14">
        <f t="shared" ca="1" si="12"/>
        <v>45577</v>
      </c>
      <c r="D63" s="13">
        <f t="shared" ca="1" si="9"/>
        <v>30</v>
      </c>
      <c r="E63" s="15">
        <f t="shared" ca="1" si="8"/>
        <v>3989676.2313135196</v>
      </c>
      <c r="F63" s="15">
        <f ca="1">IF(AND(A62="",A64=""),"",IF(A63="",SUM($F$25:F62),IF(A63=$D$8,$E$24-SUM($F$25:F62),$F$13-G63)))</f>
        <v>2108.7411279393127</v>
      </c>
      <c r="G63" s="15">
        <f ca="1">IF(A62=$D$8,SUM($G$25:G62),IF(A62&gt;$D$8,"",E62*D63*$D$9/IF(OR(YEAR(C63)=2020,YEAR(C63)=2024),366,365)))</f>
        <v>98125.927314360117</v>
      </c>
      <c r="H63" s="15">
        <f ca="1">IF(A62=$D$8,SUM($H$25:H62),IF(A62="","",(G63+F63)))</f>
        <v>100234.66844229943</v>
      </c>
      <c r="I63" s="15" t="str">
        <f t="shared" si="10"/>
        <v/>
      </c>
      <c r="J63" s="15"/>
      <c r="K63" s="52" t="str">
        <f>IF(A62=$D$8,XIRR(H$24:H62,C$24:C62),"")</f>
        <v/>
      </c>
      <c r="L63" s="144" t="str">
        <f t="shared" si="11"/>
        <v/>
      </c>
    </row>
    <row r="64" spans="1:12" x14ac:dyDescent="0.35">
      <c r="A64" s="13">
        <f t="shared" si="4"/>
        <v>40</v>
      </c>
      <c r="B64" s="50">
        <f ca="1">EDATE($B$24,40)</f>
        <v>45608</v>
      </c>
      <c r="C64" s="14">
        <f t="shared" ca="1" si="12"/>
        <v>45608</v>
      </c>
      <c r="D64" s="13">
        <f t="shared" ca="1" si="9"/>
        <v>31</v>
      </c>
      <c r="E64" s="15">
        <f t="shared" ca="1" si="8"/>
        <v>3990784.7895239489</v>
      </c>
      <c r="F64" s="15">
        <f ca="1">IF(AND(A63="",A65=""),"",IF(A64="",SUM($F$25:F63),IF(A64=$D$8,$E$24-SUM($F$25:F63),$F$13-G64)))</f>
        <v>-1108.5582104291389</v>
      </c>
      <c r="G64" s="15">
        <f ca="1">IF(A63=$D$8,SUM($G$25:G63),IF(A63&gt;$D$8,"",E63*D64*$D$9/IF(OR(YEAR(C64)=2020,YEAR(C64)=2024),366,365)))</f>
        <v>101343.22665272857</v>
      </c>
      <c r="H64" s="15">
        <f ca="1">IF(A63=$D$8,SUM($H$25:H63),IF(A63="","",(G64+F64)))</f>
        <v>100234.66844229943</v>
      </c>
      <c r="I64" s="15" t="str">
        <f t="shared" si="10"/>
        <v/>
      </c>
      <c r="J64" s="15"/>
      <c r="K64" s="52" t="str">
        <f>IF(A63=$D$8,XIRR(H$24:H63,C$24:C63),"")</f>
        <v/>
      </c>
      <c r="L64" s="144" t="str">
        <f t="shared" si="11"/>
        <v/>
      </c>
    </row>
    <row r="65" spans="1:12" x14ac:dyDescent="0.35">
      <c r="A65" s="13">
        <f t="shared" si="4"/>
        <v>41</v>
      </c>
      <c r="B65" s="50">
        <f ca="1">EDATE($B$24,41)</f>
        <v>45638</v>
      </c>
      <c r="C65" s="14">
        <f t="shared" ca="1" si="12"/>
        <v>45638</v>
      </c>
      <c r="D65" s="13">
        <f t="shared" ca="1" si="9"/>
        <v>30</v>
      </c>
      <c r="E65" s="15">
        <f t="shared" ca="1" si="8"/>
        <v>3988651.4619323243</v>
      </c>
      <c r="F65" s="15">
        <f ca="1">IF(AND(A64="",A66=""),"",IF(A65="",SUM($F$25:F64),IF(A65=$D$8,$E$24-SUM($F$25:F64),$F$13-G65)))</f>
        <v>2133.3275916246494</v>
      </c>
      <c r="G65" s="15">
        <f ca="1">IF(A64=$D$8,SUM($G$25:G64),IF(A64&gt;$D$8,"",E64*D65*$D$9/IF(OR(YEAR(C65)=2020,YEAR(C65)=2024),366,365)))</f>
        <v>98101.34085067478</v>
      </c>
      <c r="H65" s="15">
        <f ca="1">IF(A64=$D$8,SUM($H$25:H64),IF(A64="","",(G65+F65)))</f>
        <v>100234.66844229943</v>
      </c>
      <c r="I65" s="15" t="str">
        <f t="shared" si="10"/>
        <v/>
      </c>
      <c r="J65" s="15"/>
      <c r="K65" s="52" t="str">
        <f>IF(A64=$D$8,XIRR(H$24:H64,C$24:C64),"")</f>
        <v/>
      </c>
      <c r="L65" s="144" t="str">
        <f t="shared" si="11"/>
        <v/>
      </c>
    </row>
    <row r="66" spans="1:12" x14ac:dyDescent="0.35">
      <c r="A66" s="13">
        <f t="shared" si="4"/>
        <v>42</v>
      </c>
      <c r="B66" s="50">
        <f ca="1">EDATE($B$24,42)</f>
        <v>45669</v>
      </c>
      <c r="C66" s="14">
        <f t="shared" ca="1" si="12"/>
        <v>45669</v>
      </c>
      <c r="D66" s="13">
        <f t="shared" ca="1" si="9"/>
        <v>31</v>
      </c>
      <c r="E66" s="15">
        <f t="shared" ca="1" si="8"/>
        <v>3990011.5709597198</v>
      </c>
      <c r="F66" s="15">
        <f ca="1">IF(AND(A65="",A67=""),"",IF(A66="",SUM($F$25:F65),IF(A66=$D$8,$E$24-SUM($F$25:F65),$F$13-G66)))</f>
        <v>-1360.1090273954323</v>
      </c>
      <c r="G66" s="15">
        <f ca="1">IF(A65=$D$8,SUM($G$25:G65),IF(A65&gt;$D$8,"",E65*D66*$D$9/IF(OR(YEAR(C66)=2020,YEAR(C66)=2024),366,365)))</f>
        <v>101594.77746969486</v>
      </c>
      <c r="H66" s="15">
        <f ca="1">IF(A65=$D$8,SUM($H$25:H65),IF(A65="","",(G66+F66)))</f>
        <v>100234.66844229943</v>
      </c>
      <c r="I66" s="15" t="str">
        <f t="shared" si="10"/>
        <v/>
      </c>
      <c r="J66" s="15"/>
      <c r="K66" s="52" t="str">
        <f>IF(A65=$D$8,XIRR(H$24:H65,C$24:C65),"")</f>
        <v/>
      </c>
      <c r="L66" s="144" t="str">
        <f t="shared" si="11"/>
        <v/>
      </c>
    </row>
    <row r="67" spans="1:12" x14ac:dyDescent="0.35">
      <c r="A67" s="13">
        <f t="shared" si="4"/>
        <v>43</v>
      </c>
      <c r="B67" s="50">
        <f ca="1">EDATE($B$24,43)</f>
        <v>45700</v>
      </c>
      <c r="C67" s="14">
        <f t="shared" ca="1" si="12"/>
        <v>45700</v>
      </c>
      <c r="D67" s="13">
        <f t="shared" ca="1" si="9"/>
        <v>31</v>
      </c>
      <c r="E67" s="15">
        <f t="shared" ca="1" si="8"/>
        <v>3991406.3232682571</v>
      </c>
      <c r="F67" s="15">
        <f ca="1">IF(AND(A66="",A68=""),"",IF(A67="",SUM($F$25:F66),IF(A67=$D$8,$E$24-SUM($F$25:F66),$F$13-G67)))</f>
        <v>-1394.7523085373396</v>
      </c>
      <c r="G67" s="15">
        <f ca="1">IF(A66=$D$8,SUM($G$25:G66),IF(A66&gt;$D$8,"",E66*D67*$D$9/IF(OR(YEAR(C67)=2020,YEAR(C67)=2024),366,365)))</f>
        <v>101629.42075083677</v>
      </c>
      <c r="H67" s="15">
        <f ca="1">IF(A66=$D$8,SUM($H$25:H66),IF(A66="","",(G67+F67)))</f>
        <v>100234.66844229943</v>
      </c>
      <c r="I67" s="15" t="str">
        <f t="shared" si="10"/>
        <v/>
      </c>
      <c r="J67" s="15"/>
      <c r="K67" s="52" t="str">
        <f>IF(A66=$D$8,XIRR(H$24:H66,C$24:C66),"")</f>
        <v/>
      </c>
      <c r="L67" s="144" t="str">
        <f t="shared" si="11"/>
        <v/>
      </c>
    </row>
    <row r="68" spans="1:12" x14ac:dyDescent="0.35">
      <c r="A68" s="13">
        <f t="shared" si="4"/>
        <v>44</v>
      </c>
      <c r="B68" s="50">
        <f ca="1">EDATE($B$24,44)</f>
        <v>45728</v>
      </c>
      <c r="C68" s="14">
        <f t="shared" ca="1" si="12"/>
        <v>45728</v>
      </c>
      <c r="D68" s="13">
        <f t="shared" ca="1" si="9"/>
        <v>28</v>
      </c>
      <c r="E68" s="15">
        <f t="shared" ca="1" si="8"/>
        <v>3982998.0580526651</v>
      </c>
      <c r="F68" s="15">
        <f ca="1">IF(AND(A67="",A69=""),"",IF(A68="",SUM($F$25:F67),IF(A68=$D$8,$E$24-SUM($F$25:F67),$F$13-G68)))</f>
        <v>8408.2652155920077</v>
      </c>
      <c r="G68" s="15">
        <f ca="1">IF(A67=$D$8,SUM($G$25:G67),IF(A67&gt;$D$8,"",E67*D68*$D$9/IF(OR(YEAR(C68)=2020,YEAR(C68)=2024),366,365)))</f>
        <v>91826.403226707422</v>
      </c>
      <c r="H68" s="15">
        <f ca="1">IF(A67=$D$8,SUM($H$25:H67),IF(A67="","",(G68+F68)))</f>
        <v>100234.66844229943</v>
      </c>
      <c r="I68" s="15" t="str">
        <f t="shared" si="10"/>
        <v/>
      </c>
      <c r="J68" s="15"/>
      <c r="K68" s="52" t="str">
        <f>IF(A67=$D$8,XIRR(H$24:H67,C$24:C67),"")</f>
        <v/>
      </c>
      <c r="L68" s="144" t="str">
        <f t="shared" si="11"/>
        <v/>
      </c>
    </row>
    <row r="69" spans="1:12" x14ac:dyDescent="0.35">
      <c r="A69" s="13">
        <f t="shared" si="4"/>
        <v>45</v>
      </c>
      <c r="B69" s="50">
        <f ca="1">EDATE($B$24,45)</f>
        <v>45759</v>
      </c>
      <c r="C69" s="14">
        <f t="shared" ca="1" si="12"/>
        <v>45759</v>
      </c>
      <c r="D69" s="13">
        <f t="shared" ca="1" si="9"/>
        <v>31</v>
      </c>
      <c r="E69" s="15">
        <f t="shared" ca="1" si="8"/>
        <v>3984214.1694621732</v>
      </c>
      <c r="F69" s="15">
        <f ca="1">IF(AND(A68="",A70=""),"",IF(A69="",SUM($F$25:F68),IF(A69=$D$8,$E$24-SUM($F$25:F68),$F$13-G69)))</f>
        <v>-1216.111409508303</v>
      </c>
      <c r="G69" s="15">
        <f ca="1">IF(A68=$D$8,SUM($G$25:G68),IF(A68&gt;$D$8,"",E68*D69*$D$9/IF(OR(YEAR(C69)=2020,YEAR(C69)=2024),366,365)))</f>
        <v>101450.77985180773</v>
      </c>
      <c r="H69" s="15">
        <f ca="1">IF(A68=$D$8,SUM($H$25:H68),IF(A68="","",(G69+F69)))</f>
        <v>100234.66844229943</v>
      </c>
      <c r="I69" s="15" t="str">
        <f t="shared" si="10"/>
        <v/>
      </c>
      <c r="J69" s="15"/>
      <c r="K69" s="52" t="str">
        <f>IF(A68=$D$8,XIRR(H$24:H68,C$24:C68),"")</f>
        <v/>
      </c>
      <c r="L69" s="144" t="str">
        <f t="shared" si="11"/>
        <v/>
      </c>
    </row>
    <row r="70" spans="1:12" x14ac:dyDescent="0.35">
      <c r="A70" s="13">
        <f t="shared" si="4"/>
        <v>46</v>
      </c>
      <c r="B70" s="50">
        <f ca="1">EDATE($B$24,46)</f>
        <v>45789</v>
      </c>
      <c r="C70" s="14">
        <f t="shared" ca="1" si="12"/>
        <v>45789</v>
      </c>
      <c r="D70" s="13">
        <f t="shared" ca="1" si="9"/>
        <v>30</v>
      </c>
      <c r="E70" s="15">
        <f t="shared" ca="1" si="8"/>
        <v>3982187.6513833017</v>
      </c>
      <c r="F70" s="15">
        <f ca="1">IF(AND(A69="",A71=""),"",IF(A70="",SUM($F$25:F69),IF(A70=$D$8,$E$24-SUM($F$25:F69),$F$13-G70)))</f>
        <v>2026.5180788715661</v>
      </c>
      <c r="G70" s="15">
        <f ca="1">IF(A69=$D$8,SUM($G$25:G69),IF(A69&gt;$D$8,"",E69*D70*$D$9/IF(OR(YEAR(C70)=2020,YEAR(C70)=2024),366,365)))</f>
        <v>98208.150363427863</v>
      </c>
      <c r="H70" s="15">
        <f ca="1">IF(A69=$D$8,SUM($H$25:H69),IF(A69="","",(G70+F70)))</f>
        <v>100234.66844229943</v>
      </c>
      <c r="I70" s="15" t="str">
        <f t="shared" si="10"/>
        <v/>
      </c>
      <c r="J70" s="15"/>
      <c r="K70" s="52" t="str">
        <f>IF(A69=$D$8,XIRR(H$24:H69,C$24:C69),"")</f>
        <v/>
      </c>
      <c r="L70" s="144" t="str">
        <f t="shared" si="11"/>
        <v/>
      </c>
    </row>
    <row r="71" spans="1:12" x14ac:dyDescent="0.35">
      <c r="A71" s="13">
        <f t="shared" si="4"/>
        <v>47</v>
      </c>
      <c r="B71" s="50">
        <f ca="1">EDATE($B$24,47)</f>
        <v>45820</v>
      </c>
      <c r="C71" s="14">
        <f t="shared" ca="1" si="12"/>
        <v>45820</v>
      </c>
      <c r="D71" s="13">
        <f t="shared" ca="1" si="9"/>
        <v>31</v>
      </c>
      <c r="E71" s="15">
        <f t="shared" ca="1" si="8"/>
        <v>3983383.1209578388</v>
      </c>
      <c r="F71" s="15">
        <f ca="1">IF(AND(A70="",A72=""),"",IF(A71="",SUM($F$25:F70),IF(A71=$D$8,$E$24-SUM($F$25:F70),$F$13-G71)))</f>
        <v>-1195.4695745373465</v>
      </c>
      <c r="G71" s="15">
        <f ca="1">IF(A70=$D$8,SUM($G$25:G70),IF(A70&gt;$D$8,"",E70*D71*$D$9/IF(OR(YEAR(C71)=2020,YEAR(C71)=2024),366,365)))</f>
        <v>101430.13801683678</v>
      </c>
      <c r="H71" s="15">
        <f ca="1">IF(A70=$D$8,SUM($H$25:H70),IF(A70="","",(G71+F71)))</f>
        <v>100234.66844229943</v>
      </c>
      <c r="I71" s="15" t="str">
        <f t="shared" si="10"/>
        <v/>
      </c>
      <c r="J71" s="15"/>
      <c r="K71" s="52" t="str">
        <f>IF(A70=$D$8,XIRR(H$24:H70,C$24:C70),"")</f>
        <v/>
      </c>
      <c r="L71" s="144" t="str">
        <f t="shared" si="11"/>
        <v/>
      </c>
    </row>
    <row r="72" spans="1:12" x14ac:dyDescent="0.35">
      <c r="A72" s="13">
        <f t="shared" si="4"/>
        <v>48</v>
      </c>
      <c r="B72" s="50">
        <f ca="1">EDATE($B$24,48)</f>
        <v>45850</v>
      </c>
      <c r="C72" s="14">
        <f t="shared" ca="1" si="12"/>
        <v>45850</v>
      </c>
      <c r="D72" s="13">
        <f t="shared" ca="1" si="9"/>
        <v>30</v>
      </c>
      <c r="E72" s="15">
        <f t="shared" ca="1" si="8"/>
        <v>3981336.1181025468</v>
      </c>
      <c r="F72" s="15">
        <f ca="1">IF(AND(A71="",A73=""),"",IF(A72="",SUM($F$25:F71),IF(A72=$D$8,$E$24-SUM($F$25:F71),$F$13-G72)))</f>
        <v>2047.0028552920994</v>
      </c>
      <c r="G72" s="15">
        <f ca="1">IF(A71=$D$8,SUM($G$25:G71),IF(A71&gt;$D$8,"",E71*D72*$D$9/IF(OR(YEAR(C72)=2020,YEAR(C72)=2024),366,365)))</f>
        <v>98187.66558700733</v>
      </c>
      <c r="H72" s="15">
        <f ca="1">IF(A71=$D$8,SUM($H$25:H71),IF(A71="","",(G72+F72)))</f>
        <v>100234.66844229943</v>
      </c>
      <c r="I72" s="15" t="str">
        <f t="shared" si="10"/>
        <v/>
      </c>
      <c r="J72" s="15"/>
      <c r="K72" s="52" t="str">
        <f>IF(A71=$D$8,XIRR(H$24:H71,C$24:C71),"")</f>
        <v/>
      </c>
      <c r="L72" s="144" t="str">
        <f t="shared" si="11"/>
        <v/>
      </c>
    </row>
    <row r="73" spans="1:12" x14ac:dyDescent="0.35">
      <c r="A73" s="13">
        <f t="shared" si="4"/>
        <v>49</v>
      </c>
      <c r="B73" s="50">
        <f ca="1">EDATE($B$24,49)</f>
        <v>45881</v>
      </c>
      <c r="C73" s="14">
        <f t="shared" ca="1" si="12"/>
        <v>45881</v>
      </c>
      <c r="D73" s="13">
        <f t="shared" ca="1" si="9"/>
        <v>31</v>
      </c>
      <c r="E73" s="15">
        <f t="shared" ca="1" si="8"/>
        <v>3982509.8983078846</v>
      </c>
      <c r="F73" s="15">
        <f ca="1">IF(AND(A72="",A74=""),"",IF(A73="",SUM($F$25:F72),IF(A73=$D$8,$E$24-SUM($F$25:F72),$F$13-G73)))</f>
        <v>-1173.7802053377527</v>
      </c>
      <c r="G73" s="15">
        <f ca="1">IF(A72=$D$8,SUM($G$25:G72),IF(A72&gt;$D$8,"",E72*D73*$D$9/IF(OR(YEAR(C73)=2020,YEAR(C73)=2024),366,365)))</f>
        <v>101408.44864763718</v>
      </c>
      <c r="H73" s="15">
        <f ca="1">IF(A72=$D$8,SUM($H$25:H72),IF(A72="","",(G73+F73)))</f>
        <v>100234.66844229943</v>
      </c>
      <c r="I73" s="15" t="str">
        <f t="shared" si="10"/>
        <v/>
      </c>
      <c r="J73" s="15"/>
      <c r="K73" s="52" t="str">
        <f>IF(A72=$D$8,XIRR(H$24:H72,C$24:C72),"")</f>
        <v/>
      </c>
      <c r="L73" s="144" t="str">
        <f t="shared" si="11"/>
        <v/>
      </c>
    </row>
    <row r="74" spans="1:12" x14ac:dyDescent="0.35">
      <c r="A74" s="13">
        <f t="shared" si="4"/>
        <v>50</v>
      </c>
      <c r="B74" s="50">
        <f ca="1">EDATE($B$24,50)</f>
        <v>45912</v>
      </c>
      <c r="C74" s="14">
        <f t="shared" ca="1" si="12"/>
        <v>45912</v>
      </c>
      <c r="D74" s="13">
        <f t="shared" ca="1" si="9"/>
        <v>31</v>
      </c>
      <c r="E74" s="15">
        <f t="shared" ca="1" si="8"/>
        <v>3983713.575820595</v>
      </c>
      <c r="F74" s="15">
        <f ca="1">IF(AND(A73="",A75=""),"",IF(A74="",SUM($F$25:F73),IF(A74=$D$8,$E$24-SUM($F$25:F73),$F$13-G74)))</f>
        <v>-1203.6775127103465</v>
      </c>
      <c r="G74" s="15">
        <f ca="1">IF(A73=$D$8,SUM($G$25:G73),IF(A73&gt;$D$8,"",E73*D74*$D$9/IF(OR(YEAR(C74)=2020,YEAR(C74)=2024),366,365)))</f>
        <v>101438.34595500978</v>
      </c>
      <c r="H74" s="15">
        <f ca="1">IF(A73=$D$8,SUM($H$25:H73),IF(A73="","",(G74+F74)))</f>
        <v>100234.66844229943</v>
      </c>
      <c r="I74" s="15" t="str">
        <f t="shared" si="10"/>
        <v/>
      </c>
      <c r="J74" s="15"/>
      <c r="K74" s="52" t="str">
        <f>IF(A73=$D$8,XIRR(H$24:H73,C$24:C73),"")</f>
        <v/>
      </c>
      <c r="L74" s="144" t="str">
        <f t="shared" si="11"/>
        <v/>
      </c>
    </row>
    <row r="75" spans="1:12" x14ac:dyDescent="0.35">
      <c r="A75" s="13">
        <f t="shared" si="4"/>
        <v>51</v>
      </c>
      <c r="B75" s="50">
        <f ca="1">EDATE($B$24,51)</f>
        <v>45942</v>
      </c>
      <c r="C75" s="14">
        <f t="shared" ca="1" si="12"/>
        <v>45942</v>
      </c>
      <c r="D75" s="13">
        <f t="shared" ca="1" si="9"/>
        <v>30</v>
      </c>
      <c r="E75" s="15">
        <f t="shared" ca="1" si="8"/>
        <v>3981674.7184513309</v>
      </c>
      <c r="F75" s="15">
        <f ca="1">IF(AND(A74="",A76=""),"",IF(A75="",SUM($F$25:F74),IF(A75=$D$8,$E$24-SUM($F$25:F74),$F$13-G75)))</f>
        <v>2038.8573692641075</v>
      </c>
      <c r="G75" s="15">
        <f ca="1">IF(A74=$D$8,SUM($G$25:G74),IF(A74&gt;$D$8,"",E74*D75*$D$9/IF(OR(YEAR(C75)=2020,YEAR(C75)=2024),366,365)))</f>
        <v>98195.811073035322</v>
      </c>
      <c r="H75" s="15">
        <f ca="1">IF(A74=$D$8,SUM($H$25:H74),IF(A74="","",(G75+F75)))</f>
        <v>100234.66844229943</v>
      </c>
      <c r="I75" s="15" t="str">
        <f t="shared" si="10"/>
        <v/>
      </c>
      <c r="J75" s="15"/>
      <c r="K75" s="52" t="str">
        <f>IF(A74=$D$8,XIRR(H$24:H74,C$24:C74),"")</f>
        <v/>
      </c>
      <c r="L75" s="144" t="str">
        <f t="shared" si="11"/>
        <v/>
      </c>
    </row>
    <row r="76" spans="1:12" x14ac:dyDescent="0.35">
      <c r="A76" s="13">
        <f t="shared" si="4"/>
        <v>52</v>
      </c>
      <c r="B76" s="50">
        <f ca="1">EDATE($B$24,52)</f>
        <v>45973</v>
      </c>
      <c r="C76" s="14">
        <f t="shared" ca="1" si="12"/>
        <v>45973</v>
      </c>
      <c r="D76" s="13">
        <f t="shared" ca="1" si="9"/>
        <v>31</v>
      </c>
      <c r="E76" s="15">
        <f t="shared" ca="1" si="8"/>
        <v>3982857.1231322372</v>
      </c>
      <c r="F76" s="15">
        <f ca="1">IF(AND(A75="",A77=""),"",IF(A76="",SUM($F$25:F75),IF(A76=$D$8,$E$24-SUM($F$25:F75),$F$13-G76)))</f>
        <v>-1182.4046809065476</v>
      </c>
      <c r="G76" s="15">
        <f ca="1">IF(A75=$D$8,SUM($G$25:G75),IF(A75&gt;$D$8,"",E75*D76*$D$9/IF(OR(YEAR(C76)=2020,YEAR(C76)=2024),366,365)))</f>
        <v>101417.07312320598</v>
      </c>
      <c r="H76" s="15">
        <f ca="1">IF(A75=$D$8,SUM($H$25:H75),IF(A75="","",(G76+F76)))</f>
        <v>100234.66844229943</v>
      </c>
      <c r="I76" s="15" t="str">
        <f t="shared" si="10"/>
        <v/>
      </c>
      <c r="J76" s="15"/>
      <c r="K76" s="52" t="str">
        <f>IF(A75=$D$8,XIRR(H$24:H75,C$24:C75),"")</f>
        <v/>
      </c>
      <c r="L76" s="144" t="str">
        <f t="shared" si="11"/>
        <v/>
      </c>
    </row>
    <row r="77" spans="1:12" x14ac:dyDescent="0.35">
      <c r="A77" s="13">
        <f t="shared" si="4"/>
        <v>53</v>
      </c>
      <c r="B77" s="50">
        <f ca="1">EDATE($B$24,53)</f>
        <v>46003</v>
      </c>
      <c r="C77" s="14">
        <f t="shared" ca="1" si="12"/>
        <v>46003</v>
      </c>
      <c r="D77" s="13">
        <f t="shared" ca="1" si="9"/>
        <v>30</v>
      </c>
      <c r="E77" s="15">
        <f t="shared" ca="1" si="8"/>
        <v>3980797.1547908164</v>
      </c>
      <c r="F77" s="15">
        <f ca="1">IF(AND(A76="",A78=""),"",IF(A77="",SUM($F$25:F76),IF(A77=$D$8,$E$24-SUM($F$25:F76),$F$13-G77)))</f>
        <v>2059.9683414206957</v>
      </c>
      <c r="G77" s="15">
        <f ca="1">IF(A76=$D$8,SUM($G$25:G76),IF(A76&gt;$D$8,"",E76*D77*$D$9/IF(OR(YEAR(C77)=2020,YEAR(C77)=2024),366,365)))</f>
        <v>98174.700100878734</v>
      </c>
      <c r="H77" s="15">
        <f ca="1">IF(A76=$D$8,SUM($H$25:H76),IF(A76="","",(G77+F77)))</f>
        <v>100234.66844229943</v>
      </c>
      <c r="I77" s="15" t="str">
        <f t="shared" si="10"/>
        <v/>
      </c>
      <c r="J77" s="15"/>
      <c r="K77" s="52" t="str">
        <f>IF(A76=$D$8,XIRR(H$24:H76,C$24:C76),"")</f>
        <v/>
      </c>
      <c r="L77" s="144" t="str">
        <f t="shared" si="11"/>
        <v/>
      </c>
    </row>
    <row r="78" spans="1:12" x14ac:dyDescent="0.35">
      <c r="A78" s="13">
        <f t="shared" si="4"/>
        <v>54</v>
      </c>
      <c r="B78" s="50">
        <f ca="1">EDATE($B$24,54)</f>
        <v>46034</v>
      </c>
      <c r="C78" s="14">
        <f t="shared" ca="1" si="12"/>
        <v>46034</v>
      </c>
      <c r="D78" s="13">
        <f t="shared" ca="1" si="9"/>
        <v>31</v>
      </c>
      <c r="E78" s="15">
        <f t="shared" ca="1" si="8"/>
        <v>3981957.2070837901</v>
      </c>
      <c r="F78" s="15">
        <f ca="1">IF(AND(A77="",A79=""),"",IF(A78="",SUM($F$25:F77),IF(A78=$D$8,$E$24-SUM($F$25:F77),$F$13-G78)))</f>
        <v>-1160.0522929738217</v>
      </c>
      <c r="G78" s="15">
        <f ca="1">IF(A77=$D$8,SUM($G$25:G77),IF(A77&gt;$D$8,"",E77*D78*$D$9/IF(OR(YEAR(C78)=2020,YEAR(C78)=2024),366,365)))</f>
        <v>101394.72073527325</v>
      </c>
      <c r="H78" s="15">
        <f ca="1">IF(A77=$D$8,SUM($H$25:H77),IF(A77="","",(G78+F78)))</f>
        <v>100234.66844229943</v>
      </c>
      <c r="I78" s="15" t="str">
        <f t="shared" si="10"/>
        <v/>
      </c>
      <c r="J78" s="15"/>
      <c r="K78" s="52" t="str">
        <f>IF(A77=$D$8,XIRR(H$24:H77,C$24:C77),"")</f>
        <v/>
      </c>
      <c r="L78" s="144" t="str">
        <f t="shared" si="11"/>
        <v/>
      </c>
    </row>
    <row r="79" spans="1:12" x14ac:dyDescent="0.35">
      <c r="A79" s="13">
        <f t="shared" si="4"/>
        <v>55</v>
      </c>
      <c r="B79" s="50">
        <f ca="1">EDATE($B$24,55)</f>
        <v>46065</v>
      </c>
      <c r="C79" s="14">
        <f t="shared" ca="1" si="12"/>
        <v>46065</v>
      </c>
      <c r="D79" s="13">
        <f t="shared" ca="1" si="9"/>
        <v>31</v>
      </c>
      <c r="E79" s="15">
        <f t="shared" ca="1" si="8"/>
        <v>3983146.8070210447</v>
      </c>
      <c r="F79" s="15">
        <f ca="1">IF(AND(A78="",A80=""),"",IF(A79="",SUM($F$25:F78),IF(A79=$D$8,$E$24-SUM($F$25:F78),$F$13-G79)))</f>
        <v>-1189.5999372547813</v>
      </c>
      <c r="G79" s="15">
        <f ca="1">IF(A78=$D$8,SUM($G$25:G78),IF(A78&gt;$D$8,"",E78*D79*$D$9/IF(OR(YEAR(C79)=2020,YEAR(C79)=2024),366,365)))</f>
        <v>101424.26837955421</v>
      </c>
      <c r="H79" s="15">
        <f ca="1">IF(A78=$D$8,SUM($H$25:H78),IF(A78="","",(G79+F79)))</f>
        <v>100234.66844229943</v>
      </c>
      <c r="I79" s="15" t="str">
        <f t="shared" si="10"/>
        <v/>
      </c>
      <c r="J79" s="15"/>
      <c r="K79" s="52" t="str">
        <f>IF(A78=$D$8,XIRR(H$24:H78,C$24:C78),"")</f>
        <v/>
      </c>
      <c r="L79" s="144" t="str">
        <f t="shared" si="11"/>
        <v/>
      </c>
    </row>
    <row r="80" spans="1:12" x14ac:dyDescent="0.35">
      <c r="A80" s="13">
        <f t="shared" si="4"/>
        <v>56</v>
      </c>
      <c r="B80" s="50">
        <f ca="1">EDATE($B$24,56)</f>
        <v>46093</v>
      </c>
      <c r="C80" s="14">
        <f t="shared" ca="1" si="12"/>
        <v>46093</v>
      </c>
      <c r="D80" s="13">
        <f t="shared" ca="1" si="9"/>
        <v>28</v>
      </c>
      <c r="E80" s="15">
        <f t="shared" ca="1" si="8"/>
        <v>3974548.5231483812</v>
      </c>
      <c r="F80" s="15">
        <f ca="1">IF(AND(A79="",A81=""),"",IF(A80="",SUM($F$25:F79),IF(A80=$D$8,$E$24-SUM($F$25:F79),$F$13-G80)))</f>
        <v>8598.2838726634945</v>
      </c>
      <c r="G80" s="15">
        <f ca="1">IF(A79=$D$8,SUM($G$25:G79),IF(A79&gt;$D$8,"",E79*D80*$D$9/IF(OR(YEAR(C80)=2020,YEAR(C80)=2024),366,365)))</f>
        <v>91636.384569635935</v>
      </c>
      <c r="H80" s="15">
        <f ca="1">IF(A79=$D$8,SUM($H$25:H79),IF(A79="","",(G80+F80)))</f>
        <v>100234.66844229943</v>
      </c>
      <c r="I80" s="15" t="str">
        <f t="shared" si="10"/>
        <v/>
      </c>
      <c r="J80" s="15"/>
      <c r="K80" s="52" t="str">
        <f>IF(A79=$D$8,XIRR(H$24:H79,C$24:C79),"")</f>
        <v/>
      </c>
      <c r="L80" s="144" t="str">
        <f t="shared" si="11"/>
        <v/>
      </c>
    </row>
    <row r="81" spans="1:15" x14ac:dyDescent="0.35">
      <c r="A81" s="13">
        <f t="shared" si="4"/>
        <v>57</v>
      </c>
      <c r="B81" s="50">
        <f ca="1">EDATE($B$24,57)</f>
        <v>46124</v>
      </c>
      <c r="C81" s="14">
        <f t="shared" ca="1" si="12"/>
        <v>46124</v>
      </c>
      <c r="D81" s="13">
        <f t="shared" ca="1" si="9"/>
        <v>31</v>
      </c>
      <c r="E81" s="15">
        <f t="shared" ca="1" si="8"/>
        <v>3975549.4168015835</v>
      </c>
      <c r="F81" s="15">
        <f ca="1">IF(AND(A80="",A82=""),"",IF(A81="",SUM($F$25:F80),IF(A81=$D$8,$E$24-SUM($F$25:F80),$F$13-G81)))</f>
        <v>-1000.8936532024527</v>
      </c>
      <c r="G81" s="15">
        <f ca="1">IF(A80=$D$8,SUM($G$25:G80),IF(A80&gt;$D$8,"",E80*D81*$D$9/IF(OR(YEAR(C81)=2020,YEAR(C81)=2024),366,365)))</f>
        <v>101235.56209550188</v>
      </c>
      <c r="H81" s="15">
        <f ca="1">IF(A80=$D$8,SUM($H$25:H80),IF(A80="","",(G81+F81)))</f>
        <v>100234.66844229943</v>
      </c>
      <c r="I81" s="15" t="str">
        <f t="shared" si="10"/>
        <v/>
      </c>
      <c r="J81" s="15"/>
      <c r="K81" s="52" t="str">
        <f>IF(A80=$D$8,XIRR(H$24:H80,C$24:C80),"")</f>
        <v/>
      </c>
      <c r="L81" s="144" t="str">
        <f t="shared" si="11"/>
        <v/>
      </c>
    </row>
    <row r="82" spans="1:15" x14ac:dyDescent="0.35">
      <c r="A82" s="13">
        <f t="shared" si="4"/>
        <v>58</v>
      </c>
      <c r="B82" s="50">
        <f ca="1">EDATE($B$24,58)</f>
        <v>46154</v>
      </c>
      <c r="C82" s="14">
        <f t="shared" ca="1" si="12"/>
        <v>46154</v>
      </c>
      <c r="D82" s="13">
        <f t="shared" ca="1" si="9"/>
        <v>30</v>
      </c>
      <c r="E82" s="15">
        <f t="shared" ca="1" si="8"/>
        <v>3973309.3185043903</v>
      </c>
      <c r="F82" s="15">
        <f ca="1">IF(AND(A81="",A83=""),"",IF(A82="",SUM($F$25:F81),IF(A82=$D$8,$E$24-SUM($F$25:F81),$F$13-G82)))</f>
        <v>2240.0982971930061</v>
      </c>
      <c r="G82" s="15">
        <f ca="1">IF(A81=$D$8,SUM($G$25:G81),IF(A81&gt;$D$8,"",E81*D82*$D$9/IF(OR(YEAR(C82)=2020,YEAR(C82)=2024),366,365)))</f>
        <v>97994.570145106423</v>
      </c>
      <c r="H82" s="15">
        <f ca="1">IF(A81=$D$8,SUM($H$25:H81),IF(A81="","",(G82+F82)))</f>
        <v>100234.66844229943</v>
      </c>
      <c r="I82" s="15" t="str">
        <f t="shared" si="10"/>
        <v/>
      </c>
      <c r="J82" s="15"/>
      <c r="K82" s="52" t="str">
        <f>IF(A81=$D$8,XIRR(H$24:H81,C$24:C81),"")</f>
        <v/>
      </c>
      <c r="L82" s="144" t="str">
        <f t="shared" si="11"/>
        <v/>
      </c>
    </row>
    <row r="83" spans="1:15" x14ac:dyDescent="0.35">
      <c r="A83" s="13">
        <f t="shared" si="4"/>
        <v>59</v>
      </c>
      <c r="B83" s="50">
        <f ca="1">EDATE($B$24,59)</f>
        <v>46185</v>
      </c>
      <c r="C83" s="14">
        <f t="shared" ca="1" si="12"/>
        <v>46185</v>
      </c>
      <c r="D83" s="13">
        <f t="shared" ca="1" si="9"/>
        <v>31</v>
      </c>
      <c r="E83" s="15">
        <f t="shared" ca="1" si="8"/>
        <v>3974278.6484270319</v>
      </c>
      <c r="F83" s="15">
        <f ca="1">IF(AND(A82="",A84=""),"",IF(A83="",SUM($F$25:F82),IF(A83=$D$8,$E$24-SUM($F$25:F82),$F$13-G83)))</f>
        <v>-969.32992264156928</v>
      </c>
      <c r="G83" s="15">
        <f ca="1">IF(A82=$D$8,SUM($G$25:G82),IF(A82&gt;$D$8,"",E82*D83*$D$9/IF(OR(YEAR(C83)=2020,YEAR(C83)=2024),366,365)))</f>
        <v>101203.998364941</v>
      </c>
      <c r="H83" s="15">
        <f ca="1">IF(A82=$D$8,SUM($H$25:H82),IF(A82="","",(G83+F83)))</f>
        <v>100234.66844229943</v>
      </c>
      <c r="I83" s="15" t="str">
        <f t="shared" si="10"/>
        <v/>
      </c>
      <c r="J83" s="15"/>
      <c r="K83" s="52" t="str">
        <f>IF(A82=$D$8,XIRR(H$24:H82,C$24:C82),"")</f>
        <v/>
      </c>
      <c r="L83" s="144" t="str">
        <f t="shared" si="11"/>
        <v/>
      </c>
    </row>
    <row r="84" spans="1:15" x14ac:dyDescent="0.35">
      <c r="A84" s="13">
        <f t="shared" si="4"/>
        <v>60</v>
      </c>
      <c r="B84" s="50">
        <f ca="1">EDATE($B$24,60)</f>
        <v>46215</v>
      </c>
      <c r="C84" s="14">
        <f t="shared" ca="1" si="12"/>
        <v>46215</v>
      </c>
      <c r="D84" s="13">
        <f t="shared" ca="1" si="9"/>
        <v>30</v>
      </c>
      <c r="E84" s="15">
        <f t="shared" ca="1" si="8"/>
        <v>3972007.2265597954</v>
      </c>
      <c r="F84" s="15">
        <f ca="1">IF(AND(A83="",A85=""),"",IF(A84="",SUM($F$25:F83),IF(A84=$D$8,$E$24-SUM($F$25:F83),$F$13-G84)))</f>
        <v>2271.4218672363932</v>
      </c>
      <c r="G84" s="15">
        <f ca="1">IF(A83=$D$8,SUM($G$25:G83),IF(A83&gt;$D$8,"",E83*D84*$D$9/IF(OR(YEAR(C84)=2020,YEAR(C84)=2024),366,365)))</f>
        <v>97963.246575063036</v>
      </c>
      <c r="H84" s="15">
        <f ca="1">IF(A83=$D$8,SUM($H$25:H83),IF(A83="","",(G84+F84)))</f>
        <v>100234.66844229943</v>
      </c>
      <c r="I84" s="15" t="str">
        <f t="shared" si="10"/>
        <v/>
      </c>
      <c r="J84" s="15"/>
      <c r="K84" s="52" t="str">
        <f>IF(A83=$D$8,XIRR(H$24:H83,C$24:C83),"")</f>
        <v/>
      </c>
      <c r="L84" s="144" t="str">
        <f t="shared" si="11"/>
        <v/>
      </c>
    </row>
    <row r="85" spans="1:15" x14ac:dyDescent="0.35">
      <c r="A85" s="13">
        <f t="shared" si="4"/>
        <v>61</v>
      </c>
      <c r="B85" s="50">
        <f ca="1">EDATE($B$24,61)</f>
        <v>46246</v>
      </c>
      <c r="C85" s="14">
        <f t="shared" ca="1" si="12"/>
        <v>46246</v>
      </c>
      <c r="D85" s="13">
        <f t="shared" ca="1" si="9"/>
        <v>31</v>
      </c>
      <c r="E85" s="15">
        <f t="shared" ca="1" si="8"/>
        <v>3980097.1950372304</v>
      </c>
      <c r="F85" s="15">
        <f ca="1">IF(AND(A84="",A86=""),"",IF(A85="",SUM($F$25:F84),IF(A85=$D$8,$E$24-SUM($F$25:F84),$F$21-G85)))</f>
        <v>-8089.9684774349298</v>
      </c>
      <c r="G85" s="15">
        <f ca="1">IF(A84=$D$8,SUM($G$25:G84),IF(A84&gt;$D$8,"",E84*D85*$F$18/IF(OR(YEAR(C85)=2020,YEAR(C85)=2024),366,365)))</f>
        <v>77185.350291899493</v>
      </c>
      <c r="H85" s="15">
        <f ca="1">IF(A84=$D$8,SUM($H$25:H84),IF(A84="","",(G85+F85)))</f>
        <v>69095.381814464563</v>
      </c>
      <c r="I85" s="15" t="str">
        <f t="shared" si="10"/>
        <v/>
      </c>
      <c r="J85" s="15"/>
      <c r="K85" s="52" t="str">
        <f>IF(A84=$D$8,XIRR(H$24:H84,C$24:C84),"")</f>
        <v/>
      </c>
      <c r="L85" s="144" t="str">
        <f t="shared" si="11"/>
        <v/>
      </c>
      <c r="O85" s="56"/>
    </row>
    <row r="86" spans="1:15" x14ac:dyDescent="0.35">
      <c r="A86" s="13">
        <f t="shared" si="4"/>
        <v>62</v>
      </c>
      <c r="B86" s="50">
        <f ca="1">EDATE($B$24,62)</f>
        <v>46277</v>
      </c>
      <c r="C86" s="14">
        <f t="shared" ca="1" si="12"/>
        <v>46277</v>
      </c>
      <c r="D86" s="13">
        <f t="shared" ca="1" si="9"/>
        <v>31</v>
      </c>
      <c r="E86" s="15">
        <f t="shared" ca="1" si="8"/>
        <v>3988344.3704418344</v>
      </c>
      <c r="F86" s="15">
        <f ca="1">IF(AND(A85="",A87=""),"",IF(A86="",SUM($F$25:F85),IF(A86=$D$8,$E$24-SUM($F$25:F85),$F$21-G86)))</f>
        <v>-8247.1754046041169</v>
      </c>
      <c r="G86" s="15">
        <f ca="1">IF(A85=$D$8,SUM($G$25:G85),IF(A85&gt;$D$8,"",E85*D86*$F$18/IF(OR(YEAR(C86)=2020,YEAR(C86)=2024),366,365)))</f>
        <v>77342.55721906868</v>
      </c>
      <c r="H86" s="15">
        <f ca="1">IF(A85=$D$8,SUM($H$25:H85),IF(A85="","",(G86+F86)))</f>
        <v>69095.381814464563</v>
      </c>
      <c r="I86" s="15" t="str">
        <f t="shared" si="10"/>
        <v/>
      </c>
      <c r="J86" s="15"/>
      <c r="K86" s="52" t="str">
        <f>IF(A85=$D$8,XIRR(H$24:H85,C$24:C85),"")</f>
        <v/>
      </c>
      <c r="L86" s="15" t="str">
        <f t="shared" ref="L86:L109" si="13">IF(A85=$D$8,G86+I86+F86,"")</f>
        <v/>
      </c>
    </row>
    <row r="87" spans="1:15" x14ac:dyDescent="0.35">
      <c r="A87" s="13">
        <f t="shared" si="4"/>
        <v>63</v>
      </c>
      <c r="B87" s="50">
        <f ca="1">EDATE($B$24,63)</f>
        <v>46307</v>
      </c>
      <c r="C87" s="14">
        <f t="shared" ca="1" si="12"/>
        <v>46307</v>
      </c>
      <c r="D87" s="13">
        <f t="shared" ca="1" si="9"/>
        <v>30</v>
      </c>
      <c r="E87" s="15">
        <f t="shared" ca="1" si="8"/>
        <v>3994251.7167334324</v>
      </c>
      <c r="F87" s="15">
        <f ca="1">IF(AND(A86="",A88=""),"",IF(A87="",SUM($F$25:F86),IF(A87=$D$8,$E$24-SUM($F$25:F86),$F$21-G87)))</f>
        <v>-5907.3462915977725</v>
      </c>
      <c r="G87" s="15">
        <f ca="1">IF(A86=$D$8,SUM($G$25:G86),IF(A86&gt;$D$8,"",E86*D87*$F$18/IF(OR(YEAR(C87)=2020,YEAR(C87)=2024),366,365)))</f>
        <v>75002.728106062335</v>
      </c>
      <c r="H87" s="15">
        <f ca="1">IF(A86=$D$8,SUM($H$25:H86),IF(A86="","",(G87+F87)))</f>
        <v>69095.381814464563</v>
      </c>
      <c r="I87" s="15" t="str">
        <f t="shared" si="10"/>
        <v/>
      </c>
      <c r="J87" s="15"/>
      <c r="K87" s="52" t="str">
        <f>IF(A86=$D$8,XIRR(H$24:H86,C$24:C86),"")</f>
        <v/>
      </c>
      <c r="L87" s="15" t="str">
        <f t="shared" si="13"/>
        <v/>
      </c>
    </row>
    <row r="88" spans="1:15" x14ac:dyDescent="0.35">
      <c r="A88" s="13">
        <f t="shared" si="4"/>
        <v>64</v>
      </c>
      <c r="B88" s="50">
        <f ca="1">EDATE($B$24,64)</f>
        <v>46338</v>
      </c>
      <c r="C88" s="14">
        <f t="shared" ca="1" si="12"/>
        <v>46338</v>
      </c>
      <c r="D88" s="13">
        <f t="shared" ca="1" si="9"/>
        <v>31</v>
      </c>
      <c r="E88" s="15">
        <f t="shared" ca="1" si="8"/>
        <v>4002773.9474571785</v>
      </c>
      <c r="F88" s="15">
        <f ca="1">IF(AND(A87="",A89=""),"",IF(A88="",SUM($F$25:F87),IF(A88=$D$8,$E$24-SUM($F$25:F87),$F$21-G88)))</f>
        <v>-8522.2307237460918</v>
      </c>
      <c r="G88" s="15">
        <f ca="1">IF(A87=$D$8,SUM($G$25:G87),IF(A87&gt;$D$8,"",E87*D88*$F$18/IF(OR(YEAR(C88)=2020,YEAR(C88)=2024),366,365)))</f>
        <v>77617.612538210655</v>
      </c>
      <c r="H88" s="15">
        <f ca="1">IF(A87=$D$8,SUM($H$25:H87),IF(A87="","",(G88+F88)))</f>
        <v>69095.381814464563</v>
      </c>
      <c r="I88" s="15" t="str">
        <f t="shared" si="10"/>
        <v/>
      </c>
      <c r="J88" s="15"/>
      <c r="K88" s="52" t="str">
        <f>IF(A87=$D$8,XIRR(H$24:H87,C$24:C87),"")</f>
        <v/>
      </c>
      <c r="L88" s="15" t="str">
        <f t="shared" si="13"/>
        <v/>
      </c>
    </row>
    <row r="89" spans="1:15" x14ac:dyDescent="0.35">
      <c r="A89" s="13">
        <f t="shared" si="4"/>
        <v>65</v>
      </c>
      <c r="B89" s="50">
        <f ca="1">EDATE($B$24,65)</f>
        <v>46368</v>
      </c>
      <c r="C89" s="14">
        <f t="shared" ca="1" si="12"/>
        <v>46368</v>
      </c>
      <c r="D89" s="13">
        <f t="shared" ca="1" si="9"/>
        <v>30</v>
      </c>
      <c r="E89" s="15">
        <f t="shared" ca="1" si="8"/>
        <v>4008952.6488628401</v>
      </c>
      <c r="F89" s="15">
        <f ca="1">IF(AND(A88="",A90=""),"",IF(A89="",SUM($F$25:F88),IF(A89=$D$8,$E$24-SUM($F$25:F88),$F$21-G89)))</f>
        <v>-6178.7014056616608</v>
      </c>
      <c r="G89" s="15">
        <f ca="1">IF(A88=$D$8,SUM($G$25:G88),IF(A88&gt;$D$8,"",E88*D89*$F$18/IF(OR(YEAR(C89)=2020,YEAR(C89)=2024),366,365)))</f>
        <v>75274.083220126224</v>
      </c>
      <c r="H89" s="15">
        <f ca="1">IF(A88=$D$8,SUM($H$25:H88),IF(A88="","",(G89+F89)))</f>
        <v>69095.381814464563</v>
      </c>
      <c r="I89" s="15" t="str">
        <f t="shared" si="10"/>
        <v/>
      </c>
      <c r="J89" s="15"/>
      <c r="K89" s="52" t="str">
        <f>IF(A88=$D$8,XIRR(H$24:H88,C$24:C88),"")</f>
        <v/>
      </c>
      <c r="L89" s="15" t="str">
        <f t="shared" si="13"/>
        <v/>
      </c>
    </row>
    <row r="90" spans="1:15" x14ac:dyDescent="0.35">
      <c r="A90" s="13">
        <f t="shared" si="4"/>
        <v>66</v>
      </c>
      <c r="B90" s="50">
        <f ca="1">EDATE($B$24,66)</f>
        <v>46399</v>
      </c>
      <c r="C90" s="14">
        <f t="shared" ca="1" si="12"/>
        <v>46399</v>
      </c>
      <c r="D90" s="13">
        <f t="shared" ca="1" si="9"/>
        <v>31</v>
      </c>
      <c r="E90" s="15">
        <f t="shared" ca="1" si="8"/>
        <v>4017760.5529329078</v>
      </c>
      <c r="F90" s="15">
        <f ca="1">IF(AND(A89="",A91=""),"",IF(A90="",SUM($F$25:F89),IF(A90=$D$8,$E$24-SUM($F$25:F89),$F$21-G90)))</f>
        <v>-8807.9040700679179</v>
      </c>
      <c r="G90" s="15">
        <f ca="1">IF(A89=$D$8,SUM($G$25:G89),IF(A89&gt;$D$8,"",E89*D90*$F$18/IF(OR(YEAR(C90)=2020,YEAR(C90)=2024),366,365)))</f>
        <v>77903.285884532481</v>
      </c>
      <c r="H90" s="15">
        <f ca="1">IF(A89=$D$8,SUM($H$25:H89),IF(A89="","",(G90+F90)))</f>
        <v>69095.381814464563</v>
      </c>
      <c r="I90" s="15" t="str">
        <f t="shared" si="10"/>
        <v/>
      </c>
      <c r="J90" s="15"/>
      <c r="K90" s="52" t="str">
        <f>IF(A89=$D$8,XIRR(H$24:H89,C$24:C89),"")</f>
        <v/>
      </c>
      <c r="L90" s="15" t="str">
        <f t="shared" si="13"/>
        <v/>
      </c>
    </row>
    <row r="91" spans="1:15" x14ac:dyDescent="0.35">
      <c r="A91" s="13">
        <f t="shared" ref="A91:A112" si="14">IF(A90&lt;$D$8,A90+1,"")</f>
        <v>67</v>
      </c>
      <c r="B91" s="50">
        <f ca="1">EDATE($B$24,67)</f>
        <v>46430</v>
      </c>
      <c r="C91" s="14">
        <f t="shared" ca="1" si="12"/>
        <v>46430</v>
      </c>
      <c r="D91" s="13">
        <f t="shared" ca="1" si="9"/>
        <v>31</v>
      </c>
      <c r="E91" s="15">
        <f t="shared" ca="1" si="8"/>
        <v>4026739.6150906147</v>
      </c>
      <c r="F91" s="15">
        <f ca="1">IF(AND(A90="",A92=""),"",IF(A91="",SUM($F$25:F90),IF(A91=$D$8,$E$24-SUM($F$25:F90),$F$21-G91)))</f>
        <v>-8979.0621577067504</v>
      </c>
      <c r="G91" s="15">
        <f ca="1">IF(A90=$D$8,SUM($G$25:G90),IF(A90&gt;$D$8,"",E90*D91*$F$18/IF(OR(YEAR(C91)=2020,YEAR(C91)=2024),366,365)))</f>
        <v>78074.443972171313</v>
      </c>
      <c r="H91" s="15">
        <f ca="1">IF(A90=$D$8,SUM($H$25:H90),IF(A90="","",(G91+F91)))</f>
        <v>69095.381814464563</v>
      </c>
      <c r="I91" s="15" t="str">
        <f t="shared" si="10"/>
        <v/>
      </c>
      <c r="J91" s="15"/>
      <c r="K91" s="52" t="str">
        <f>IF(A90=$D$8,XIRR(H$24:H90,C$24:C90),"")</f>
        <v/>
      </c>
      <c r="L91" s="15" t="str">
        <f t="shared" si="13"/>
        <v/>
      </c>
    </row>
    <row r="92" spans="1:15" x14ac:dyDescent="0.35">
      <c r="A92" s="13">
        <f t="shared" si="14"/>
        <v>68</v>
      </c>
      <c r="B92" s="50">
        <f ca="1">EDATE($B$24,68)</f>
        <v>46458</v>
      </c>
      <c r="C92" s="14">
        <f t="shared" ca="1" si="12"/>
        <v>46458</v>
      </c>
      <c r="D92" s="13">
        <f t="shared" ca="1" si="9"/>
        <v>28</v>
      </c>
      <c r="E92" s="15">
        <f t="shared" ca="1" si="8"/>
        <v>4028320.6844271543</v>
      </c>
      <c r="F92" s="15">
        <f ca="1">IF(AND(A91="",A93=""),"",IF(A92="",SUM($F$25:F91),IF(A92=$D$8,$E$24-SUM($F$25:F91),$F$21-G92)))</f>
        <v>-1581.0693365395855</v>
      </c>
      <c r="G92" s="15">
        <f ca="1">IF(A91=$D$8,SUM($G$25:G91),IF(A91&gt;$D$8,"",E91*D92*$F$18/IF(OR(YEAR(C92)=2020,YEAR(C92)=2024),366,365)))</f>
        <v>70676.451151004148</v>
      </c>
      <c r="H92" s="15">
        <f ca="1">IF(A91=$D$8,SUM($H$25:H91),IF(A91="","",(G92+F92)))</f>
        <v>69095.381814464563</v>
      </c>
      <c r="I92" s="15" t="str">
        <f t="shared" si="10"/>
        <v/>
      </c>
      <c r="J92" s="15"/>
      <c r="K92" s="52" t="str">
        <f>IF(A91=$D$8,XIRR(H$24:H91,C$24:C91),"")</f>
        <v/>
      </c>
      <c r="L92" s="15" t="str">
        <f t="shared" si="13"/>
        <v/>
      </c>
    </row>
    <row r="93" spans="1:15" x14ac:dyDescent="0.35">
      <c r="A93" s="13">
        <f t="shared" si="14"/>
        <v>69</v>
      </c>
      <c r="B93" s="50">
        <f ca="1">EDATE($B$24,69)</f>
        <v>46489</v>
      </c>
      <c r="C93" s="14">
        <f t="shared" ca="1" si="12"/>
        <v>46489</v>
      </c>
      <c r="D93" s="13">
        <f t="shared" ca="1" si="9"/>
        <v>31</v>
      </c>
      <c r="E93" s="15">
        <f t="shared" ca="1" si="8"/>
        <v>4037504.954531881</v>
      </c>
      <c r="F93" s="15">
        <f ca="1">IF(AND(A92="",A94=""),"",IF(A93="",SUM($F$25:F92),IF(A93=$D$8,$E$24-SUM($F$25:F92),$F$21-G93)))</f>
        <v>-9184.2701047269948</v>
      </c>
      <c r="G93" s="15">
        <f ca="1">IF(A92=$D$8,SUM($G$25:G92),IF(A92&gt;$D$8,"",E92*D93*$F$18/IF(OR(YEAR(C93)=2020,YEAR(C93)=2024),366,365)))</f>
        <v>78279.651919191558</v>
      </c>
      <c r="H93" s="15">
        <f ca="1">IF(A92=$D$8,SUM($H$25:H92),IF(A92="","",(G93+F93)))</f>
        <v>69095.381814464563</v>
      </c>
      <c r="I93" s="15" t="str">
        <f t="shared" si="10"/>
        <v/>
      </c>
      <c r="J93" s="15"/>
      <c r="K93" s="52" t="str">
        <f>IF(A92=$D$8,XIRR(H$24:H92,C$24:C92),"")</f>
        <v/>
      </c>
      <c r="L93" s="15" t="str">
        <f t="shared" si="13"/>
        <v/>
      </c>
    </row>
    <row r="94" spans="1:15" x14ac:dyDescent="0.35">
      <c r="A94" s="13">
        <f t="shared" si="14"/>
        <v>70</v>
      </c>
      <c r="B94" s="50">
        <f ca="1">EDATE($B$24,70)</f>
        <v>46519</v>
      </c>
      <c r="C94" s="14">
        <f t="shared" ca="1" si="12"/>
        <v>46519</v>
      </c>
      <c r="D94" s="13">
        <f t="shared" ca="1" si="9"/>
        <v>30</v>
      </c>
      <c r="E94" s="15">
        <f t="shared" ca="1" si="8"/>
        <v>4044336.789177435</v>
      </c>
      <c r="F94" s="15">
        <f ca="1">IF(AND(A93="",A95=""),"",IF(A94="",SUM($F$25:F93),IF(A94=$D$8,$E$24-SUM($F$25:F93),$F$21-G94)))</f>
        <v>-6831.8346455541614</v>
      </c>
      <c r="G94" s="15">
        <f ca="1">IF(A93=$D$8,SUM($G$25:G93),IF(A93&gt;$D$8,"",E93*D94*$F$18/IF(OR(YEAR(C94)=2020,YEAR(C94)=2024),366,365)))</f>
        <v>75927.216460018724</v>
      </c>
      <c r="H94" s="15">
        <f ca="1">IF(A93=$D$8,SUM($H$25:H93),IF(A93="","",(G94+F94)))</f>
        <v>69095.381814464563</v>
      </c>
      <c r="I94" s="15" t="str">
        <f t="shared" si="10"/>
        <v/>
      </c>
      <c r="J94" s="15"/>
      <c r="K94" s="52" t="str">
        <f>IF(A93=$D$8,XIRR(H$24:H93,C$24:C93),"")</f>
        <v/>
      </c>
      <c r="L94" s="15" t="str">
        <f t="shared" si="13"/>
        <v/>
      </c>
    </row>
    <row r="95" spans="1:15" x14ac:dyDescent="0.35">
      <c r="A95" s="13">
        <f t="shared" si="14"/>
        <v>71</v>
      </c>
      <c r="B95" s="50">
        <f ca="1">EDATE($B$24,71)</f>
        <v>46550</v>
      </c>
      <c r="C95" s="14">
        <f t="shared" ca="1" si="12"/>
        <v>46550</v>
      </c>
      <c r="D95" s="13">
        <f t="shared" ca="1" si="9"/>
        <v>31</v>
      </c>
      <c r="E95" s="15">
        <f t="shared" ca="1" si="8"/>
        <v>4053832.2894952381</v>
      </c>
      <c r="F95" s="15">
        <f ca="1">IF(AND(A94="",A96=""),"",IF(A95="",SUM($F$25:F94),IF(A95=$D$8,$E$24-SUM($F$25:F94),$F$21-G95)))</f>
        <v>-9495.5003178031475</v>
      </c>
      <c r="G95" s="15">
        <f ca="1">IF(A94=$D$8,SUM($G$25:G94),IF(A94&gt;$D$8,"",E94*D95*$F$18/IF(OR(YEAR(C95)=2020,YEAR(C95)=2024),366,365)))</f>
        <v>78590.88213226771</v>
      </c>
      <c r="H95" s="15">
        <f ca="1">IF(A94=$D$8,SUM($H$25:H94),IF(A94="","",(G95+F95)))</f>
        <v>69095.381814464563</v>
      </c>
      <c r="I95" s="15" t="str">
        <f t="shared" si="10"/>
        <v/>
      </c>
      <c r="J95" s="15"/>
      <c r="K95" s="52" t="str">
        <f>IF(A94=$D$8,XIRR(H$24:H94,C$24:C94),"")</f>
        <v/>
      </c>
      <c r="L95" s="15" t="str">
        <f t="shared" si="13"/>
        <v/>
      </c>
    </row>
    <row r="96" spans="1:15" x14ac:dyDescent="0.35">
      <c r="A96" s="13">
        <f t="shared" si="14"/>
        <v>72</v>
      </c>
      <c r="B96" s="50">
        <f ca="1">EDATE($B$24,72)</f>
        <v>46580</v>
      </c>
      <c r="C96" s="14">
        <f t="shared" ca="1" si="12"/>
        <v>46580</v>
      </c>
      <c r="D96" s="13">
        <f t="shared" ca="1" si="9"/>
        <v>30</v>
      </c>
      <c r="E96" s="15">
        <f t="shared" ca="1" si="8"/>
        <v>4060971.1675029523</v>
      </c>
      <c r="F96" s="15">
        <f ca="1">IF(AND(A95="",A97=""),"",IF(A96="",SUM($F$25:F95),IF(A96=$D$8,$E$24-SUM($F$25:F95),$F$21-G96)))</f>
        <v>-7138.8780077143892</v>
      </c>
      <c r="G96" s="15">
        <f ca="1">IF(A95=$D$8,SUM($G$25:G95),IF(A95&gt;$D$8,"",E95*D96*$F$18/IF(OR(YEAR(C96)=2020,YEAR(C96)=2024),366,365)))</f>
        <v>76234.259822178952</v>
      </c>
      <c r="H96" s="15">
        <f ca="1">IF(A95=$D$8,SUM($H$25:H95),IF(A95="","",(G96+F96)))</f>
        <v>69095.381814464563</v>
      </c>
      <c r="I96" s="15" t="str">
        <f t="shared" si="10"/>
        <v/>
      </c>
      <c r="J96" s="15"/>
      <c r="K96" s="52" t="str">
        <f>IF(A95=$D$8,XIRR(H$24:H95,C$24:C95),"")</f>
        <v/>
      </c>
      <c r="L96" s="15" t="str">
        <f t="shared" si="13"/>
        <v/>
      </c>
    </row>
    <row r="97" spans="1:12" x14ac:dyDescent="0.35">
      <c r="A97" s="13">
        <f t="shared" si="14"/>
        <v>73</v>
      </c>
      <c r="B97" s="50">
        <f ca="1">EDATE($B$24,73)</f>
        <v>46611</v>
      </c>
      <c r="C97" s="14">
        <f t="shared" ca="1" si="12"/>
        <v>46611</v>
      </c>
      <c r="D97" s="13">
        <f t="shared" ca="1" si="9"/>
        <v>31</v>
      </c>
      <c r="E97" s="15">
        <f t="shared" ca="1" si="8"/>
        <v>4070789.9125292134</v>
      </c>
      <c r="F97" s="15">
        <f ca="1">IF(AND(A96="",A98=""),"",IF(A97="",SUM($F$25:F96),IF(A97=$D$8,$E$24-SUM($F$25:F96),$F$21-G97)))</f>
        <v>-9818.7450262612983</v>
      </c>
      <c r="G97" s="15">
        <f ca="1">IF(A96=$D$8,SUM($G$25:G96),IF(A96&gt;$D$8,"",E96*D97*$F$18/IF(OR(YEAR(C97)=2020,YEAR(C97)=2024),366,365)))</f>
        <v>78914.126840725861</v>
      </c>
      <c r="H97" s="15">
        <f ca="1">IF(A96=$D$8,SUM($H$25:H96),IF(A96="","",(G97+F97)))</f>
        <v>69095.381814464563</v>
      </c>
      <c r="I97" s="15" t="str">
        <f t="shared" si="10"/>
        <v/>
      </c>
      <c r="J97" s="15"/>
      <c r="K97" s="52" t="str">
        <f>IF(A96=$D$8,XIRR(H$24:H96,C$24:C96),"")</f>
        <v/>
      </c>
      <c r="L97" s="15" t="str">
        <f t="shared" si="13"/>
        <v/>
      </c>
    </row>
    <row r="98" spans="1:12" x14ac:dyDescent="0.35">
      <c r="A98" s="13">
        <f t="shared" si="14"/>
        <v>74</v>
      </c>
      <c r="B98" s="50">
        <f ca="1">EDATE($B$24,74)</f>
        <v>46642</v>
      </c>
      <c r="C98" s="14">
        <f t="shared" ca="1" si="12"/>
        <v>46642</v>
      </c>
      <c r="D98" s="13">
        <f t="shared" ca="1" si="9"/>
        <v>31</v>
      </c>
      <c r="E98" s="15">
        <f t="shared" ca="1" si="8"/>
        <v>4080799.4586369055</v>
      </c>
      <c r="F98" s="15">
        <f ca="1">IF(AND(A97="",A99=""),"",IF(A98="",SUM($F$25:F97),IF(A98=$D$8,$E$24-SUM($F$25:F97),$F$21-G98)))</f>
        <v>-10009.546107692164</v>
      </c>
      <c r="G98" s="15">
        <f ca="1">IF(A97=$D$8,SUM($G$25:G97),IF(A97&gt;$D$8,"",E97*D98*$F$18/IF(OR(YEAR(C98)=2020,YEAR(C98)=2024),366,365)))</f>
        <v>79104.927922156727</v>
      </c>
      <c r="H98" s="15">
        <f ca="1">IF(A97=$D$8,SUM($H$25:H97),IF(A97="","",(G98+F98)))</f>
        <v>69095.381814464563</v>
      </c>
      <c r="I98" s="15" t="str">
        <f t="shared" si="10"/>
        <v/>
      </c>
      <c r="J98" s="15"/>
      <c r="K98" s="52" t="str">
        <f>IF(A97=$D$8,XIRR(H$24:H97,C$24:C97),"")</f>
        <v/>
      </c>
      <c r="L98" s="15" t="str">
        <f t="shared" si="13"/>
        <v/>
      </c>
    </row>
    <row r="99" spans="1:12" x14ac:dyDescent="0.35">
      <c r="A99" s="13">
        <f t="shared" si="14"/>
        <v>75</v>
      </c>
      <c r="B99" s="50">
        <f ca="1">EDATE($B$24,75)</f>
        <v>46672</v>
      </c>
      <c r="C99" s="14">
        <f t="shared" ca="1" si="12"/>
        <v>46672</v>
      </c>
      <c r="D99" s="13">
        <f t="shared" ca="1" si="9"/>
        <v>30</v>
      </c>
      <c r="E99" s="15">
        <f t="shared" ca="1" si="8"/>
        <v>4088445.4671897935</v>
      </c>
      <c r="F99" s="15">
        <f ca="1">IF(AND(A98="",A100=""),"",IF(A99="",SUM($F$25:F98),IF(A99=$D$8,$E$24-SUM($F$25:F98),$F$21-G99)))</f>
        <v>-7646.0085528881027</v>
      </c>
      <c r="G99" s="15">
        <f ca="1">IF(A98=$D$8,SUM($G$25:G98),IF(A98&gt;$D$8,"",E98*D99*$F$18/IF(OR(YEAR(C99)=2020,YEAR(C99)=2024),366,365)))</f>
        <v>76741.390367352666</v>
      </c>
      <c r="H99" s="15">
        <f ca="1">IF(A98=$D$8,SUM($H$25:H98),IF(A98="","",(G99+F99)))</f>
        <v>69095.381814464563</v>
      </c>
      <c r="I99" s="15" t="str">
        <f t="shared" si="10"/>
        <v/>
      </c>
      <c r="J99" s="15"/>
      <c r="K99" s="52" t="str">
        <f>IF(A98=$D$8,XIRR(H$24:H98,C$24:C98),"")</f>
        <v/>
      </c>
      <c r="L99" s="15" t="str">
        <f t="shared" si="13"/>
        <v/>
      </c>
    </row>
    <row r="100" spans="1:12" x14ac:dyDescent="0.35">
      <c r="A100" s="13">
        <f t="shared" si="14"/>
        <v>76</v>
      </c>
      <c r="B100" s="50">
        <f ca="1">EDATE($B$24,76)</f>
        <v>46703</v>
      </c>
      <c r="C100" s="14">
        <f t="shared" ca="1" si="12"/>
        <v>46703</v>
      </c>
      <c r="D100" s="13">
        <f t="shared" ca="1" si="9"/>
        <v>31</v>
      </c>
      <c r="E100" s="15">
        <f t="shared" ca="1" si="8"/>
        <v>4098798.1018402157</v>
      </c>
      <c r="F100" s="15">
        <f ca="1">IF(AND(A99="",A101=""),"",IF(A100="",SUM($F$25:F99),IF(A100=$D$8,$E$24-SUM($F$25:F99),$F$21-G100)))</f>
        <v>-10352.634650422478</v>
      </c>
      <c r="G100" s="15">
        <f ca="1">IF(A99=$D$8,SUM($G$25:G99),IF(A99&gt;$D$8,"",E99*D100*$F$18/IF(OR(YEAR(C100)=2020,YEAR(C100)=2024),366,365)))</f>
        <v>79448.016464887041</v>
      </c>
      <c r="H100" s="15">
        <f ca="1">IF(A99=$D$8,SUM($H$25:H99),IF(A99="","",(G100+F100)))</f>
        <v>69095.381814464563</v>
      </c>
      <c r="I100" s="15" t="str">
        <f t="shared" si="10"/>
        <v/>
      </c>
      <c r="J100" s="15"/>
      <c r="K100" s="52" t="str">
        <f>IF(A99=$D$8,XIRR(H$24:H99,C$24:C99),"")</f>
        <v/>
      </c>
      <c r="L100" s="15" t="str">
        <f t="shared" si="13"/>
        <v/>
      </c>
    </row>
    <row r="101" spans="1:12" x14ac:dyDescent="0.35">
      <c r="A101" s="13">
        <f t="shared" si="14"/>
        <v>77</v>
      </c>
      <c r="B101" s="50">
        <f ca="1">EDATE($B$24,77)</f>
        <v>46733</v>
      </c>
      <c r="C101" s="14">
        <f t="shared" ca="1" si="12"/>
        <v>46733</v>
      </c>
      <c r="D101" s="13">
        <f t="shared" ca="1" si="9"/>
        <v>30</v>
      </c>
      <c r="E101" s="15">
        <f t="shared" ref="E101:E108" ca="1" si="15">IF(A101&gt;$D$8,"",E100-F101)</f>
        <v>4106782.5835080286</v>
      </c>
      <c r="F101" s="15">
        <f ca="1">IF(AND(A100="",A102=""),"",IF(A101="",SUM($F$25:F100),IF(A101=$D$8,$E$24-SUM($F$25:F100),$F$21-G101)))</f>
        <v>-7984.4816678128118</v>
      </c>
      <c r="G101" s="15">
        <f ca="1">IF(A100=$D$8,SUM($G$25:G100),IF(A100&gt;$D$8,"",E100*D101*$F$18/IF(OR(YEAR(C101)=2020,YEAR(C101)=2024),366,365)))</f>
        <v>77079.863482277375</v>
      </c>
      <c r="H101" s="15">
        <f ca="1">IF(A100=$D$8,SUM($H$25:H100),IF(A100="","",(G101+F101)))</f>
        <v>69095.381814464563</v>
      </c>
      <c r="I101" s="15" t="str">
        <f t="shared" si="10"/>
        <v/>
      </c>
      <c r="J101" s="15"/>
      <c r="K101" s="52" t="str">
        <f>IF(A100=$D$8,XIRR(H$24:H100,C$24:C100),"")</f>
        <v/>
      </c>
      <c r="L101" s="15" t="str">
        <f t="shared" si="13"/>
        <v/>
      </c>
    </row>
    <row r="102" spans="1:12" x14ac:dyDescent="0.35">
      <c r="A102" s="13">
        <f t="shared" si="14"/>
        <v>78</v>
      </c>
      <c r="B102" s="50">
        <f ca="1">EDATE($B$24,78)</f>
        <v>46764</v>
      </c>
      <c r="C102" s="14">
        <f t="shared" ca="1" si="12"/>
        <v>46764</v>
      </c>
      <c r="D102" s="13">
        <f t="shared" ref="D102:D108" ca="1" si="16">IF(A102&gt;$D$8,"",C102-C101)</f>
        <v>31</v>
      </c>
      <c r="E102" s="15">
        <f t="shared" ca="1" si="15"/>
        <v>4117491.5510313879</v>
      </c>
      <c r="F102" s="15">
        <f ca="1">IF(AND(A101="",A103=""),"",IF(A102="",SUM($F$25:F101),IF(A102=$D$8,$E$24-SUM($F$25:F101),$F$21-G102)))</f>
        <v>-10708.967523359403</v>
      </c>
      <c r="G102" s="15">
        <f ca="1">IF(A101=$D$8,SUM($G$25:G101),IF(A101&gt;$D$8,"",E101*D102*$F$18/IF(OR(YEAR(C102)=2020,YEAR(C102)=2024),366,365)))</f>
        <v>79804.349337823965</v>
      </c>
      <c r="H102" s="15">
        <f ca="1">IF(A101=$D$8,SUM($H$25:H101),IF(A101="","",(G102+F102)))</f>
        <v>69095.381814464563</v>
      </c>
      <c r="I102" s="15" t="str">
        <f t="shared" ref="I102:I156" si="17">IF(A101=$F$8,$I$24,"")</f>
        <v/>
      </c>
      <c r="J102" s="15"/>
      <c r="K102" s="52" t="str">
        <f>IF(A101=$D$8,XIRR(H$24:H101,C$24:C101),"")</f>
        <v/>
      </c>
      <c r="L102" s="15" t="str">
        <f t="shared" si="13"/>
        <v/>
      </c>
    </row>
    <row r="103" spans="1:12" x14ac:dyDescent="0.35">
      <c r="A103" s="13">
        <f t="shared" si="14"/>
        <v>79</v>
      </c>
      <c r="B103" s="50">
        <f ca="1">EDATE($B$24,79)</f>
        <v>46795</v>
      </c>
      <c r="C103" s="14">
        <f t="shared" ca="1" si="12"/>
        <v>46795</v>
      </c>
      <c r="D103" s="13">
        <f t="shared" ca="1" si="16"/>
        <v>31</v>
      </c>
      <c r="E103" s="15">
        <f t="shared" ca="1" si="15"/>
        <v>4128408.6187324175</v>
      </c>
      <c r="F103" s="15">
        <f ca="1">IF(AND(A102="",A104=""),"",IF(A103="",SUM($F$25:F102),IF(A103=$D$8,$E$24-SUM($F$25:F102),$F$21-G103)))</f>
        <v>-10917.067701029766</v>
      </c>
      <c r="G103" s="15">
        <f ca="1">IF(A102=$D$8,SUM($G$25:G102),IF(A102&gt;$D$8,"",E102*D103*$F$18/IF(OR(YEAR(C103)=2020,YEAR(C103)=2024),366,365)))</f>
        <v>80012.449515494329</v>
      </c>
      <c r="H103" s="15">
        <f ca="1">IF(A102=$D$8,SUM($H$25:H102),IF(A102="","",(G103+F103)))</f>
        <v>69095.381814464563</v>
      </c>
      <c r="I103" s="15" t="str">
        <f t="shared" si="17"/>
        <v/>
      </c>
      <c r="J103" s="15"/>
      <c r="K103" s="52" t="str">
        <f>IF(A102=$D$8,XIRR(H$24:H102,C$24:C102),"")</f>
        <v/>
      </c>
      <c r="L103" s="15" t="str">
        <f t="shared" si="13"/>
        <v/>
      </c>
    </row>
    <row r="104" spans="1:12" x14ac:dyDescent="0.35">
      <c r="A104" s="13">
        <f t="shared" si="14"/>
        <v>80</v>
      </c>
      <c r="B104" s="50">
        <f ca="1">EDATE($B$24,80)</f>
        <v>46824</v>
      </c>
      <c r="C104" s="14">
        <f t="shared" ca="1" si="12"/>
        <v>46824</v>
      </c>
      <c r="D104" s="13">
        <f t="shared" ca="1" si="16"/>
        <v>29</v>
      </c>
      <c r="E104" s="15">
        <f t="shared" ca="1" si="15"/>
        <v>4134362.050252236</v>
      </c>
      <c r="F104" s="15">
        <f ca="1">IF(AND(A103="",A105=""),"",IF(A104="",SUM($F$25:F103),IF(A104=$D$8,$E$24-SUM($F$25:F103),$F$21-G104)))</f>
        <v>-5953.4315198185504</v>
      </c>
      <c r="G104" s="15">
        <f ca="1">IF(A103=$D$8,SUM($G$25:G103),IF(A103&gt;$D$8,"",E103*D104*$F$18/IF(OR(YEAR(C104)=2020,YEAR(C104)=2024),366,365)))</f>
        <v>75048.813334283113</v>
      </c>
      <c r="H104" s="15">
        <f ca="1">IF(A103=$D$8,SUM($H$25:H103),IF(A103="","",(G104+F104)))</f>
        <v>69095.381814464563</v>
      </c>
      <c r="I104" s="15" t="str">
        <f t="shared" si="17"/>
        <v/>
      </c>
      <c r="J104" s="15"/>
      <c r="K104" s="52" t="str">
        <f>IF(A103=$D$8,XIRR(H$24:H103,C$24:C103),"")</f>
        <v/>
      </c>
      <c r="L104" s="15" t="str">
        <f t="shared" si="13"/>
        <v/>
      </c>
    </row>
    <row r="105" spans="1:12" x14ac:dyDescent="0.35">
      <c r="A105" s="13">
        <f t="shared" si="14"/>
        <v>81</v>
      </c>
      <c r="B105" s="50">
        <f ca="1">EDATE($B$24,81)</f>
        <v>46855</v>
      </c>
      <c r="C105" s="14">
        <f t="shared" ca="1" si="12"/>
        <v>46855</v>
      </c>
      <c r="D105" s="13">
        <f t="shared" ca="1" si="16"/>
        <v>31</v>
      </c>
      <c r="E105" s="15">
        <f t="shared" ca="1" si="15"/>
        <v>4145606.9510405906</v>
      </c>
      <c r="F105" s="15">
        <f ca="1">IF(AND(A104="",A106=""),"",IF(A105="",SUM($F$25:F104),IF(A105=$D$8,$E$24-SUM($F$25:F104),$F$21-G105)))</f>
        <v>-11244.900788354775</v>
      </c>
      <c r="G105" s="15">
        <f ca="1">IF(A104=$D$8,SUM($G$25:G104),IF(A104&gt;$D$8,"",E104*D105*$F$18/IF(OR(YEAR(C105)=2020,YEAR(C105)=2024),366,365)))</f>
        <v>80340.282602819338</v>
      </c>
      <c r="H105" s="15">
        <f ca="1">IF(A104=$D$8,SUM($H$25:H104),IF(A104="","",(G105+F105)))</f>
        <v>69095.381814464563</v>
      </c>
      <c r="I105" s="15" t="str">
        <f t="shared" si="17"/>
        <v/>
      </c>
      <c r="J105" s="15"/>
      <c r="K105" s="52" t="str">
        <f>IF(A104=$D$8,XIRR(H$24:H104,C$24:C104),"")</f>
        <v/>
      </c>
      <c r="L105" s="15" t="str">
        <f t="shared" si="13"/>
        <v/>
      </c>
    </row>
    <row r="106" spans="1:12" x14ac:dyDescent="0.35">
      <c r="A106" s="13">
        <f t="shared" si="14"/>
        <v>82</v>
      </c>
      <c r="B106" s="50">
        <f ca="1">EDATE($B$24,82)</f>
        <v>46885</v>
      </c>
      <c r="C106" s="14">
        <f t="shared" ca="1" si="12"/>
        <v>46885</v>
      </c>
      <c r="D106" s="13">
        <f t="shared" ca="1" si="16"/>
        <v>30</v>
      </c>
      <c r="E106" s="15">
        <f t="shared" ca="1" si="15"/>
        <v>4154471.6955602155</v>
      </c>
      <c r="F106" s="15">
        <f ca="1">IF(AND(A105="",A107=""),"",IF(A106="",SUM($F$25:F105),IF(A106=$D$8,$E$24-SUM($F$25:F105),$F$21-G106)))</f>
        <v>-8864.7445196248009</v>
      </c>
      <c r="G106" s="15">
        <f ca="1">IF(A105=$D$8,SUM($G$25:G105),IF(A105&gt;$D$8,"",E105*D106*$F$18/IF(OR(YEAR(C106)=2020,YEAR(C106)=2024),366,365)))</f>
        <v>77960.126334089364</v>
      </c>
      <c r="H106" s="15">
        <f ca="1">IF(A105=$D$8,SUM($H$25:H105),IF(A105="","",(G106+F106)))</f>
        <v>69095.381814464563</v>
      </c>
      <c r="I106" s="15" t="str">
        <f t="shared" si="17"/>
        <v/>
      </c>
      <c r="J106" s="15"/>
      <c r="K106" s="52" t="str">
        <f>IF(A105=$D$8,XIRR(H$24:H105,C$24:C105),"")</f>
        <v/>
      </c>
      <c r="L106" s="15" t="str">
        <f t="shared" si="13"/>
        <v/>
      </c>
    </row>
    <row r="107" spans="1:12" x14ac:dyDescent="0.35">
      <c r="A107" s="13">
        <f t="shared" si="14"/>
        <v>83</v>
      </c>
      <c r="B107" s="50">
        <f ca="1">EDATE($B$24,83)</f>
        <v>46916</v>
      </c>
      <c r="C107" s="14">
        <f t="shared" ca="1" si="12"/>
        <v>46916</v>
      </c>
      <c r="D107" s="13">
        <f t="shared" ca="1" si="16"/>
        <v>31</v>
      </c>
      <c r="E107" s="15">
        <f t="shared" ca="1" si="15"/>
        <v>4166107.3735875851</v>
      </c>
      <c r="F107" s="15">
        <f ca="1">IF(AND(A106="",A108=""),"",IF(A107="",SUM($F$25:F106),IF(A107=$D$8,$E$24-SUM($F$25:F106),$F$21-G107)))</f>
        <v>-11635.678027369664</v>
      </c>
      <c r="G107" s="15">
        <f ca="1">IF(A106=$D$8,SUM($G$25:G106),IF(A106&gt;$D$8,"",E106*D107*$F$18/IF(OR(YEAR(C107)=2020,YEAR(C107)=2024),366,365)))</f>
        <v>80731.059841834227</v>
      </c>
      <c r="H107" s="15">
        <f ca="1">IF(A106=$D$8,SUM($H$25:H106),IF(A106="","",(G107+F107)))</f>
        <v>69095.381814464563</v>
      </c>
      <c r="I107" s="15" t="str">
        <f t="shared" si="17"/>
        <v/>
      </c>
      <c r="J107" s="15"/>
      <c r="K107" s="52" t="str">
        <f>IF(A106=$D$8,XIRR(H$24:H106,C$24:C106),"")</f>
        <v/>
      </c>
      <c r="L107" s="15" t="str">
        <f t="shared" si="13"/>
        <v/>
      </c>
    </row>
    <row r="108" spans="1:12" x14ac:dyDescent="0.35">
      <c r="A108" s="13">
        <f t="shared" si="14"/>
        <v>84</v>
      </c>
      <c r="B108" s="50">
        <f ca="1">EDATE($B$24,84)</f>
        <v>46946</v>
      </c>
      <c r="C108" s="14">
        <f t="shared" ca="1" si="12"/>
        <v>46946</v>
      </c>
      <c r="D108" s="13">
        <f t="shared" ca="1" si="16"/>
        <v>30</v>
      </c>
      <c r="E108" s="15">
        <f t="shared" ca="1" si="15"/>
        <v>4175357.6383821759</v>
      </c>
      <c r="F108" s="15">
        <f ca="1">IF(AND(A107="",A109=""),"",IF(A108="",SUM($F$25:F107),IF(A108=$D$8,$E$24-SUM($F$25:F107),$F$21-G108)))</f>
        <v>-9250.2647945907374</v>
      </c>
      <c r="G108" s="15">
        <f ca="1">IF(A107=$D$8,SUM($G$25:G107),IF(A107&gt;$D$8,"",E107*D108*$F$18/IF(OR(YEAR(C108)=2020,YEAR(C108)=2024),366,365)))</f>
        <v>78345.6466090553</v>
      </c>
      <c r="H108" s="15">
        <f ca="1">IF(A107=$D$8,SUM($H$25:H107),IF(A107="","",(G108+F108)))</f>
        <v>69095.381814464563</v>
      </c>
      <c r="I108" s="15" t="str">
        <f t="shared" si="17"/>
        <v/>
      </c>
      <c r="J108" s="15"/>
      <c r="K108" s="52" t="str">
        <f>IF(A107=$D$8,XIRR(H$24:H107,C$24:C107),"")</f>
        <v/>
      </c>
      <c r="L108" s="15" t="str">
        <f t="shared" si="13"/>
        <v/>
      </c>
    </row>
    <row r="109" spans="1:12" x14ac:dyDescent="0.35">
      <c r="A109" s="13">
        <f t="shared" si="14"/>
        <v>85</v>
      </c>
      <c r="F109" s="15">
        <f ca="1">IF(AND(A108="",A110=""),"",IF(A109="",SUM($F$25:F108),IF(A109=$D$8,$E$24-SUM($F$25:F108),$F$19-G109)))</f>
        <v>77095.381814464563</v>
      </c>
      <c r="G109" s="15">
        <f ca="1">IF(A108=$D$8,SUM($G$25:G108),IF(A108&gt;$D$8,"",E108*D109*$D$9/IF(OR(YEAR(C109)=2020,YEAR(C109)=2024),366,365)))</f>
        <v>0</v>
      </c>
      <c r="H109" s="15">
        <f ca="1">IF(A108=$D$8,SUM($H$25:H108),IF(A108="","",(G109+F109)))</f>
        <v>77095.381814464563</v>
      </c>
      <c r="I109" s="15" t="str">
        <f t="shared" si="17"/>
        <v/>
      </c>
      <c r="J109" s="15"/>
      <c r="K109" s="52" t="str">
        <f>IF(A108=$D$8,XIRR(H$24:H108,C$24:C108),"")</f>
        <v/>
      </c>
      <c r="L109" s="15" t="str">
        <f t="shared" si="13"/>
        <v/>
      </c>
    </row>
    <row r="110" spans="1:12" x14ac:dyDescent="0.35">
      <c r="A110" s="13">
        <f t="shared" si="14"/>
        <v>86</v>
      </c>
      <c r="I110" s="15" t="str">
        <f t="shared" si="17"/>
        <v/>
      </c>
      <c r="J110" s="15"/>
    </row>
    <row r="111" spans="1:12" x14ac:dyDescent="0.35">
      <c r="A111" s="13">
        <f t="shared" si="14"/>
        <v>87</v>
      </c>
      <c r="I111" s="15" t="str">
        <f t="shared" si="17"/>
        <v/>
      </c>
      <c r="J111" s="15"/>
    </row>
    <row r="112" spans="1:12" x14ac:dyDescent="0.35">
      <c r="A112" s="13">
        <f t="shared" si="14"/>
        <v>88</v>
      </c>
      <c r="I112" s="15" t="str">
        <f t="shared" si="17"/>
        <v/>
      </c>
      <c r="J112" s="15"/>
    </row>
    <row r="113" spans="9:10" x14ac:dyDescent="0.35">
      <c r="I113" s="15" t="str">
        <f t="shared" si="17"/>
        <v/>
      </c>
      <c r="J113" s="15"/>
    </row>
    <row r="114" spans="9:10" x14ac:dyDescent="0.35">
      <c r="I114" s="15" t="str">
        <f t="shared" si="17"/>
        <v/>
      </c>
      <c r="J114" s="15"/>
    </row>
    <row r="115" spans="9:10" x14ac:dyDescent="0.35">
      <c r="I115" s="15" t="str">
        <f t="shared" si="17"/>
        <v/>
      </c>
      <c r="J115" s="15"/>
    </row>
    <row r="116" spans="9:10" x14ac:dyDescent="0.35">
      <c r="I116" s="15" t="str">
        <f t="shared" si="17"/>
        <v/>
      </c>
      <c r="J116" s="15"/>
    </row>
    <row r="117" spans="9:10" x14ac:dyDescent="0.35">
      <c r="I117" s="15" t="str">
        <f t="shared" si="17"/>
        <v/>
      </c>
      <c r="J117" s="15"/>
    </row>
    <row r="118" spans="9:10" x14ac:dyDescent="0.35">
      <c r="I118" s="15" t="str">
        <f t="shared" si="17"/>
        <v/>
      </c>
      <c r="J118" s="15"/>
    </row>
    <row r="119" spans="9:10" x14ac:dyDescent="0.35">
      <c r="I119" s="15" t="str">
        <f t="shared" si="17"/>
        <v/>
      </c>
      <c r="J119" s="15"/>
    </row>
    <row r="120" spans="9:10" x14ac:dyDescent="0.35">
      <c r="I120" s="15" t="str">
        <f t="shared" si="17"/>
        <v/>
      </c>
      <c r="J120" s="15"/>
    </row>
    <row r="121" spans="9:10" x14ac:dyDescent="0.35">
      <c r="I121" s="15" t="str">
        <f t="shared" si="17"/>
        <v/>
      </c>
      <c r="J121" s="15"/>
    </row>
    <row r="122" spans="9:10" x14ac:dyDescent="0.35">
      <c r="I122" s="15" t="str">
        <f t="shared" si="17"/>
        <v/>
      </c>
      <c r="J122" s="15"/>
    </row>
    <row r="123" spans="9:10" x14ac:dyDescent="0.35">
      <c r="I123" s="15" t="str">
        <f t="shared" si="17"/>
        <v/>
      </c>
      <c r="J123" s="15"/>
    </row>
    <row r="124" spans="9:10" x14ac:dyDescent="0.35">
      <c r="I124" s="15" t="str">
        <f t="shared" si="17"/>
        <v/>
      </c>
      <c r="J124" s="15"/>
    </row>
    <row r="125" spans="9:10" x14ac:dyDescent="0.35">
      <c r="I125" s="15" t="str">
        <f t="shared" si="17"/>
        <v/>
      </c>
      <c r="J125" s="15"/>
    </row>
    <row r="126" spans="9:10" x14ac:dyDescent="0.35">
      <c r="I126" s="15" t="str">
        <f t="shared" si="17"/>
        <v/>
      </c>
      <c r="J126" s="15"/>
    </row>
    <row r="127" spans="9:10" x14ac:dyDescent="0.35">
      <c r="I127" s="15" t="str">
        <f t="shared" si="17"/>
        <v/>
      </c>
      <c r="J127" s="15"/>
    </row>
    <row r="128" spans="9:10" x14ac:dyDescent="0.35">
      <c r="I128" s="15" t="str">
        <f t="shared" si="17"/>
        <v/>
      </c>
      <c r="J128" s="15"/>
    </row>
    <row r="129" spans="9:10" x14ac:dyDescent="0.35">
      <c r="I129" s="15" t="str">
        <f t="shared" si="17"/>
        <v/>
      </c>
      <c r="J129" s="15"/>
    </row>
    <row r="130" spans="9:10" x14ac:dyDescent="0.35">
      <c r="I130" s="15" t="str">
        <f t="shared" si="17"/>
        <v/>
      </c>
      <c r="J130" s="15"/>
    </row>
    <row r="131" spans="9:10" x14ac:dyDescent="0.35">
      <c r="I131" s="15" t="str">
        <f t="shared" si="17"/>
        <v/>
      </c>
      <c r="J131" s="15"/>
    </row>
    <row r="132" spans="9:10" x14ac:dyDescent="0.35">
      <c r="I132" s="15" t="str">
        <f t="shared" si="17"/>
        <v/>
      </c>
      <c r="J132" s="15"/>
    </row>
    <row r="133" spans="9:10" x14ac:dyDescent="0.35">
      <c r="I133" s="15" t="str">
        <f t="shared" si="17"/>
        <v/>
      </c>
      <c r="J133" s="15"/>
    </row>
    <row r="134" spans="9:10" x14ac:dyDescent="0.35">
      <c r="I134" s="15" t="str">
        <f t="shared" si="17"/>
        <v/>
      </c>
      <c r="J134" s="15"/>
    </row>
    <row r="135" spans="9:10" x14ac:dyDescent="0.35">
      <c r="I135" s="15" t="str">
        <f t="shared" si="17"/>
        <v/>
      </c>
      <c r="J135" s="15"/>
    </row>
    <row r="136" spans="9:10" x14ac:dyDescent="0.35">
      <c r="I136" s="15" t="str">
        <f t="shared" si="17"/>
        <v/>
      </c>
      <c r="J136" s="15"/>
    </row>
    <row r="137" spans="9:10" x14ac:dyDescent="0.35">
      <c r="I137" s="15" t="str">
        <f t="shared" si="17"/>
        <v/>
      </c>
      <c r="J137" s="15"/>
    </row>
    <row r="138" spans="9:10" x14ac:dyDescent="0.35">
      <c r="I138" s="15" t="str">
        <f t="shared" si="17"/>
        <v/>
      </c>
      <c r="J138" s="15"/>
    </row>
    <row r="139" spans="9:10" x14ac:dyDescent="0.35">
      <c r="I139" s="15" t="str">
        <f t="shared" si="17"/>
        <v/>
      </c>
      <c r="J139" s="15"/>
    </row>
    <row r="140" spans="9:10" x14ac:dyDescent="0.35">
      <c r="I140" s="15" t="str">
        <f t="shared" si="17"/>
        <v/>
      </c>
      <c r="J140" s="15"/>
    </row>
    <row r="141" spans="9:10" x14ac:dyDescent="0.35">
      <c r="I141" s="15" t="str">
        <f t="shared" si="17"/>
        <v/>
      </c>
      <c r="J141" s="15"/>
    </row>
    <row r="142" spans="9:10" x14ac:dyDescent="0.35">
      <c r="I142" s="15" t="str">
        <f t="shared" si="17"/>
        <v/>
      </c>
      <c r="J142" s="15"/>
    </row>
    <row r="143" spans="9:10" x14ac:dyDescent="0.35">
      <c r="I143" s="15" t="str">
        <f t="shared" si="17"/>
        <v/>
      </c>
      <c r="J143" s="15"/>
    </row>
    <row r="144" spans="9:10" x14ac:dyDescent="0.35">
      <c r="I144" s="15" t="str">
        <f t="shared" si="17"/>
        <v/>
      </c>
      <c r="J144" s="15"/>
    </row>
    <row r="145" spans="9:10" x14ac:dyDescent="0.35">
      <c r="I145" s="15" t="str">
        <f t="shared" si="17"/>
        <v/>
      </c>
      <c r="J145" s="15"/>
    </row>
    <row r="146" spans="9:10" x14ac:dyDescent="0.35">
      <c r="I146" s="15" t="str">
        <f t="shared" si="17"/>
        <v/>
      </c>
      <c r="J146" s="15"/>
    </row>
    <row r="147" spans="9:10" x14ac:dyDescent="0.35">
      <c r="I147" s="15" t="str">
        <f t="shared" si="17"/>
        <v/>
      </c>
      <c r="J147" s="15"/>
    </row>
    <row r="148" spans="9:10" x14ac:dyDescent="0.35">
      <c r="I148" s="15" t="str">
        <f t="shared" si="17"/>
        <v/>
      </c>
      <c r="J148" s="15"/>
    </row>
    <row r="149" spans="9:10" x14ac:dyDescent="0.35">
      <c r="I149" s="15" t="str">
        <f t="shared" si="17"/>
        <v/>
      </c>
      <c r="J149" s="15"/>
    </row>
    <row r="150" spans="9:10" x14ac:dyDescent="0.35">
      <c r="I150" s="15" t="str">
        <f t="shared" si="17"/>
        <v/>
      </c>
      <c r="J150" s="15"/>
    </row>
    <row r="151" spans="9:10" x14ac:dyDescent="0.35">
      <c r="I151" s="15" t="str">
        <f t="shared" si="17"/>
        <v/>
      </c>
      <c r="J151" s="15"/>
    </row>
    <row r="152" spans="9:10" x14ac:dyDescent="0.35">
      <c r="I152" s="15" t="str">
        <f t="shared" si="17"/>
        <v/>
      </c>
      <c r="J152" s="15"/>
    </row>
    <row r="153" spans="9:10" x14ac:dyDescent="0.35">
      <c r="I153" s="15" t="str">
        <f t="shared" si="17"/>
        <v/>
      </c>
      <c r="J153" s="15"/>
    </row>
    <row r="154" spans="9:10" x14ac:dyDescent="0.35">
      <c r="I154" s="15" t="str">
        <f t="shared" si="17"/>
        <v/>
      </c>
      <c r="J154" s="15"/>
    </row>
    <row r="155" spans="9:10" x14ac:dyDescent="0.35">
      <c r="I155" s="15" t="str">
        <f t="shared" si="17"/>
        <v/>
      </c>
      <c r="J155" s="15"/>
    </row>
    <row r="156" spans="9:10" x14ac:dyDescent="0.35">
      <c r="I156" s="15" t="str">
        <f t="shared" si="17"/>
        <v/>
      </c>
      <c r="J156" s="15"/>
    </row>
    <row r="157" spans="9:10" x14ac:dyDescent="0.35">
      <c r="I157" s="15" t="str">
        <f t="shared" ref="I157:I186" si="18">IF(A157=$F$8,$I$24,"")</f>
        <v/>
      </c>
      <c r="J157" s="15"/>
    </row>
    <row r="158" spans="9:10" x14ac:dyDescent="0.35">
      <c r="I158" s="15" t="str">
        <f t="shared" si="18"/>
        <v/>
      </c>
      <c r="J158" s="15"/>
    </row>
    <row r="159" spans="9:10" x14ac:dyDescent="0.35">
      <c r="I159" s="15" t="str">
        <f t="shared" si="18"/>
        <v/>
      </c>
      <c r="J159" s="15"/>
    </row>
    <row r="160" spans="9:10" x14ac:dyDescent="0.35">
      <c r="I160" s="15" t="str">
        <f t="shared" si="18"/>
        <v/>
      </c>
      <c r="J160" s="15"/>
    </row>
    <row r="161" spans="9:10" x14ac:dyDescent="0.35">
      <c r="I161" s="15" t="str">
        <f t="shared" si="18"/>
        <v/>
      </c>
      <c r="J161" s="15"/>
    </row>
    <row r="162" spans="9:10" x14ac:dyDescent="0.35">
      <c r="I162" s="15" t="str">
        <f t="shared" si="18"/>
        <v/>
      </c>
      <c r="J162" s="15"/>
    </row>
    <row r="163" spans="9:10" x14ac:dyDescent="0.35">
      <c r="I163" s="15" t="str">
        <f t="shared" si="18"/>
        <v/>
      </c>
      <c r="J163" s="15"/>
    </row>
    <row r="164" spans="9:10" x14ac:dyDescent="0.35">
      <c r="I164" s="15" t="str">
        <f t="shared" si="18"/>
        <v/>
      </c>
      <c r="J164" s="15"/>
    </row>
    <row r="165" spans="9:10" x14ac:dyDescent="0.35">
      <c r="I165" s="15" t="str">
        <f t="shared" si="18"/>
        <v/>
      </c>
      <c r="J165" s="15"/>
    </row>
    <row r="166" spans="9:10" x14ac:dyDescent="0.35">
      <c r="I166" s="15" t="str">
        <f t="shared" si="18"/>
        <v/>
      </c>
      <c r="J166" s="15"/>
    </row>
    <row r="167" spans="9:10" x14ac:dyDescent="0.35">
      <c r="I167" s="15" t="str">
        <f t="shared" si="18"/>
        <v/>
      </c>
      <c r="J167" s="15"/>
    </row>
    <row r="168" spans="9:10" x14ac:dyDescent="0.35">
      <c r="I168" s="15" t="str">
        <f t="shared" si="18"/>
        <v/>
      </c>
      <c r="J168" s="15"/>
    </row>
    <row r="169" spans="9:10" x14ac:dyDescent="0.35">
      <c r="I169" s="15" t="str">
        <f t="shared" si="18"/>
        <v/>
      </c>
      <c r="J169" s="15"/>
    </row>
    <row r="170" spans="9:10" x14ac:dyDescent="0.35">
      <c r="I170" s="15" t="str">
        <f t="shared" si="18"/>
        <v/>
      </c>
      <c r="J170" s="15"/>
    </row>
    <row r="171" spans="9:10" x14ac:dyDescent="0.35">
      <c r="I171" s="15" t="str">
        <f t="shared" si="18"/>
        <v/>
      </c>
      <c r="J171" s="15"/>
    </row>
    <row r="172" spans="9:10" x14ac:dyDescent="0.35">
      <c r="I172" s="15" t="str">
        <f t="shared" si="18"/>
        <v/>
      </c>
      <c r="J172" s="15"/>
    </row>
    <row r="173" spans="9:10" x14ac:dyDescent="0.35">
      <c r="I173" s="15" t="str">
        <f t="shared" si="18"/>
        <v/>
      </c>
      <c r="J173" s="15"/>
    </row>
    <row r="174" spans="9:10" x14ac:dyDescent="0.35">
      <c r="I174" s="15" t="str">
        <f t="shared" si="18"/>
        <v/>
      </c>
      <c r="J174" s="15"/>
    </row>
    <row r="175" spans="9:10" x14ac:dyDescent="0.35">
      <c r="I175" s="15" t="str">
        <f t="shared" si="18"/>
        <v/>
      </c>
      <c r="J175" s="15"/>
    </row>
    <row r="176" spans="9:10" x14ac:dyDescent="0.35">
      <c r="I176" s="15" t="str">
        <f t="shared" si="18"/>
        <v/>
      </c>
      <c r="J176" s="15"/>
    </row>
    <row r="177" spans="9:10" x14ac:dyDescent="0.35">
      <c r="I177" s="15" t="str">
        <f t="shared" si="18"/>
        <v/>
      </c>
      <c r="J177" s="15"/>
    </row>
    <row r="178" spans="9:10" x14ac:dyDescent="0.35">
      <c r="I178" s="15" t="str">
        <f t="shared" si="18"/>
        <v/>
      </c>
      <c r="J178" s="15"/>
    </row>
    <row r="179" spans="9:10" x14ac:dyDescent="0.35">
      <c r="I179" s="15" t="str">
        <f t="shared" si="18"/>
        <v/>
      </c>
      <c r="J179" s="15"/>
    </row>
    <row r="180" spans="9:10" x14ac:dyDescent="0.35">
      <c r="I180" s="15" t="str">
        <f t="shared" si="18"/>
        <v/>
      </c>
      <c r="J180" s="15"/>
    </row>
    <row r="181" spans="9:10" x14ac:dyDescent="0.35">
      <c r="I181" s="15" t="str">
        <f t="shared" si="18"/>
        <v/>
      </c>
      <c r="J181" s="15"/>
    </row>
    <row r="182" spans="9:10" x14ac:dyDescent="0.35">
      <c r="I182" s="15" t="str">
        <f t="shared" si="18"/>
        <v/>
      </c>
      <c r="J182" s="15"/>
    </row>
    <row r="183" spans="9:10" x14ac:dyDescent="0.35">
      <c r="I183" s="15" t="str">
        <f t="shared" si="18"/>
        <v/>
      </c>
      <c r="J183" s="15"/>
    </row>
    <row r="184" spans="9:10" x14ac:dyDescent="0.35">
      <c r="I184" s="15" t="str">
        <f t="shared" si="18"/>
        <v/>
      </c>
      <c r="J184" s="15"/>
    </row>
    <row r="185" spans="9:10" x14ac:dyDescent="0.35">
      <c r="I185" s="15" t="str">
        <f t="shared" si="18"/>
        <v/>
      </c>
      <c r="J185" s="15"/>
    </row>
    <row r="186" spans="9:10" x14ac:dyDescent="0.35">
      <c r="I186" s="15" t="str">
        <f t="shared" si="18"/>
        <v/>
      </c>
      <c r="J186" s="15"/>
    </row>
  </sheetData>
  <protectedRanges>
    <protectedRange password="C797" sqref="B25:B108" name="Диапазон1_1"/>
    <protectedRange password="C797" sqref="K23:L23" name="Диапазон1"/>
  </protectedRanges>
  <mergeCells count="8">
    <mergeCell ref="H8:J8"/>
    <mergeCell ref="H9:J9"/>
    <mergeCell ref="A1:L1"/>
    <mergeCell ref="H3:I3"/>
    <mergeCell ref="H4:I4"/>
    <mergeCell ref="H5:K5"/>
    <mergeCell ref="H6:I6"/>
    <mergeCell ref="H7:J7"/>
  </mergeCells>
  <dataValidations count="1">
    <dataValidation type="list" allowBlank="1" showInputMessage="1" showErrorMessage="1" sqref="L8">
      <formula1>$M$8:$M$9</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75"/>
  <sheetViews>
    <sheetView view="pageBreakPreview" zoomScale="55" zoomScaleNormal="80" zoomScaleSheetLayoutView="55" workbookViewId="0">
      <selection activeCell="Q2" sqref="Q2"/>
    </sheetView>
  </sheetViews>
  <sheetFormatPr defaultRowHeight="14.5" x14ac:dyDescent="0.35"/>
  <cols>
    <col min="2" max="2" width="24.81640625" hidden="1" customWidth="1"/>
    <col min="3" max="3" width="28.81640625" customWidth="1"/>
    <col min="4" max="4" width="12.81640625" customWidth="1"/>
    <col min="5" max="5" width="15.81640625" customWidth="1"/>
    <col min="6" max="6" width="15.453125" customWidth="1"/>
    <col min="7" max="7" width="12.453125" customWidth="1"/>
    <col min="8" max="12" width="16.453125" customWidth="1"/>
    <col min="13" max="13" width="17.26953125" customWidth="1"/>
    <col min="14" max="14" width="15.54296875" customWidth="1"/>
    <col min="15" max="15" width="13.54296875" customWidth="1"/>
    <col min="16" max="16" width="12.26953125" customWidth="1"/>
    <col min="17" max="17" width="14.81640625" customWidth="1"/>
    <col min="18" max="18" width="12" hidden="1" customWidth="1"/>
    <col min="19" max="21" width="9.1796875" hidden="1" customWidth="1"/>
    <col min="22" max="22" width="9.453125" hidden="1" customWidth="1"/>
    <col min="23" max="23" width="10.1796875" hidden="1" customWidth="1"/>
    <col min="24" max="24" width="9.1796875" hidden="1" customWidth="1"/>
    <col min="25" max="25" width="12.1796875" hidden="1" customWidth="1"/>
    <col min="26" max="26" width="9.1796875" hidden="1" customWidth="1"/>
    <col min="27" max="27" width="8.7265625" hidden="1" customWidth="1"/>
    <col min="28" max="29" width="0" hidden="1" customWidth="1"/>
    <col min="30" max="30" width="8.7265625" hidden="1" customWidth="1"/>
    <col min="31" max="31" width="15.90625" hidden="1" customWidth="1"/>
  </cols>
  <sheetData>
    <row r="1" spans="1:31" ht="15.5" x14ac:dyDescent="0.35">
      <c r="A1" s="358" t="s">
        <v>116</v>
      </c>
      <c r="B1" s="358"/>
      <c r="C1" s="358"/>
      <c r="D1" s="358"/>
      <c r="E1" s="358"/>
      <c r="F1" s="358"/>
      <c r="G1" s="358"/>
      <c r="H1" s="358"/>
      <c r="I1" s="358"/>
      <c r="J1" s="358"/>
      <c r="K1" s="358"/>
      <c r="L1" s="358"/>
      <c r="M1" s="358"/>
      <c r="N1" s="358"/>
      <c r="O1" s="358"/>
      <c r="P1" s="358"/>
      <c r="Q1" s="358"/>
      <c r="R1" s="181"/>
      <c r="Y1" t="s">
        <v>156</v>
      </c>
      <c r="Z1" t="s">
        <v>157</v>
      </c>
    </row>
    <row r="2" spans="1:31" x14ac:dyDescent="0.35">
      <c r="A2" s="5"/>
      <c r="B2" s="5"/>
      <c r="C2" s="6"/>
      <c r="D2" s="6"/>
      <c r="E2" s="6"/>
      <c r="F2" s="6"/>
      <c r="G2" s="4"/>
      <c r="H2" s="5"/>
      <c r="I2" s="5"/>
      <c r="J2" s="5"/>
      <c r="K2" s="5"/>
      <c r="L2" s="5"/>
      <c r="M2" s="5"/>
      <c r="N2" s="5"/>
      <c r="O2" s="5"/>
      <c r="P2" s="5"/>
      <c r="Q2" s="5"/>
      <c r="R2" s="5"/>
      <c r="X2">
        <v>1</v>
      </c>
      <c r="Y2" s="56">
        <f>O8+O10</f>
        <v>17142.858</v>
      </c>
      <c r="Z2" s="56">
        <f>Y2-O8</f>
        <v>0</v>
      </c>
      <c r="AD2">
        <v>1</v>
      </c>
      <c r="AE2" s="56">
        <v>2500</v>
      </c>
    </row>
    <row r="3" spans="1:31" x14ac:dyDescent="0.35">
      <c r="A3" s="5"/>
      <c r="B3" s="227" t="s">
        <v>62</v>
      </c>
      <c r="C3" s="230" t="s">
        <v>62</v>
      </c>
      <c r="D3" s="231">
        <f ca="1">F3</f>
        <v>44389</v>
      </c>
      <c r="E3" s="232"/>
      <c r="F3" s="242">
        <f ca="1">TODAY()</f>
        <v>44389</v>
      </c>
      <c r="G3" s="66"/>
      <c r="H3" s="381" t="s">
        <v>140</v>
      </c>
      <c r="I3" s="381"/>
      <c r="J3" s="381"/>
      <c r="K3" s="381"/>
      <c r="L3" s="381"/>
      <c r="M3" s="381"/>
      <c r="N3" s="382">
        <v>2.9899999999999999E-2</v>
      </c>
      <c r="O3" s="382"/>
      <c r="P3" s="187">
        <f>N3</f>
        <v>2.9899999999999999E-2</v>
      </c>
      <c r="Q3" s="5"/>
      <c r="R3" s="5"/>
      <c r="X3" s="207">
        <v>2</v>
      </c>
      <c r="Y3" s="208">
        <f>IF($F$8&gt;12,K37,0)</f>
        <v>17142.858</v>
      </c>
      <c r="Z3" s="56">
        <f>IF(Y3&gt;0,$Z$2,0)</f>
        <v>0</v>
      </c>
      <c r="AD3" s="207">
        <v>2</v>
      </c>
      <c r="AE3" s="208">
        <f>IF($F$8&gt;12,N37,0)</f>
        <v>2500</v>
      </c>
    </row>
    <row r="4" spans="1:31" x14ac:dyDescent="0.35">
      <c r="A4" s="5"/>
      <c r="B4" s="228" t="s">
        <v>63</v>
      </c>
      <c r="C4" s="233" t="s">
        <v>139</v>
      </c>
      <c r="D4" s="64">
        <f t="shared" ref="D4:D9" si="0">F4</f>
        <v>5714286</v>
      </c>
      <c r="E4" s="6"/>
      <c r="F4" s="243">
        <v>5714286</v>
      </c>
      <c r="G4" s="6"/>
      <c r="H4" s="383" t="s">
        <v>64</v>
      </c>
      <c r="I4" s="383"/>
      <c r="J4" s="383"/>
      <c r="K4" s="383"/>
      <c r="L4" s="383"/>
      <c r="M4" s="383"/>
      <c r="N4" s="368">
        <f>N3*F7</f>
        <v>119600</v>
      </c>
      <c r="O4" s="368"/>
      <c r="P4" s="188">
        <f>N4</f>
        <v>119600</v>
      </c>
      <c r="Q4" s="5"/>
      <c r="R4" s="5"/>
      <c r="X4" s="207">
        <v>3</v>
      </c>
      <c r="Y4" s="208">
        <f>IF($F$8&gt;24,K49,0)</f>
        <v>17142.858</v>
      </c>
      <c r="Z4" s="56">
        <f t="shared" ref="Z4:Z21" si="1">IF(Y4&gt;0,$Z$2,0)</f>
        <v>0</v>
      </c>
      <c r="AD4" s="207">
        <v>3</v>
      </c>
      <c r="AE4" s="208">
        <f>IF($F$8&gt;24,N49,0)</f>
        <v>2500</v>
      </c>
    </row>
    <row r="5" spans="1:31" ht="15" customHeight="1" x14ac:dyDescent="0.35">
      <c r="A5" s="5"/>
      <c r="B5" s="228" t="s">
        <v>65</v>
      </c>
      <c r="C5" s="234" t="s">
        <v>65</v>
      </c>
      <c r="D5" s="65">
        <f t="shared" si="0"/>
        <v>1714286</v>
      </c>
      <c r="E5" s="57"/>
      <c r="F5" s="244">
        <v>1714286</v>
      </c>
      <c r="G5" s="7"/>
      <c r="H5" s="189" t="s">
        <v>133</v>
      </c>
      <c r="I5" s="190"/>
      <c r="J5" s="190"/>
      <c r="K5" s="190"/>
      <c r="L5" s="190"/>
      <c r="M5" s="190"/>
      <c r="N5" s="368">
        <v>0</v>
      </c>
      <c r="O5" s="368"/>
      <c r="P5" s="188">
        <f>N5</f>
        <v>0</v>
      </c>
      <c r="Q5" s="5"/>
      <c r="R5" s="5"/>
      <c r="V5" t="s">
        <v>82</v>
      </c>
      <c r="W5">
        <v>1700</v>
      </c>
      <c r="X5" s="207">
        <v>4</v>
      </c>
      <c r="Y5" s="208">
        <f>IF($F$8&gt;36,K61,0)</f>
        <v>17142.858</v>
      </c>
      <c r="Z5" s="56">
        <f t="shared" si="1"/>
        <v>0</v>
      </c>
      <c r="AD5" s="207">
        <v>4</v>
      </c>
      <c r="AE5" s="208">
        <f>IF($F$8&gt;36,N61,0)</f>
        <v>2500</v>
      </c>
    </row>
    <row r="6" spans="1:31" x14ac:dyDescent="0.35">
      <c r="A6" s="5"/>
      <c r="B6" s="229" t="s">
        <v>67</v>
      </c>
      <c r="C6" s="230" t="s">
        <v>67</v>
      </c>
      <c r="D6" s="134">
        <f t="shared" si="0"/>
        <v>0.30000003499999828</v>
      </c>
      <c r="E6" s="135"/>
      <c r="F6" s="245">
        <f>F5/F4</f>
        <v>0.30000003499999828</v>
      </c>
      <c r="G6" s="8"/>
      <c r="H6" s="191" t="s">
        <v>143</v>
      </c>
      <c r="I6" s="380" t="s">
        <v>66</v>
      </c>
      <c r="J6" s="380"/>
      <c r="K6" s="380"/>
      <c r="L6" s="380"/>
      <c r="M6" s="380"/>
      <c r="N6" s="380"/>
      <c r="O6" s="380"/>
      <c r="P6" s="192"/>
      <c r="Q6" s="6"/>
      <c r="R6" s="6"/>
      <c r="X6" s="207">
        <v>5</v>
      </c>
      <c r="Y6" s="208">
        <f>IF($F$8&gt;48,K73,0)</f>
        <v>17142.858</v>
      </c>
      <c r="Z6" s="56">
        <f t="shared" si="1"/>
        <v>0</v>
      </c>
      <c r="AD6" s="207">
        <v>5</v>
      </c>
      <c r="AE6" s="208">
        <f>IF($F$8&gt;48,N73,0)</f>
        <v>2500</v>
      </c>
    </row>
    <row r="7" spans="1:31" x14ac:dyDescent="0.35">
      <c r="A7" s="5"/>
      <c r="B7" s="66" t="s">
        <v>68</v>
      </c>
      <c r="C7" s="235" t="s">
        <v>68</v>
      </c>
      <c r="D7" s="125">
        <f t="shared" si="0"/>
        <v>4000000</v>
      </c>
      <c r="E7" s="90"/>
      <c r="F7" s="246">
        <f>F4-F5</f>
        <v>4000000</v>
      </c>
      <c r="G7" s="8"/>
      <c r="H7" s="193"/>
      <c r="I7" s="194" t="s">
        <v>148</v>
      </c>
      <c r="J7" s="195"/>
      <c r="K7" s="195"/>
      <c r="L7" s="195"/>
      <c r="M7" s="286" t="s">
        <v>554</v>
      </c>
      <c r="N7" s="366">
        <v>10000</v>
      </c>
      <c r="O7" s="367"/>
      <c r="P7" s="188">
        <f>N7</f>
        <v>10000</v>
      </c>
      <c r="Q7" s="6"/>
      <c r="R7" s="6"/>
      <c r="W7">
        <f>F4/W5</f>
        <v>3361.3447058823531</v>
      </c>
      <c r="X7" s="209">
        <v>6</v>
      </c>
      <c r="Y7" s="208">
        <f>IF($F$8&gt;60,K85,0)</f>
        <v>17142.858</v>
      </c>
      <c r="Z7" s="56">
        <f t="shared" si="1"/>
        <v>0</v>
      </c>
      <c r="AD7" s="209">
        <v>6</v>
      </c>
      <c r="AE7" s="208">
        <f>IF($F$8&gt;60,N85,0)</f>
        <v>2500</v>
      </c>
    </row>
    <row r="8" spans="1:31" x14ac:dyDescent="0.35">
      <c r="A8" s="5"/>
      <c r="B8" s="66" t="s">
        <v>69</v>
      </c>
      <c r="C8" s="236" t="s">
        <v>69</v>
      </c>
      <c r="D8" s="96">
        <f>F8</f>
        <v>240</v>
      </c>
      <c r="E8" s="91"/>
      <c r="F8" s="247">
        <v>240</v>
      </c>
      <c r="G8" s="226">
        <f>F8/12</f>
        <v>20</v>
      </c>
      <c r="H8" s="193"/>
      <c r="I8" s="194" t="s">
        <v>149</v>
      </c>
      <c r="J8" s="195"/>
      <c r="K8" s="195"/>
      <c r="L8" s="195"/>
      <c r="M8" s="286" t="s">
        <v>555</v>
      </c>
      <c r="N8" s="282">
        <v>3.0000000000000001E-3</v>
      </c>
      <c r="O8" s="285">
        <f>N8*F4</f>
        <v>17142.858</v>
      </c>
      <c r="P8" s="188">
        <f>O8</f>
        <v>17142.858</v>
      </c>
      <c r="Q8" s="53"/>
      <c r="R8" s="53"/>
      <c r="S8" t="s">
        <v>103</v>
      </c>
      <c r="W8" t="str">
        <f>IF(W7&lt;165,"3%",IF(W7&gt;290,"5%","4%"))</f>
        <v>5%</v>
      </c>
      <c r="X8" s="207">
        <v>7</v>
      </c>
      <c r="Y8" s="208">
        <f>IF($F$8&gt;72,K97,0)</f>
        <v>17142.858</v>
      </c>
      <c r="Z8" s="56">
        <f t="shared" si="1"/>
        <v>0</v>
      </c>
      <c r="AD8" s="207">
        <v>7</v>
      </c>
      <c r="AE8" s="208">
        <f>IF($F$8&gt;72,N97,0)</f>
        <v>2500</v>
      </c>
    </row>
    <row r="9" spans="1:31" x14ac:dyDescent="0.35">
      <c r="A9" s="5"/>
      <c r="B9" s="66" t="s">
        <v>70</v>
      </c>
      <c r="C9" s="237" t="s">
        <v>548</v>
      </c>
      <c r="D9" s="138">
        <f t="shared" si="0"/>
        <v>9.9900000000000003E-2</v>
      </c>
      <c r="E9" s="272"/>
      <c r="F9" s="282">
        <v>9.9900000000000003E-2</v>
      </c>
      <c r="G9" s="8"/>
      <c r="H9" s="193"/>
      <c r="I9" s="378" t="s">
        <v>150</v>
      </c>
      <c r="J9" s="379"/>
      <c r="K9" s="379"/>
      <c r="L9" s="379"/>
      <c r="M9" s="379"/>
      <c r="N9" s="366">
        <f>Y22-Z22</f>
        <v>342857.16000000009</v>
      </c>
      <c r="O9" s="367"/>
      <c r="P9" s="188">
        <f>N9</f>
        <v>342857.16000000009</v>
      </c>
      <c r="Q9" s="6"/>
      <c r="R9" s="6"/>
      <c r="S9" t="s">
        <v>102</v>
      </c>
      <c r="T9" s="122"/>
      <c r="X9" s="207">
        <v>8</v>
      </c>
      <c r="Y9" s="208">
        <f>IF($F$8&gt;84,K109,0)</f>
        <v>17142.858</v>
      </c>
      <c r="Z9" s="56">
        <f t="shared" si="1"/>
        <v>0</v>
      </c>
      <c r="AD9" s="207">
        <v>8</v>
      </c>
      <c r="AE9" s="208">
        <f>IF($F$8&gt;84,N109,0)</f>
        <v>2500</v>
      </c>
    </row>
    <row r="10" spans="1:31" ht="17.25" customHeight="1" x14ac:dyDescent="0.35">
      <c r="A10" s="5"/>
      <c r="B10" s="6"/>
      <c r="C10" s="238"/>
      <c r="D10" s="6"/>
      <c r="E10" s="273"/>
      <c r="F10" s="274">
        <f ca="1">EDATE(F3,F8)-1</f>
        <v>51693</v>
      </c>
      <c r="G10" s="9"/>
      <c r="H10" s="193"/>
      <c r="I10" s="378" t="s">
        <v>151</v>
      </c>
      <c r="J10" s="379"/>
      <c r="K10" s="379"/>
      <c r="L10" s="379"/>
      <c r="M10" s="379"/>
      <c r="N10" s="282">
        <v>0</v>
      </c>
      <c r="O10" s="285">
        <f>N10*F7</f>
        <v>0</v>
      </c>
      <c r="P10" s="188">
        <f>O10</f>
        <v>0</v>
      </c>
      <c r="Q10" s="67"/>
      <c r="R10" s="67"/>
      <c r="S10" s="10"/>
      <c r="X10" s="207">
        <v>9</v>
      </c>
      <c r="Y10" s="208">
        <f>IF($F$8&gt;96,K121,0)</f>
        <v>17142.858</v>
      </c>
      <c r="Z10" s="56">
        <f t="shared" si="1"/>
        <v>0</v>
      </c>
      <c r="AD10" s="207">
        <v>9</v>
      </c>
      <c r="AE10" s="208">
        <f>IF($F$8&gt;96,N121,0)</f>
        <v>2500</v>
      </c>
    </row>
    <row r="11" spans="1:31" ht="18.75" customHeight="1" x14ac:dyDescent="0.35">
      <c r="A11" s="5"/>
      <c r="B11" s="6"/>
      <c r="C11" s="238"/>
      <c r="D11" s="6"/>
      <c r="E11" s="273" t="s">
        <v>551</v>
      </c>
      <c r="F11" s="276">
        <f>-PMT(F9/12,F8,E24)</f>
        <v>38574.367733814644</v>
      </c>
      <c r="G11" s="9"/>
      <c r="H11" s="193"/>
      <c r="I11" s="378" t="s">
        <v>152</v>
      </c>
      <c r="J11" s="379"/>
      <c r="K11" s="379"/>
      <c r="L11" s="379"/>
      <c r="M11" s="379"/>
      <c r="N11" s="366">
        <f>Z22</f>
        <v>0</v>
      </c>
      <c r="O11" s="367"/>
      <c r="P11" s="188">
        <f>N11</f>
        <v>0</v>
      </c>
      <c r="Q11" s="67"/>
      <c r="R11" s="67"/>
      <c r="S11" s="10"/>
      <c r="X11" s="207">
        <v>10</v>
      </c>
      <c r="Y11" s="208">
        <f>IF($F$8&gt;108,K133,0)</f>
        <v>17142.858</v>
      </c>
      <c r="Z11" s="56">
        <f t="shared" si="1"/>
        <v>0</v>
      </c>
      <c r="AD11" s="207">
        <v>10</v>
      </c>
      <c r="AE11" s="208">
        <f>IF($F$8&gt;108,N133,0)</f>
        <v>2500</v>
      </c>
    </row>
    <row r="12" spans="1:31" ht="15.75" customHeight="1" x14ac:dyDescent="0.35">
      <c r="A12" s="5"/>
      <c r="B12" s="6"/>
      <c r="C12" s="238"/>
      <c r="D12" s="6"/>
      <c r="E12" s="273"/>
      <c r="F12" s="275">
        <v>0</v>
      </c>
      <c r="G12" s="11"/>
      <c r="H12" s="193"/>
      <c r="I12" s="194" t="s">
        <v>153</v>
      </c>
      <c r="J12" s="195"/>
      <c r="K12" s="195"/>
      <c r="L12" s="195"/>
      <c r="M12" s="286" t="s">
        <v>554</v>
      </c>
      <c r="N12" s="366">
        <v>2000</v>
      </c>
      <c r="O12" s="367"/>
      <c r="P12" s="188">
        <f>N12</f>
        <v>2000</v>
      </c>
      <c r="Q12" s="68"/>
      <c r="R12" s="68"/>
      <c r="S12" s="12"/>
      <c r="X12" s="207">
        <v>11</v>
      </c>
      <c r="Y12" s="208">
        <f>IF($F$8&gt;120,K145,0)</f>
        <v>17142.858</v>
      </c>
      <c r="Z12" s="56">
        <f t="shared" si="1"/>
        <v>0</v>
      </c>
      <c r="AD12" s="207">
        <v>11</v>
      </c>
      <c r="AE12" s="208">
        <f>IF($F$8&gt;120,N145,0)</f>
        <v>2500</v>
      </c>
    </row>
    <row r="13" spans="1:31" ht="14.25" customHeight="1" x14ac:dyDescent="0.35">
      <c r="A13" s="5"/>
      <c r="B13" s="6"/>
      <c r="C13" s="238"/>
      <c r="D13" s="6"/>
      <c r="E13" s="273"/>
      <c r="F13" s="276">
        <f>F11+F12</f>
        <v>38574.367733814644</v>
      </c>
      <c r="G13" s="11"/>
      <c r="H13" s="193"/>
      <c r="I13" s="194" t="s">
        <v>147</v>
      </c>
      <c r="J13" s="195"/>
      <c r="K13" s="195"/>
      <c r="L13" s="195"/>
      <c r="M13" s="195"/>
      <c r="N13" s="366">
        <v>0</v>
      </c>
      <c r="O13" s="367"/>
      <c r="P13" s="188">
        <f>N13</f>
        <v>0</v>
      </c>
      <c r="Q13" s="68"/>
      <c r="R13" s="68"/>
      <c r="S13" s="12"/>
      <c r="X13" s="207">
        <v>12</v>
      </c>
      <c r="Y13" s="208">
        <f>IF($F$8&gt;132,K157,0)</f>
        <v>17142.858</v>
      </c>
      <c r="Z13" s="56">
        <f t="shared" si="1"/>
        <v>0</v>
      </c>
      <c r="AD13" s="207">
        <v>12</v>
      </c>
      <c r="AE13" s="208">
        <f>IF($F$8&gt;132,N157,0)</f>
        <v>2500</v>
      </c>
    </row>
    <row r="14" spans="1:31" x14ac:dyDescent="0.35">
      <c r="A14" s="5"/>
      <c r="B14" s="6"/>
      <c r="C14" s="264" t="s">
        <v>179</v>
      </c>
      <c r="D14" s="212">
        <f>F14</f>
        <v>0.1699</v>
      </c>
      <c r="E14" s="277"/>
      <c r="F14" s="283">
        <v>0.1699</v>
      </c>
      <c r="G14" s="11"/>
      <c r="H14" s="364" t="s">
        <v>154</v>
      </c>
      <c r="I14" s="196"/>
      <c r="J14" s="196"/>
      <c r="K14" s="196"/>
      <c r="L14" s="376" t="s">
        <v>556</v>
      </c>
      <c r="M14" s="377"/>
      <c r="N14" s="368">
        <v>2500</v>
      </c>
      <c r="O14" s="368"/>
      <c r="P14" s="188">
        <f>N14</f>
        <v>2500</v>
      </c>
      <c r="Q14" s="68"/>
      <c r="R14" s="68"/>
      <c r="S14" s="12"/>
      <c r="X14" s="207">
        <v>13</v>
      </c>
      <c r="Y14" s="208">
        <f>IF($F$8&gt;144,K169,0)</f>
        <v>17142.858</v>
      </c>
      <c r="Z14" s="56">
        <f t="shared" si="1"/>
        <v>0</v>
      </c>
      <c r="AD14" s="207">
        <v>13</v>
      </c>
      <c r="AE14" s="208">
        <f>IF($F$8&gt;144,N169,0)</f>
        <v>2500</v>
      </c>
    </row>
    <row r="15" spans="1:31" ht="15" customHeight="1" x14ac:dyDescent="0.35">
      <c r="A15" s="5"/>
      <c r="B15" s="6"/>
      <c r="C15" s="239" t="s">
        <v>107</v>
      </c>
      <c r="D15" s="58"/>
      <c r="E15" s="278"/>
      <c r="F15" s="279">
        <f ca="1">EDATE(F3,60)</f>
        <v>46215</v>
      </c>
      <c r="G15" s="11"/>
      <c r="H15" s="365"/>
      <c r="I15" s="270"/>
      <c r="J15" s="270"/>
      <c r="K15" s="270"/>
      <c r="L15" s="374" t="s">
        <v>557</v>
      </c>
      <c r="M15" s="375"/>
      <c r="N15" s="368">
        <f>AE22</f>
        <v>50000</v>
      </c>
      <c r="O15" s="368"/>
      <c r="P15" s="68"/>
      <c r="Q15" s="68"/>
      <c r="R15" s="68"/>
      <c r="S15" s="12"/>
      <c r="X15" s="207">
        <v>14</v>
      </c>
      <c r="Y15" s="208">
        <f>IF($F$8&gt;156,K181,0)</f>
        <v>17142.858</v>
      </c>
      <c r="Z15" s="56">
        <f t="shared" si="1"/>
        <v>0</v>
      </c>
      <c r="AD15" s="207">
        <v>14</v>
      </c>
      <c r="AE15" s="208">
        <f>IF($F$8&gt;156,N181,0)</f>
        <v>2500</v>
      </c>
    </row>
    <row r="16" spans="1:31" ht="27" customHeight="1" x14ac:dyDescent="0.35">
      <c r="A16" s="5"/>
      <c r="B16" s="6"/>
      <c r="C16" s="240" t="s">
        <v>142</v>
      </c>
      <c r="D16" s="241">
        <v>0.1699</v>
      </c>
      <c r="E16" s="280"/>
      <c r="F16" s="284">
        <v>8.1000000000000003E-2</v>
      </c>
      <c r="G16" s="11"/>
      <c r="H16" s="170"/>
      <c r="I16" s="68"/>
      <c r="J16" s="68"/>
      <c r="K16" s="68"/>
      <c r="L16" s="68"/>
      <c r="M16" s="68"/>
      <c r="N16" s="68"/>
      <c r="O16" s="68"/>
      <c r="P16" s="177"/>
      <c r="Q16" s="11"/>
      <c r="R16" s="11"/>
      <c r="S16" s="12"/>
      <c r="X16" s="207">
        <v>15</v>
      </c>
      <c r="Y16" s="208">
        <f>IF($F$8&gt;168,K193,0)</f>
        <v>17142.858</v>
      </c>
      <c r="Z16" s="56">
        <f t="shared" si="1"/>
        <v>0</v>
      </c>
      <c r="AD16" s="207">
        <v>15</v>
      </c>
      <c r="AE16" s="208">
        <f>IF($F$8&gt;168,N193,0)</f>
        <v>2500</v>
      </c>
    </row>
    <row r="17" spans="1:31" x14ac:dyDescent="0.35">
      <c r="A17" s="5"/>
      <c r="B17" s="5"/>
      <c r="C17" s="248" t="s">
        <v>108</v>
      </c>
      <c r="D17" s="249"/>
      <c r="E17" s="281"/>
      <c r="F17" s="282">
        <v>0.03</v>
      </c>
      <c r="G17" s="68"/>
      <c r="H17" s="172"/>
      <c r="I17" s="173"/>
      <c r="J17" s="173"/>
      <c r="K17" s="173"/>
      <c r="L17" s="173"/>
      <c r="M17" s="173"/>
      <c r="N17" s="173"/>
      <c r="O17" s="173"/>
      <c r="P17" s="174"/>
      <c r="Q17" s="174"/>
      <c r="R17" s="68"/>
      <c r="S17" s="12"/>
      <c r="X17" s="207">
        <v>16</v>
      </c>
      <c r="Y17" s="208">
        <f>IF($F$8&gt;180,K205,0)</f>
        <v>17142.858</v>
      </c>
      <c r="Z17" s="56">
        <f t="shared" si="1"/>
        <v>0</v>
      </c>
      <c r="AD17" s="207">
        <v>16</v>
      </c>
      <c r="AE17" s="208">
        <f>IF($F$8&gt;180,N205,0)</f>
        <v>2500</v>
      </c>
    </row>
    <row r="18" spans="1:31" hidden="1" x14ac:dyDescent="0.35">
      <c r="A18" s="5"/>
      <c r="B18" s="5"/>
      <c r="C18" s="106" t="s">
        <v>109</v>
      </c>
      <c r="D18" s="211">
        <f>F18</f>
        <v>0.111</v>
      </c>
      <c r="E18" s="6"/>
      <c r="F18" s="107">
        <f>F16+F17</f>
        <v>0.111</v>
      </c>
      <c r="G18" s="9"/>
      <c r="H18" s="175"/>
      <c r="I18" s="67"/>
      <c r="J18" s="67"/>
      <c r="K18" s="67"/>
      <c r="L18" s="67"/>
      <c r="M18" s="67"/>
      <c r="N18" s="67"/>
      <c r="O18" s="67"/>
      <c r="P18" s="178"/>
      <c r="Q18" s="176"/>
      <c r="R18" s="67"/>
      <c r="S18" s="10"/>
      <c r="X18" s="207">
        <v>17</v>
      </c>
      <c r="Y18" s="208">
        <f>IF($F$8&gt;192,K217,0)</f>
        <v>17142.858</v>
      </c>
      <c r="Z18" s="56">
        <f t="shared" si="1"/>
        <v>0</v>
      </c>
      <c r="AD18" s="207">
        <v>17</v>
      </c>
      <c r="AE18" s="208">
        <f>IF($F$8&gt;192,N217,0)</f>
        <v>2500</v>
      </c>
    </row>
    <row r="19" spans="1:31" hidden="1" x14ac:dyDescent="0.35">
      <c r="A19" s="5"/>
      <c r="B19" s="5"/>
      <c r="C19" s="106"/>
      <c r="D19" s="6"/>
      <c r="E19" s="268">
        <f ca="1">-PMT(F14/12,(F8-60),(F7-(SUM(F25:F48))))</f>
        <v>59389.26910704442</v>
      </c>
      <c r="F19" s="100">
        <f ca="1">-PMT(F18/12,(F8-60),(F7-(SUM(F25:F84))))</f>
        <v>41055.931604305733</v>
      </c>
      <c r="G19" s="11"/>
      <c r="H19" s="170"/>
      <c r="I19" s="68"/>
      <c r="J19" s="68"/>
      <c r="K19" s="68"/>
      <c r="L19" s="68"/>
      <c r="M19" s="68"/>
      <c r="N19" s="68"/>
      <c r="O19" s="68"/>
      <c r="P19" s="177"/>
      <c r="Q19" s="177"/>
      <c r="R19" s="68"/>
      <c r="S19" s="12"/>
      <c r="X19" s="207">
        <v>18</v>
      </c>
      <c r="Y19" s="208">
        <f>IF($F$8&gt;204,K229,0)</f>
        <v>17142.858</v>
      </c>
      <c r="Z19" s="56">
        <f t="shared" si="1"/>
        <v>0</v>
      </c>
      <c r="AD19" s="207">
        <v>18</v>
      </c>
      <c r="AE19" s="208">
        <f>IF($F$8&gt;204,N229,0)</f>
        <v>2500</v>
      </c>
    </row>
    <row r="20" spans="1:31" hidden="1" x14ac:dyDescent="0.35">
      <c r="A20" s="5"/>
      <c r="B20" s="5"/>
      <c r="C20" s="106"/>
      <c r="D20" s="6"/>
      <c r="E20" s="265">
        <f ca="1">EDATE(F3,F8)</f>
        <v>51694</v>
      </c>
      <c r="F20" s="100">
        <v>0</v>
      </c>
      <c r="G20" s="169"/>
      <c r="H20" s="170"/>
      <c r="I20" s="68"/>
      <c r="J20" s="68"/>
      <c r="K20" s="68"/>
      <c r="L20" s="68"/>
      <c r="M20" s="68"/>
      <c r="N20" s="68"/>
      <c r="O20" s="68"/>
      <c r="P20" s="177"/>
      <c r="Q20" s="177"/>
      <c r="R20" s="68"/>
      <c r="S20" s="12"/>
      <c r="X20" s="207">
        <v>19</v>
      </c>
      <c r="Y20" s="208">
        <f>IF($F$8&gt;216,K241,0)</f>
        <v>17142.858</v>
      </c>
      <c r="Z20" s="56">
        <f t="shared" si="1"/>
        <v>0</v>
      </c>
      <c r="AD20" s="207">
        <v>19</v>
      </c>
      <c r="AE20" s="208">
        <f>IF($F$8&gt;216,N241,0)</f>
        <v>2500</v>
      </c>
    </row>
    <row r="21" spans="1:31" hidden="1" x14ac:dyDescent="0.35">
      <c r="A21" s="5"/>
      <c r="B21" s="5"/>
      <c r="C21" s="106"/>
      <c r="D21" s="6"/>
      <c r="E21" s="266" t="s">
        <v>549</v>
      </c>
      <c r="F21" s="267">
        <f ca="1">F19+F20</f>
        <v>41055.931604305733</v>
      </c>
      <c r="G21" s="11"/>
      <c r="H21" s="170"/>
      <c r="I21" s="171"/>
      <c r="J21" s="171"/>
      <c r="K21" s="171"/>
      <c r="L21" s="171"/>
      <c r="M21" s="68"/>
      <c r="N21" s="171"/>
      <c r="O21" s="68"/>
      <c r="P21" s="177"/>
      <c r="Q21" s="177"/>
      <c r="R21" s="68"/>
      <c r="S21" s="12"/>
      <c r="X21" s="207">
        <v>20</v>
      </c>
      <c r="Y21" s="208">
        <f>IF($F$8&gt;228,K253,0)</f>
        <v>17142.858</v>
      </c>
      <c r="Z21" s="56">
        <f t="shared" si="1"/>
        <v>0</v>
      </c>
      <c r="AD21" s="207">
        <v>20</v>
      </c>
      <c r="AE21" s="208">
        <f>IF($F$8&gt;228,N253,0)</f>
        <v>2500</v>
      </c>
    </row>
    <row r="22" spans="1:31" ht="72" x14ac:dyDescent="0.35">
      <c r="A22" s="197" t="s">
        <v>71</v>
      </c>
      <c r="B22" s="206" t="s">
        <v>72</v>
      </c>
      <c r="C22" s="204" t="s">
        <v>72</v>
      </c>
      <c r="D22" s="198" t="s">
        <v>73</v>
      </c>
      <c r="E22" s="204" t="s">
        <v>74</v>
      </c>
      <c r="F22" s="198" t="s">
        <v>75</v>
      </c>
      <c r="G22" s="204" t="s">
        <v>76</v>
      </c>
      <c r="H22" s="203" t="s">
        <v>77</v>
      </c>
      <c r="I22" s="371" t="s">
        <v>143</v>
      </c>
      <c r="J22" s="372"/>
      <c r="K22" s="372"/>
      <c r="L22" s="373"/>
      <c r="M22" s="204" t="s">
        <v>78</v>
      </c>
      <c r="N22" s="369" t="s">
        <v>155</v>
      </c>
      <c r="O22" s="202" t="s">
        <v>120</v>
      </c>
      <c r="P22" s="204" t="s">
        <v>112</v>
      </c>
      <c r="Q22" s="203" t="s">
        <v>113</v>
      </c>
      <c r="R22" s="369" t="s">
        <v>158</v>
      </c>
      <c r="S22" s="12"/>
      <c r="U22" s="75"/>
      <c r="Y22" s="56">
        <f>SUM(Y2:Y21)</f>
        <v>342857.16000000009</v>
      </c>
      <c r="Z22" s="56">
        <f>SUM(Z2:Z21)</f>
        <v>0</v>
      </c>
      <c r="AE22" s="56">
        <f>SUM(AE2:AE21)</f>
        <v>50000</v>
      </c>
    </row>
    <row r="23" spans="1:31" ht="24.5" x14ac:dyDescent="0.35">
      <c r="A23" s="199"/>
      <c r="B23" s="200"/>
      <c r="C23" s="205"/>
      <c r="D23" s="200"/>
      <c r="E23" s="205"/>
      <c r="F23" s="200"/>
      <c r="G23" s="205"/>
      <c r="H23" s="201"/>
      <c r="I23" s="185" t="s">
        <v>144</v>
      </c>
      <c r="J23" s="185" t="s">
        <v>145</v>
      </c>
      <c r="K23" s="185" t="s">
        <v>146</v>
      </c>
      <c r="L23" s="185" t="s">
        <v>147</v>
      </c>
      <c r="M23" s="205"/>
      <c r="N23" s="370"/>
      <c r="O23" s="199"/>
      <c r="P23" s="205"/>
      <c r="Q23" s="201"/>
      <c r="R23" s="370"/>
      <c r="S23" s="12"/>
      <c r="U23" s="184"/>
    </row>
    <row r="24" spans="1:31" ht="12" customHeight="1" x14ac:dyDescent="0.35">
      <c r="A24" s="16"/>
      <c r="B24" s="14">
        <f ca="1">D3</f>
        <v>44389</v>
      </c>
      <c r="C24" s="14">
        <f t="shared" ref="C24:C27" ca="1" si="2">IF(A24&gt;$D$8,"",B24)</f>
        <v>44389</v>
      </c>
      <c r="D24" s="16"/>
      <c r="E24" s="15">
        <f>IF(Q8="кредит",D7+O8,D7)</f>
        <v>4000000</v>
      </c>
      <c r="F24" s="16"/>
      <c r="G24" s="16"/>
      <c r="H24" s="55">
        <f>-E24+I24+J24+K24+L24+M24+N24+O24</f>
        <v>-3848757.142</v>
      </c>
      <c r="I24" s="186">
        <f>P7</f>
        <v>10000</v>
      </c>
      <c r="J24" s="186">
        <f>P12</f>
        <v>2000</v>
      </c>
      <c r="K24" s="186">
        <f>O8+O10</f>
        <v>17142.858</v>
      </c>
      <c r="L24" s="186">
        <f>P13</f>
        <v>0</v>
      </c>
      <c r="M24" s="15">
        <f>P4</f>
        <v>119600</v>
      </c>
      <c r="N24" s="144">
        <f>N14</f>
        <v>2500</v>
      </c>
      <c r="O24" s="15">
        <f>P5</f>
        <v>0</v>
      </c>
      <c r="P24" s="17"/>
      <c r="Q24" s="18"/>
      <c r="R24" s="144">
        <f>H24</f>
        <v>-3848757.142</v>
      </c>
      <c r="S24" s="167"/>
      <c r="T24" s="168">
        <f ca="1">T25</f>
        <v>365</v>
      </c>
    </row>
    <row r="25" spans="1:31" x14ac:dyDescent="0.35">
      <c r="A25" s="13">
        <v>1</v>
      </c>
      <c r="B25" s="50">
        <f ca="1">EDATE($B$24,A25)</f>
        <v>44420</v>
      </c>
      <c r="C25" s="14">
        <f t="shared" ca="1" si="2"/>
        <v>44420</v>
      </c>
      <c r="D25" s="13">
        <f t="shared" ref="D25:D36" ca="1" si="3">B25-B24</f>
        <v>31</v>
      </c>
      <c r="E25" s="15">
        <f t="shared" ref="E25:E36" ca="1" si="4">E24-F25</f>
        <v>3995364.2624031715</v>
      </c>
      <c r="F25" s="19">
        <f ca="1">F13-G25</f>
        <v>4635.737596828345</v>
      </c>
      <c r="G25" s="19">
        <f ca="1">E24*D25*$D$9/IF(OR(YEAR(C25)=2020,YEAR(C25)=2024),366,365)</f>
        <v>33938.630136986299</v>
      </c>
      <c r="H25" s="19">
        <f>$F$11+$F$12</f>
        <v>38574.367733814644</v>
      </c>
      <c r="I25" s="19"/>
      <c r="J25" s="19"/>
      <c r="K25" s="19"/>
      <c r="L25" s="19"/>
      <c r="M25" s="13"/>
      <c r="N25" s="271"/>
      <c r="O25" s="13"/>
      <c r="P25" s="52" t="str">
        <f>IF(A24=$D$8,XIRR(H$24:H24,C$24:C24),"")</f>
        <v/>
      </c>
      <c r="Q25" s="13"/>
      <c r="R25" s="144">
        <f>SUM(H25:Q25)</f>
        <v>38574.367733814644</v>
      </c>
      <c r="S25" s="168">
        <f ca="1">IF(C25="","",YEAR(C25))</f>
        <v>2021</v>
      </c>
      <c r="T25" s="168">
        <f ca="1">IF(OR(S25=2024,S25=2028,S25=2016,S25=2020,S25=2024,S25=2028,S25=2032,S25=2036,S25=2040),366,365)</f>
        <v>365</v>
      </c>
    </row>
    <row r="26" spans="1:31" x14ac:dyDescent="0.35">
      <c r="A26" s="13">
        <f>IF(A25&lt;$D$8,A25+1,"")</f>
        <v>2</v>
      </c>
      <c r="B26" s="50">
        <f t="shared" ref="B26:B89" ca="1" si="5">EDATE($B$24,A26)</f>
        <v>44451</v>
      </c>
      <c r="C26" s="14">
        <f t="shared" ca="1" si="2"/>
        <v>44451</v>
      </c>
      <c r="D26" s="13">
        <f t="shared" ca="1" si="3"/>
        <v>31</v>
      </c>
      <c r="E26" s="15">
        <f t="shared" ca="1" si="4"/>
        <v>3990689.1921604155</v>
      </c>
      <c r="F26" s="15">
        <f ca="1">IF(AND(A25="",A27=""),"",IF(A26="",SUM($F$25:F25),IF(A26=$D$8,$E$24-SUM($F$25:F25),$F$13-G26)))</f>
        <v>4675.0702427560682</v>
      </c>
      <c r="G26" s="15">
        <f ca="1">IF(A25=$D$8,SUM($G$25:G25),IF(A25&gt;$D$8,"",E25*D26*$D$9/T25))</f>
        <v>33899.297491058576</v>
      </c>
      <c r="H26" s="15">
        <f ca="1">IF(A25=$D$8,SUM($H$25:H25),IF(A25="","",(G26+F26)))</f>
        <v>38574.367733814644</v>
      </c>
      <c r="I26" s="15"/>
      <c r="J26" s="15"/>
      <c r="K26" s="15"/>
      <c r="L26" s="15"/>
      <c r="M26" s="13"/>
      <c r="N26" s="271"/>
      <c r="O26" s="13"/>
      <c r="P26" s="52" t="str">
        <f>IF(A25=$D$8,XIRR(R$24:R25,C$24:C25),"")</f>
        <v/>
      </c>
      <c r="Q26" s="13"/>
      <c r="R26" s="144">
        <f t="shared" ref="R26:R89" ca="1" si="6">SUM(H26:Q26)</f>
        <v>38574.367733814644</v>
      </c>
      <c r="S26" s="168">
        <f t="shared" ref="S26:S89" ca="1" si="7">IF(C26="","",YEAR(C26))</f>
        <v>2021</v>
      </c>
      <c r="T26" s="168">
        <f t="shared" ref="T26:T89" ca="1" si="8">IF(OR(S26=2024,S26=2028,S26=2016,S26=2020,S26=2024,S26=2028,S26=2032,S26=2036,S26=2040),366,365)</f>
        <v>365</v>
      </c>
    </row>
    <row r="27" spans="1:31" x14ac:dyDescent="0.35">
      <c r="A27" s="13">
        <f t="shared" ref="A27:A90" si="9">IF(A26&lt;$D$8,A26+1,"")</f>
        <v>3</v>
      </c>
      <c r="B27" s="50">
        <f t="shared" ca="1" si="5"/>
        <v>44481</v>
      </c>
      <c r="C27" s="50">
        <f t="shared" ca="1" si="2"/>
        <v>44481</v>
      </c>
      <c r="D27" s="13">
        <f t="shared" ca="1" si="3"/>
        <v>30</v>
      </c>
      <c r="E27" s="15">
        <f t="shared" ca="1" si="4"/>
        <v>3984882.2093825042</v>
      </c>
      <c r="F27" s="15">
        <f ca="1">IF(AND(A26="",A28=""),"",IF(A27="",SUM($F$25:F26),IF(A27=$D$8,$E$24-SUM($F$25:F26),$F$13-G27)))</f>
        <v>5806.9827779111765</v>
      </c>
      <c r="G27" s="15">
        <f ca="1">IF(A26=$D$8,SUM($G$25:G26),IF(A26&gt;$D$8,"",E26*D27*$D$9/T26))</f>
        <v>32767.384955903468</v>
      </c>
      <c r="H27" s="15">
        <f ca="1">IF(A26=$D$8,SUM($H$25:H26),IF(A26="","",(G27+F27)))</f>
        <v>38574.367733814644</v>
      </c>
      <c r="I27" s="15"/>
      <c r="J27" s="15"/>
      <c r="K27" s="15"/>
      <c r="L27" s="15"/>
      <c r="M27" s="13"/>
      <c r="N27" s="271"/>
      <c r="O27" s="13"/>
      <c r="P27" s="52" t="str">
        <f>IF(A26=$D$8,XIRR(R$24:R26,C$24:C26),"")</f>
        <v/>
      </c>
      <c r="Q27" s="15" t="str">
        <f>IF(A26=$D$8,G27+M27+F27+I27+J27+K27+L27+N27+O27,"")</f>
        <v/>
      </c>
      <c r="R27" s="144">
        <f t="shared" ca="1" si="6"/>
        <v>38574.367733814644</v>
      </c>
      <c r="S27" s="168">
        <f t="shared" ca="1" si="7"/>
        <v>2021</v>
      </c>
      <c r="T27" s="168">
        <f t="shared" ca="1" si="8"/>
        <v>365</v>
      </c>
    </row>
    <row r="28" spans="1:31" x14ac:dyDescent="0.35">
      <c r="A28" s="13">
        <f t="shared" si="9"/>
        <v>4</v>
      </c>
      <c r="B28" s="50">
        <f t="shared" ca="1" si="5"/>
        <v>44512</v>
      </c>
      <c r="C28" s="50">
        <f ca="1">IF(B28&gt;$E$20,"",IF(B28=$E$20,B28-1,B28))</f>
        <v>44512</v>
      </c>
      <c r="D28" s="13">
        <f t="shared" ca="1" si="3"/>
        <v>31</v>
      </c>
      <c r="E28" s="15">
        <f t="shared" ca="1" si="4"/>
        <v>3980118.2025096118</v>
      </c>
      <c r="F28" s="15">
        <f ca="1">IF(AND(A27="",A29=""),"",IF(A28="",SUM($F$25:F27),IF(A28=$D$8,$E$24-SUM($F$25:F27),$F$13-G28)))</f>
        <v>4764.0068728922342</v>
      </c>
      <c r="G28" s="15">
        <f ca="1">IF(A27=$D$8,SUM($G$25:G27),IF(A27&gt;$D$8,"",E27*D28*$D$9/T27))</f>
        <v>33810.36086092241</v>
      </c>
      <c r="H28" s="15">
        <f ca="1">IF(A27=$D$8,SUM($H$25:H27),IF(A27="","",(G28+F28)))</f>
        <v>38574.367733814644</v>
      </c>
      <c r="I28" s="15"/>
      <c r="J28" s="15"/>
      <c r="K28" s="15"/>
      <c r="L28" s="15"/>
      <c r="M28" s="13"/>
      <c r="N28" s="144"/>
      <c r="O28" s="13"/>
      <c r="P28" s="52" t="str">
        <f>IF(A27=$D$8,XIRR(R$24:R27,C$24:C27),"")</f>
        <v/>
      </c>
      <c r="Q28" s="15" t="str">
        <f t="shared" ref="Q28:Q91" si="10">IF(A27=$D$8,G28+M28+F28+I28+J28+K28+L28+N28+O28,"")</f>
        <v/>
      </c>
      <c r="R28" s="144">
        <f t="shared" ca="1" si="6"/>
        <v>38574.367733814644</v>
      </c>
      <c r="S28" s="168">
        <f t="shared" ca="1" si="7"/>
        <v>2021</v>
      </c>
      <c r="T28" s="168">
        <f t="shared" ca="1" si="8"/>
        <v>365</v>
      </c>
    </row>
    <row r="29" spans="1:31" x14ac:dyDescent="0.35">
      <c r="A29" s="13">
        <f t="shared" si="9"/>
        <v>5</v>
      </c>
      <c r="B29" s="50">
        <f t="shared" ca="1" si="5"/>
        <v>44542</v>
      </c>
      <c r="C29" s="50">
        <f t="shared" ref="C29:C92" ca="1" si="11">IF(B29&gt;$E$20,"",IF(B29=$E$20,B29-1,B29))</f>
        <v>44542</v>
      </c>
      <c r="D29" s="13">
        <f t="shared" ca="1" si="3"/>
        <v>30</v>
      </c>
      <c r="E29" s="15">
        <f t="shared" ca="1" si="4"/>
        <v>3974224.4217701023</v>
      </c>
      <c r="F29" s="15">
        <f ca="1">IF(AND(A28="",A30=""),"",IF(A29="",SUM($F$25:F28),IF(A29=$D$8,$E$24-SUM($F$25:F28),$F$13-G29)))</f>
        <v>5893.7807395096934</v>
      </c>
      <c r="G29" s="15">
        <f ca="1">IF(A28=$D$8,SUM($G$25:G28),IF(A28&gt;$D$8,"",E28*D29*$D$9/T28))</f>
        <v>32680.586994304951</v>
      </c>
      <c r="H29" s="15">
        <f ca="1">IF(A28=$D$8,SUM($H$25:H28),IF(A28="","",(G29+F29)))</f>
        <v>38574.367733814644</v>
      </c>
      <c r="I29" s="15" t="str">
        <f>IF(A29="",$I$24,"")</f>
        <v/>
      </c>
      <c r="J29" s="15" t="str">
        <f>IF(A29="",$J$24,"")</f>
        <v/>
      </c>
      <c r="K29" s="15"/>
      <c r="L29" s="15" t="str">
        <f>IF(A29="",$L$29,"")</f>
        <v/>
      </c>
      <c r="M29" s="15" t="str">
        <f>IF(A29="",$M$24,"")</f>
        <v/>
      </c>
      <c r="N29" s="144" t="str">
        <f>IF(A28=$D$8,$N$24,"")</f>
        <v/>
      </c>
      <c r="O29" s="15"/>
      <c r="P29" s="52" t="str">
        <f>IF(A28=$D$8,XIRR(R$24:R28,C$24:C28),"")</f>
        <v/>
      </c>
      <c r="Q29" s="15" t="str">
        <f t="shared" si="10"/>
        <v/>
      </c>
      <c r="R29" s="144">
        <f t="shared" ca="1" si="6"/>
        <v>38574.367733814644</v>
      </c>
      <c r="S29" s="168">
        <f t="shared" ca="1" si="7"/>
        <v>2021</v>
      </c>
      <c r="T29" s="168">
        <f t="shared" ca="1" si="8"/>
        <v>365</v>
      </c>
    </row>
    <row r="30" spans="1:31" x14ac:dyDescent="0.35">
      <c r="A30" s="13">
        <f t="shared" si="9"/>
        <v>6</v>
      </c>
      <c r="B30" s="50">
        <f t="shared" ca="1" si="5"/>
        <v>44573</v>
      </c>
      <c r="C30" s="50">
        <f t="shared" ca="1" si="11"/>
        <v>44573</v>
      </c>
      <c r="D30" s="13">
        <f t="shared" ca="1" si="3"/>
        <v>31</v>
      </c>
      <c r="E30" s="15">
        <f t="shared" ca="1" si="4"/>
        <v>3969369.9872192461</v>
      </c>
      <c r="F30" s="15">
        <f ca="1">IF(AND(A29="",A31=""),"",IF(A30="",SUM($F$25:F29),IF(A30=$D$8,$E$24-SUM($F$25:F29),$F$13-G30)))</f>
        <v>4854.4345508562037</v>
      </c>
      <c r="G30" s="15">
        <f ca="1">IF(A29=$D$8,SUM($G$25:G29),IF(A29&gt;$D$8,"",E29*D30*$D$9/T29))</f>
        <v>33719.933182958441</v>
      </c>
      <c r="H30" s="15">
        <f ca="1">IF(A29=$D$8,SUM($H$25:H29),IF(A29="","",(G30+F30)))</f>
        <v>38574.367733814644</v>
      </c>
      <c r="I30" s="15" t="str">
        <f t="shared" ref="I30:I37" si="12">IF(A30="",$I$24,"")</f>
        <v/>
      </c>
      <c r="J30" s="15" t="str">
        <f t="shared" ref="J30:J37" si="13">IF(A30="",$J$24,"")</f>
        <v/>
      </c>
      <c r="K30" s="15"/>
      <c r="L30" s="15" t="str">
        <f>IF(A30="",$L$24,"")</f>
        <v/>
      </c>
      <c r="M30" s="15" t="str">
        <f t="shared" ref="M30:M37" si="14">IF(A30="",$M$24,"")</f>
        <v/>
      </c>
      <c r="N30" s="144" t="str">
        <f t="shared" ref="N30:N93" si="15">IF(A29=$D$8,$N$24,"")</f>
        <v/>
      </c>
      <c r="O30" s="15"/>
      <c r="P30" s="52" t="str">
        <f>IF(A29=$D$8,XIRR(R$24:R29,C$24:C29),"")</f>
        <v/>
      </c>
      <c r="Q30" s="15" t="str">
        <f t="shared" si="10"/>
        <v/>
      </c>
      <c r="R30" s="144">
        <f t="shared" ca="1" si="6"/>
        <v>38574.367733814644</v>
      </c>
      <c r="S30" s="168">
        <f t="shared" ca="1" si="7"/>
        <v>2022</v>
      </c>
      <c r="T30" s="168">
        <f t="shared" ca="1" si="8"/>
        <v>365</v>
      </c>
    </row>
    <row r="31" spans="1:31" x14ac:dyDescent="0.35">
      <c r="A31" s="13">
        <f t="shared" si="9"/>
        <v>7</v>
      </c>
      <c r="B31" s="50">
        <f t="shared" ca="1" si="5"/>
        <v>44604</v>
      </c>
      <c r="C31" s="50">
        <f t="shared" ca="1" si="11"/>
        <v>44604</v>
      </c>
      <c r="D31" s="13">
        <f t="shared" ca="1" si="3"/>
        <v>31</v>
      </c>
      <c r="E31" s="15">
        <f t="shared" ca="1" si="4"/>
        <v>3964474.3644537036</v>
      </c>
      <c r="F31" s="15">
        <f ca="1">IF(AND(A30="",A32=""),"",IF(A31="",SUM($F$25:F30),IF(A31=$D$8,$E$24-SUM($F$25:F30),$F$13-G31)))</f>
        <v>4895.6227655426337</v>
      </c>
      <c r="G31" s="15">
        <f ca="1">IF(A30=$D$8,SUM($G$25:G30),IF(A30&gt;$D$8,"",E30*D31*$D$9/T30))</f>
        <v>33678.744968272011</v>
      </c>
      <c r="H31" s="15">
        <f ca="1">IF(A30=$D$8,SUM($H$25:H30),IF(A30="","",(G31+F31)))</f>
        <v>38574.367733814644</v>
      </c>
      <c r="I31" s="15" t="str">
        <f t="shared" si="12"/>
        <v/>
      </c>
      <c r="J31" s="15" t="str">
        <f t="shared" si="13"/>
        <v/>
      </c>
      <c r="K31" s="15"/>
      <c r="L31" s="15" t="str">
        <f t="shared" ref="L31:L37" si="16">IF(A31="",$L$24,"")</f>
        <v/>
      </c>
      <c r="M31" s="15" t="str">
        <f t="shared" si="14"/>
        <v/>
      </c>
      <c r="N31" s="144" t="str">
        <f t="shared" si="15"/>
        <v/>
      </c>
      <c r="O31" s="15"/>
      <c r="P31" s="52" t="str">
        <f>IF(A30=$D$8,XIRR(R$24:R30,C$24:C30),"")</f>
        <v/>
      </c>
      <c r="Q31" s="15" t="str">
        <f t="shared" si="10"/>
        <v/>
      </c>
      <c r="R31" s="144">
        <f t="shared" ca="1" si="6"/>
        <v>38574.367733814644</v>
      </c>
      <c r="S31" s="168">
        <f t="shared" ca="1" si="7"/>
        <v>2022</v>
      </c>
      <c r="T31" s="168">
        <f t="shared" ca="1" si="8"/>
        <v>365</v>
      </c>
    </row>
    <row r="32" spans="1:31" x14ac:dyDescent="0.35">
      <c r="A32" s="13">
        <f t="shared" si="9"/>
        <v>8</v>
      </c>
      <c r="B32" s="50">
        <f t="shared" ca="1" si="5"/>
        <v>44632</v>
      </c>
      <c r="C32" s="50">
        <f t="shared" ca="1" si="11"/>
        <v>44632</v>
      </c>
      <c r="D32" s="13">
        <f t="shared" ca="1" si="3"/>
        <v>28</v>
      </c>
      <c r="E32" s="15">
        <f t="shared" ca="1" si="4"/>
        <v>3956281.9903972861</v>
      </c>
      <c r="F32" s="15">
        <f ca="1">IF(AND(A31="",A33=""),"",IF(A32="",SUM($F$25:F31),IF(A32=$D$8,$E$24-SUM($F$25:F31),$F$13-G32)))</f>
        <v>8192.3740564176587</v>
      </c>
      <c r="G32" s="15">
        <f ca="1">IF(A31=$D$8,SUM($G$25:G31),IF(A31&gt;$D$8,"",E31*D32*$D$9/T31))</f>
        <v>30381.993677396986</v>
      </c>
      <c r="H32" s="15">
        <f ca="1">IF(A31=$D$8,SUM($H$25:H31),IF(A31="","",(G32+F32)))</f>
        <v>38574.367733814644</v>
      </c>
      <c r="I32" s="15" t="str">
        <f t="shared" si="12"/>
        <v/>
      </c>
      <c r="J32" s="15" t="str">
        <f t="shared" si="13"/>
        <v/>
      </c>
      <c r="K32" s="15"/>
      <c r="L32" s="15" t="str">
        <f t="shared" si="16"/>
        <v/>
      </c>
      <c r="M32" s="15" t="str">
        <f t="shared" si="14"/>
        <v/>
      </c>
      <c r="N32" s="144" t="str">
        <f t="shared" si="15"/>
        <v/>
      </c>
      <c r="O32" s="15"/>
      <c r="P32" s="52" t="str">
        <f>IF(A31=$D$8,XIRR(R$24:R31,C$24:C31),"")</f>
        <v/>
      </c>
      <c r="Q32" s="15" t="str">
        <f t="shared" si="10"/>
        <v/>
      </c>
      <c r="R32" s="144">
        <f t="shared" ca="1" si="6"/>
        <v>38574.367733814644</v>
      </c>
      <c r="S32" s="168">
        <f t="shared" ca="1" si="7"/>
        <v>2022</v>
      </c>
      <c r="T32" s="168">
        <f t="shared" ca="1" si="8"/>
        <v>365</v>
      </c>
    </row>
    <row r="33" spans="1:20" x14ac:dyDescent="0.35">
      <c r="A33" s="13">
        <f t="shared" si="9"/>
        <v>9</v>
      </c>
      <c r="B33" s="50">
        <f t="shared" ca="1" si="5"/>
        <v>44663</v>
      </c>
      <c r="C33" s="50">
        <f t="shared" ca="1" si="11"/>
        <v>44663</v>
      </c>
      <c r="D33" s="13">
        <f t="shared" ca="1" si="3"/>
        <v>31</v>
      </c>
      <c r="E33" s="15">
        <f t="shared" ca="1" si="4"/>
        <v>3951275.3204608997</v>
      </c>
      <c r="F33" s="15">
        <f ca="1">IF(AND(A32="",A34=""),"",IF(A33="",SUM($F$25:F32),IF(A33=$D$8,$E$24-SUM($F$25:F32),$F$13-G33)))</f>
        <v>5006.6699363862717</v>
      </c>
      <c r="G33" s="15">
        <f ca="1">IF(A32=$D$8,SUM($G$25:G32),IF(A32&gt;$D$8,"",E32*D33*$D$9/T32))</f>
        <v>33567.697797428373</v>
      </c>
      <c r="H33" s="15">
        <f ca="1">IF(A32=$D$8,SUM($H$25:H32),IF(A32="","",(G33+F33)))</f>
        <v>38574.367733814644</v>
      </c>
      <c r="I33" s="15" t="str">
        <f t="shared" si="12"/>
        <v/>
      </c>
      <c r="J33" s="15" t="str">
        <f t="shared" si="13"/>
        <v/>
      </c>
      <c r="K33" s="15"/>
      <c r="L33" s="15" t="str">
        <f t="shared" si="16"/>
        <v/>
      </c>
      <c r="M33" s="15" t="str">
        <f t="shared" si="14"/>
        <v/>
      </c>
      <c r="N33" s="144" t="str">
        <f t="shared" si="15"/>
        <v/>
      </c>
      <c r="O33" s="15"/>
      <c r="P33" s="52" t="str">
        <f>IF(A32=$D$8,XIRR(R$24:R32,C$24:C32),"")</f>
        <v/>
      </c>
      <c r="Q33" s="15" t="str">
        <f t="shared" si="10"/>
        <v/>
      </c>
      <c r="R33" s="144">
        <f t="shared" ca="1" si="6"/>
        <v>38574.367733814644</v>
      </c>
      <c r="S33" s="168">
        <f t="shared" ca="1" si="7"/>
        <v>2022</v>
      </c>
      <c r="T33" s="168">
        <f t="shared" ca="1" si="8"/>
        <v>365</v>
      </c>
    </row>
    <row r="34" spans="1:20" x14ac:dyDescent="0.35">
      <c r="A34" s="13">
        <f t="shared" si="9"/>
        <v>10</v>
      </c>
      <c r="B34" s="50">
        <f t="shared" ca="1" si="5"/>
        <v>44693</v>
      </c>
      <c r="C34" s="50">
        <f t="shared" ca="1" si="11"/>
        <v>44693</v>
      </c>
      <c r="D34" s="13">
        <f t="shared" ca="1" si="3"/>
        <v>30</v>
      </c>
      <c r="E34" s="15">
        <f t="shared" ca="1" si="4"/>
        <v>3945144.7120022122</v>
      </c>
      <c r="F34" s="15">
        <f ca="1">IF(AND(A33="",A35=""),"",IF(A34="",SUM($F$25:F33),IF(A34=$D$8,$E$24-SUM($F$25:F33),$F$13-G34)))</f>
        <v>6130.6084586877478</v>
      </c>
      <c r="G34" s="15">
        <f ca="1">IF(A33=$D$8,SUM($G$25:G33),IF(A33&gt;$D$8,"",E33*D34*$D$9/T33))</f>
        <v>32443.759275126897</v>
      </c>
      <c r="H34" s="15">
        <f ca="1">IF(A33=$D$8,SUM($H$25:H33),IF(A33="","",(G34+F34)))</f>
        <v>38574.367733814644</v>
      </c>
      <c r="I34" s="15" t="str">
        <f t="shared" si="12"/>
        <v/>
      </c>
      <c r="J34" s="15" t="str">
        <f t="shared" si="13"/>
        <v/>
      </c>
      <c r="K34" s="15"/>
      <c r="L34" s="15" t="str">
        <f t="shared" si="16"/>
        <v/>
      </c>
      <c r="M34" s="15" t="str">
        <f t="shared" si="14"/>
        <v/>
      </c>
      <c r="N34" s="144" t="str">
        <f t="shared" si="15"/>
        <v/>
      </c>
      <c r="O34" s="15"/>
      <c r="P34" s="52" t="str">
        <f>IF(A33=$D$8,XIRR(R$24:R33,C$24:C33),"")</f>
        <v/>
      </c>
      <c r="Q34" s="15" t="str">
        <f t="shared" si="10"/>
        <v/>
      </c>
      <c r="R34" s="144">
        <f t="shared" ca="1" si="6"/>
        <v>38574.367733814644</v>
      </c>
      <c r="S34" s="168">
        <f t="shared" ca="1" si="7"/>
        <v>2022</v>
      </c>
      <c r="T34" s="168">
        <f t="shared" ca="1" si="8"/>
        <v>365</v>
      </c>
    </row>
    <row r="35" spans="1:20" x14ac:dyDescent="0.35">
      <c r="A35" s="13">
        <f t="shared" si="9"/>
        <v>11</v>
      </c>
      <c r="B35" s="50">
        <f t="shared" ca="1" si="5"/>
        <v>44724</v>
      </c>
      <c r="C35" s="50">
        <f t="shared" ca="1" si="11"/>
        <v>44724</v>
      </c>
      <c r="D35" s="13">
        <f t="shared" ca="1" si="3"/>
        <v>31</v>
      </c>
      <c r="E35" s="15">
        <f t="shared" ca="1" si="4"/>
        <v>3940043.5460727802</v>
      </c>
      <c r="F35" s="15">
        <f ca="1">IF(AND(A34="",A36=""),"",IF(A35="",SUM($F$25:F34),IF(A35=$D$8,$E$24-SUM($F$25:F34),$F$13-G35)))</f>
        <v>5101.1659294320416</v>
      </c>
      <c r="G35" s="15">
        <f ca="1">IF(A34=$D$8,SUM($G$25:G34),IF(A34&gt;$D$8,"",E34*D35*$D$9/T34))</f>
        <v>33473.201804382603</v>
      </c>
      <c r="H35" s="15">
        <f ca="1">IF(A34=$D$8,SUM($H$25:H34),IF(A34="","",(G35+F35)))</f>
        <v>38574.367733814644</v>
      </c>
      <c r="I35" s="15" t="str">
        <f t="shared" si="12"/>
        <v/>
      </c>
      <c r="J35" s="15" t="str">
        <f t="shared" si="13"/>
        <v/>
      </c>
      <c r="K35" s="15"/>
      <c r="L35" s="15" t="str">
        <f t="shared" si="16"/>
        <v/>
      </c>
      <c r="M35" s="15" t="str">
        <f t="shared" si="14"/>
        <v/>
      </c>
      <c r="N35" s="144" t="str">
        <f t="shared" si="15"/>
        <v/>
      </c>
      <c r="O35" s="15"/>
      <c r="P35" s="52" t="str">
        <f>IF(A34=$D$8,XIRR(R$24:R34,C$24:C34),"")</f>
        <v/>
      </c>
      <c r="Q35" s="15" t="str">
        <f t="shared" si="10"/>
        <v/>
      </c>
      <c r="R35" s="144">
        <f t="shared" ca="1" si="6"/>
        <v>38574.367733814644</v>
      </c>
      <c r="S35" s="168">
        <f t="shared" ca="1" si="7"/>
        <v>2022</v>
      </c>
      <c r="T35" s="168">
        <f t="shared" ca="1" si="8"/>
        <v>365</v>
      </c>
    </row>
    <row r="36" spans="1:20" x14ac:dyDescent="0.35">
      <c r="A36" s="13">
        <f t="shared" si="9"/>
        <v>12</v>
      </c>
      <c r="B36" s="50">
        <f t="shared" ca="1" si="5"/>
        <v>44754</v>
      </c>
      <c r="C36" s="50">
        <f t="shared" ca="1" si="11"/>
        <v>44754</v>
      </c>
      <c r="D36" s="13">
        <f t="shared" ca="1" si="3"/>
        <v>30</v>
      </c>
      <c r="E36" s="15">
        <f t="shared" ca="1" si="4"/>
        <v>3933820.7139761713</v>
      </c>
      <c r="F36" s="15">
        <f ca="1">IF(AND(A35="",A37=""),"",IF(A36="",SUM($F$25:F35),IF(A36=$D$8,$E$24-SUM($F$25:F35),$F$13-G36)))</f>
        <v>6222.8320966088322</v>
      </c>
      <c r="G36" s="15">
        <f ca="1">IF(A35=$D$8,SUM($G$25:G35),IF(A35&gt;$D$8,"",E35*D36*$D$9/T35))</f>
        <v>32351.535637205812</v>
      </c>
      <c r="H36" s="15">
        <f ca="1">IF(A35=$D$8,SUM($H$25:H35),IF(A35="","",(G36+F36)))</f>
        <v>38574.367733814644</v>
      </c>
      <c r="I36" s="15" t="str">
        <f t="shared" si="12"/>
        <v/>
      </c>
      <c r="J36" s="15" t="str">
        <f t="shared" si="13"/>
        <v/>
      </c>
      <c r="K36" s="15"/>
      <c r="L36" s="15" t="str">
        <f t="shared" si="16"/>
        <v/>
      </c>
      <c r="M36" s="15" t="str">
        <f t="shared" si="14"/>
        <v/>
      </c>
      <c r="N36" s="144" t="str">
        <f t="shared" si="15"/>
        <v/>
      </c>
      <c r="O36" s="15"/>
      <c r="P36" s="52" t="str">
        <f>IF(A35=$D$8,XIRR(R$24:R35,C$24:C35),"")</f>
        <v/>
      </c>
      <c r="Q36" s="15" t="str">
        <f t="shared" si="10"/>
        <v/>
      </c>
      <c r="R36" s="144">
        <f t="shared" ca="1" si="6"/>
        <v>38574.367733814644</v>
      </c>
      <c r="S36" s="168">
        <f t="shared" ca="1" si="7"/>
        <v>2022</v>
      </c>
      <c r="T36" s="168">
        <f t="shared" ca="1" si="8"/>
        <v>365</v>
      </c>
    </row>
    <row r="37" spans="1:20" x14ac:dyDescent="0.35">
      <c r="A37" s="13">
        <f t="shared" si="9"/>
        <v>13</v>
      </c>
      <c r="B37" s="50">
        <f t="shared" ca="1" si="5"/>
        <v>44785</v>
      </c>
      <c r="C37" s="50">
        <f t="shared" ca="1" si="11"/>
        <v>44785</v>
      </c>
      <c r="D37" s="13">
        <f ca="1">IF(A37&gt;$D$8,"",C37-C36)</f>
        <v>31</v>
      </c>
      <c r="E37" s="15">
        <f t="shared" ref="E37:E68" ca="1" si="17">IF(A37&gt;$D$8,"",E36-F37)</f>
        <v>3928623.46780157</v>
      </c>
      <c r="F37" s="15">
        <f ca="1">IF(AND(A36="",A38=""),"",IF(A37="",SUM($F$25:F36),IF(A37=$D$8,$E$24-SUM($F$25:F36),$F$13-G37)))</f>
        <v>5197.2461746014815</v>
      </c>
      <c r="G37" s="15">
        <f ca="1">IF(A36=$D$8,SUM($G$25:G36),IF(A36&gt;$D$8,"",E36*D37*$D$9/T36))</f>
        <v>33377.121559213163</v>
      </c>
      <c r="H37" s="15">
        <f ca="1">IF(A36=$D$8,SUM($H$25:H36),IF(A36="","",(G37+F37)))</f>
        <v>38574.367733814644</v>
      </c>
      <c r="I37" s="15" t="str">
        <f t="shared" si="12"/>
        <v/>
      </c>
      <c r="J37" s="15" t="str">
        <f t="shared" si="13"/>
        <v/>
      </c>
      <c r="K37" s="15">
        <f>IF(F8&gt;12,(O8+O10),IF($A$36=$F$8,K24,""))</f>
        <v>17142.858</v>
      </c>
      <c r="L37" s="15" t="str">
        <f t="shared" si="16"/>
        <v/>
      </c>
      <c r="M37" s="15" t="str">
        <f t="shared" si="14"/>
        <v/>
      </c>
      <c r="N37" s="15">
        <f>IF($F$8&gt;12,($N$14),IF($A$36=$F$8,N24,""))</f>
        <v>2500</v>
      </c>
      <c r="O37" s="15"/>
      <c r="P37" s="52" t="str">
        <f>IF(A36=$D$8,XIRR(R$24:R36,C$24:C36),"")</f>
        <v/>
      </c>
      <c r="Q37" s="15" t="str">
        <f t="shared" si="10"/>
        <v/>
      </c>
      <c r="R37" s="144">
        <f t="shared" ca="1" si="6"/>
        <v>58217.225733814645</v>
      </c>
      <c r="S37" s="168">
        <f t="shared" ca="1" si="7"/>
        <v>2022</v>
      </c>
      <c r="T37" s="168">
        <f t="shared" ca="1" si="8"/>
        <v>365</v>
      </c>
    </row>
    <row r="38" spans="1:20" x14ac:dyDescent="0.35">
      <c r="A38" s="13">
        <f t="shared" si="9"/>
        <v>14</v>
      </c>
      <c r="B38" s="50">
        <f t="shared" ca="1" si="5"/>
        <v>44816</v>
      </c>
      <c r="C38" s="50">
        <f t="shared" ca="1" si="11"/>
        <v>44816</v>
      </c>
      <c r="D38" s="13">
        <f t="shared" ref="D38:D101" ca="1" si="18">IF(A38&gt;$D$8,"",C38-C37)</f>
        <v>31</v>
      </c>
      <c r="E38" s="15">
        <f t="shared" ca="1" si="17"/>
        <v>3923382.1247730558</v>
      </c>
      <c r="F38" s="15">
        <f ca="1">IF(AND(A37="",A39=""),"",IF(A38="",SUM($F$25:F37),IF(A38=$D$8,$E$24-SUM($F$25:F37),$F$13-G38)))</f>
        <v>5241.343028514144</v>
      </c>
      <c r="G38" s="15">
        <f ca="1">IF(A37=$D$8,SUM($G$25:G37),IF(A37&gt;$D$8,"",E37*D38*$D$9/T37))</f>
        <v>33333.024705300501</v>
      </c>
      <c r="H38" s="15">
        <f ca="1">IF(A37=$D$8,SUM($H$25:H37),IF(A37="","",(G38+F38)))</f>
        <v>38574.367733814644</v>
      </c>
      <c r="I38" s="15" t="str">
        <f t="shared" ref="I38:I101" si="19">IF(A37=$F$8,$I$24,"")</f>
        <v/>
      </c>
      <c r="J38" s="15" t="str">
        <f t="shared" ref="J38:J101" si="20">IF(A37=$F$8,$J$24,"")</f>
        <v/>
      </c>
      <c r="K38" s="15"/>
      <c r="L38" s="15" t="str">
        <f t="shared" ref="L38:L101" si="21">IF(A37=$F$8,$L$24,"")</f>
        <v/>
      </c>
      <c r="M38" s="15" t="str">
        <f t="shared" ref="M38:M101" si="22">IF(A37=$F$8,$M$24,"")</f>
        <v/>
      </c>
      <c r="N38" s="144" t="str">
        <f t="shared" si="15"/>
        <v/>
      </c>
      <c r="O38" s="15"/>
      <c r="P38" s="52" t="str">
        <f>IF(A37=$D$8,XIRR(R$24:R37,C$24:C37),"")</f>
        <v/>
      </c>
      <c r="Q38" s="15" t="str">
        <f t="shared" si="10"/>
        <v/>
      </c>
      <c r="R38" s="144">
        <f t="shared" ca="1" si="6"/>
        <v>38574.367733814644</v>
      </c>
      <c r="S38" s="168">
        <f t="shared" ca="1" si="7"/>
        <v>2022</v>
      </c>
      <c r="T38" s="168">
        <f t="shared" ca="1" si="8"/>
        <v>365</v>
      </c>
    </row>
    <row r="39" spans="1:20" x14ac:dyDescent="0.35">
      <c r="A39" s="13">
        <f t="shared" si="9"/>
        <v>15</v>
      </c>
      <c r="B39" s="50">
        <f t="shared" ca="1" si="5"/>
        <v>44846</v>
      </c>
      <c r="C39" s="50">
        <f t="shared" ca="1" si="11"/>
        <v>44846</v>
      </c>
      <c r="D39" s="13">
        <f t="shared" ca="1" si="18"/>
        <v>30</v>
      </c>
      <c r="E39" s="15">
        <f t="shared" ca="1" si="17"/>
        <v>3917022.4864308708</v>
      </c>
      <c r="F39" s="15">
        <f ca="1">IF(AND(A38="",A40=""),"",IF(A39="",SUM($F$25:F38),IF(A39=$D$8,$E$24-SUM($F$25:F38),$F$13-G39)))</f>
        <v>6359.6383421849205</v>
      </c>
      <c r="G39" s="15">
        <f ca="1">IF(A38=$D$8,SUM($G$25:G38),IF(A38&gt;$D$8,"",E38*D39*$D$9/T38))</f>
        <v>32214.729391629724</v>
      </c>
      <c r="H39" s="15">
        <f ca="1">IF(A38=$D$8,SUM($H$25:H38),IF(A38="","",(G39+F39)))</f>
        <v>38574.367733814644</v>
      </c>
      <c r="I39" s="15" t="str">
        <f t="shared" si="19"/>
        <v/>
      </c>
      <c r="J39" s="15" t="str">
        <f t="shared" si="20"/>
        <v/>
      </c>
      <c r="K39" s="15"/>
      <c r="L39" s="15" t="str">
        <f t="shared" si="21"/>
        <v/>
      </c>
      <c r="M39" s="15" t="str">
        <f t="shared" si="22"/>
        <v/>
      </c>
      <c r="N39" s="144" t="str">
        <f t="shared" si="15"/>
        <v/>
      </c>
      <c r="O39" s="15"/>
      <c r="P39" s="52" t="str">
        <f>IF(A38=$D$8,XIRR(R$24:R38,C$24:C38),"")</f>
        <v/>
      </c>
      <c r="Q39" s="15" t="str">
        <f t="shared" si="10"/>
        <v/>
      </c>
      <c r="R39" s="144">
        <f t="shared" ca="1" si="6"/>
        <v>38574.367733814644</v>
      </c>
      <c r="S39" s="168">
        <f t="shared" ca="1" si="7"/>
        <v>2022</v>
      </c>
      <c r="T39" s="168">
        <f t="shared" ca="1" si="8"/>
        <v>365</v>
      </c>
    </row>
    <row r="40" spans="1:20" x14ac:dyDescent="0.35">
      <c r="A40" s="13">
        <f t="shared" si="9"/>
        <v>16</v>
      </c>
      <c r="B40" s="50">
        <f t="shared" ca="1" si="5"/>
        <v>44877</v>
      </c>
      <c r="C40" s="50">
        <f t="shared" ca="1" si="11"/>
        <v>44877</v>
      </c>
      <c r="D40" s="13">
        <f t="shared" ca="1" si="18"/>
        <v>31</v>
      </c>
      <c r="E40" s="15">
        <f t="shared" ca="1" si="17"/>
        <v>3911682.713048365</v>
      </c>
      <c r="F40" s="15">
        <f ca="1">IF(AND(A39="",A41=""),"",IF(A40="",SUM($F$25:F39),IF(A40=$D$8,$E$24-SUM($F$25:F39),$F$13-G40)))</f>
        <v>5339.7733825057003</v>
      </c>
      <c r="G40" s="15">
        <f ca="1">IF(A39=$D$8,SUM($G$25:G39),IF(A39&gt;$D$8,"",E39*D40*$D$9/T39))</f>
        <v>33234.594351308944</v>
      </c>
      <c r="H40" s="15">
        <f ca="1">IF(A39=$D$8,SUM($H$25:H39),IF(A39="","",(G40+F40)))</f>
        <v>38574.367733814644</v>
      </c>
      <c r="I40" s="15" t="str">
        <f t="shared" si="19"/>
        <v/>
      </c>
      <c r="J40" s="15" t="str">
        <f t="shared" si="20"/>
        <v/>
      </c>
      <c r="K40" s="15"/>
      <c r="L40" s="15" t="str">
        <f t="shared" si="21"/>
        <v/>
      </c>
      <c r="M40" s="15" t="str">
        <f t="shared" si="22"/>
        <v/>
      </c>
      <c r="N40" s="144" t="str">
        <f t="shared" si="15"/>
        <v/>
      </c>
      <c r="O40" s="15"/>
      <c r="P40" s="52" t="str">
        <f>IF(A39=$D$8,XIRR(R$24:R39,C$24:C39),"")</f>
        <v/>
      </c>
      <c r="Q40" s="15" t="str">
        <f t="shared" si="10"/>
        <v/>
      </c>
      <c r="R40" s="144">
        <f t="shared" ca="1" si="6"/>
        <v>38574.367733814644</v>
      </c>
      <c r="S40" s="168">
        <f t="shared" ca="1" si="7"/>
        <v>2022</v>
      </c>
      <c r="T40" s="168">
        <f t="shared" ca="1" si="8"/>
        <v>365</v>
      </c>
    </row>
    <row r="41" spans="1:20" x14ac:dyDescent="0.35">
      <c r="A41" s="13">
        <f t="shared" si="9"/>
        <v>17</v>
      </c>
      <c r="B41" s="50">
        <f t="shared" ca="1" si="5"/>
        <v>44907</v>
      </c>
      <c r="C41" s="50">
        <f t="shared" ca="1" si="11"/>
        <v>44907</v>
      </c>
      <c r="D41" s="13">
        <f t="shared" ca="1" si="18"/>
        <v>30</v>
      </c>
      <c r="E41" s="15">
        <f t="shared" ca="1" si="17"/>
        <v>3905227.0113173062</v>
      </c>
      <c r="F41" s="15">
        <f ca="1">IF(AND(A40="",A42=""),"",IF(A41="",SUM($F$25:F40),IF(A41=$D$8,$E$24-SUM($F$25:F40),$F$13-G41)))</f>
        <v>6455.7017310586198</v>
      </c>
      <c r="G41" s="15">
        <f ca="1">IF(A40=$D$8,SUM($G$25:G40),IF(A40&gt;$D$8,"",E40*D41*$D$9/T40))</f>
        <v>32118.666002756025</v>
      </c>
      <c r="H41" s="15">
        <f ca="1">IF(A40=$D$8,SUM($H$25:H40),IF(A40="","",(G41+F41)))</f>
        <v>38574.367733814644</v>
      </c>
      <c r="I41" s="15" t="str">
        <f t="shared" si="19"/>
        <v/>
      </c>
      <c r="J41" s="15" t="str">
        <f t="shared" si="20"/>
        <v/>
      </c>
      <c r="K41" s="15"/>
      <c r="L41" s="15" t="str">
        <f t="shared" si="21"/>
        <v/>
      </c>
      <c r="M41" s="15" t="str">
        <f t="shared" si="22"/>
        <v/>
      </c>
      <c r="N41" s="144" t="str">
        <f t="shared" si="15"/>
        <v/>
      </c>
      <c r="O41" s="15"/>
      <c r="P41" s="52" t="str">
        <f>IF(A40=$D$8,XIRR(R$24:R40,C$24:C40),"")</f>
        <v/>
      </c>
      <c r="Q41" s="15" t="str">
        <f t="shared" si="10"/>
        <v/>
      </c>
      <c r="R41" s="144">
        <f t="shared" ca="1" si="6"/>
        <v>38574.367733814644</v>
      </c>
      <c r="S41" s="168">
        <f t="shared" ca="1" si="7"/>
        <v>2022</v>
      </c>
      <c r="T41" s="168">
        <f t="shared" ca="1" si="8"/>
        <v>365</v>
      </c>
    </row>
    <row r="42" spans="1:20" x14ac:dyDescent="0.35">
      <c r="A42" s="13">
        <f t="shared" si="9"/>
        <v>18</v>
      </c>
      <c r="B42" s="50">
        <f t="shared" ca="1" si="5"/>
        <v>44938</v>
      </c>
      <c r="C42" s="50">
        <f t="shared" ca="1" si="11"/>
        <v>44938</v>
      </c>
      <c r="D42" s="13">
        <f t="shared" ca="1" si="18"/>
        <v>31</v>
      </c>
      <c r="E42" s="15">
        <f t="shared" ca="1" si="17"/>
        <v>3899787.157368008</v>
      </c>
      <c r="F42" s="15">
        <f ca="1">IF(AND(A41="",A43=""),"",IF(A42="",SUM($F$25:F41),IF(A42=$D$8,$E$24-SUM($F$25:F41),$F$13-G42)))</f>
        <v>5439.8539492980271</v>
      </c>
      <c r="G42" s="15">
        <f ca="1">IF(A41=$D$8,SUM($G$25:G41),IF(A41&gt;$D$8,"",E41*D42*$D$9/T41))</f>
        <v>33134.513784516617</v>
      </c>
      <c r="H42" s="15">
        <f ca="1">IF(A41=$D$8,SUM($H$25:H41),IF(A41="","",(G42+F42)))</f>
        <v>38574.367733814644</v>
      </c>
      <c r="I42" s="15" t="str">
        <f t="shared" si="19"/>
        <v/>
      </c>
      <c r="J42" s="15" t="str">
        <f t="shared" si="20"/>
        <v/>
      </c>
      <c r="K42" s="15"/>
      <c r="L42" s="15" t="str">
        <f t="shared" si="21"/>
        <v/>
      </c>
      <c r="M42" s="15" t="str">
        <f t="shared" si="22"/>
        <v/>
      </c>
      <c r="N42" s="144" t="str">
        <f t="shared" si="15"/>
        <v/>
      </c>
      <c r="O42" s="15"/>
      <c r="P42" s="52" t="str">
        <f>IF(A41=$D$8,XIRR(R$24:R41,C$24:C41),"")</f>
        <v/>
      </c>
      <c r="Q42" s="15" t="str">
        <f t="shared" si="10"/>
        <v/>
      </c>
      <c r="R42" s="144">
        <f t="shared" ca="1" si="6"/>
        <v>38574.367733814644</v>
      </c>
      <c r="S42" s="168">
        <f t="shared" ca="1" si="7"/>
        <v>2023</v>
      </c>
      <c r="T42" s="168">
        <f t="shared" ca="1" si="8"/>
        <v>365</v>
      </c>
    </row>
    <row r="43" spans="1:20" x14ac:dyDescent="0.35">
      <c r="A43" s="13">
        <f t="shared" si="9"/>
        <v>19</v>
      </c>
      <c r="B43" s="50">
        <f t="shared" ca="1" si="5"/>
        <v>44969</v>
      </c>
      <c r="C43" s="50">
        <f t="shared" ca="1" si="11"/>
        <v>44969</v>
      </c>
      <c r="D43" s="13">
        <f t="shared" ca="1" si="18"/>
        <v>31</v>
      </c>
      <c r="E43" s="15">
        <f t="shared" ca="1" si="17"/>
        <v>3894301.1481209141</v>
      </c>
      <c r="F43" s="15">
        <f ca="1">IF(AND(A42="",A44=""),"",IF(A43="",SUM($F$25:F42),IF(A43=$D$8,$E$24-SUM($F$25:F42),$F$13-G43)))</f>
        <v>5486.0092470941381</v>
      </c>
      <c r="G43" s="15">
        <f ca="1">IF(A42=$D$8,SUM($G$25:G42),IF(A42&gt;$D$8,"",E42*D43*$D$9/T42))</f>
        <v>33088.358486720506</v>
      </c>
      <c r="H43" s="15">
        <f ca="1">IF(A42=$D$8,SUM($H$25:H42),IF(A42="","",(G43+F43)))</f>
        <v>38574.367733814644</v>
      </c>
      <c r="I43" s="15" t="str">
        <f t="shared" si="19"/>
        <v/>
      </c>
      <c r="J43" s="15" t="str">
        <f t="shared" si="20"/>
        <v/>
      </c>
      <c r="K43" s="15"/>
      <c r="L43" s="15" t="str">
        <f t="shared" si="21"/>
        <v/>
      </c>
      <c r="M43" s="15" t="str">
        <f t="shared" si="22"/>
        <v/>
      </c>
      <c r="N43" s="144" t="str">
        <f t="shared" si="15"/>
        <v/>
      </c>
      <c r="O43" s="15"/>
      <c r="P43" s="52" t="str">
        <f>IF(A42=$D$8,XIRR(R$24:R42,C$24:C42),"")</f>
        <v/>
      </c>
      <c r="Q43" s="15" t="str">
        <f t="shared" si="10"/>
        <v/>
      </c>
      <c r="R43" s="144">
        <f t="shared" ca="1" si="6"/>
        <v>38574.367733814644</v>
      </c>
      <c r="S43" s="168">
        <f t="shared" ca="1" si="7"/>
        <v>2023</v>
      </c>
      <c r="T43" s="168">
        <f t="shared" ca="1" si="8"/>
        <v>365</v>
      </c>
    </row>
    <row r="44" spans="1:20" x14ac:dyDescent="0.35">
      <c r="A44" s="13">
        <f t="shared" si="9"/>
        <v>20</v>
      </c>
      <c r="B44" s="50">
        <f t="shared" ca="1" si="5"/>
        <v>44997</v>
      </c>
      <c r="C44" s="50">
        <f t="shared" ca="1" si="11"/>
        <v>44997</v>
      </c>
      <c r="D44" s="13">
        <f t="shared" ca="1" si="18"/>
        <v>28</v>
      </c>
      <c r="E44" s="15">
        <f t="shared" ca="1" si="17"/>
        <v>3885570.9972953838</v>
      </c>
      <c r="F44" s="15">
        <f ca="1">IF(AND(A43="",A45=""),"",IF(A44="",SUM($F$25:F43),IF(A44=$D$8,$E$24-SUM($F$25:F43),$F$13-G44)))</f>
        <v>8730.1508255302033</v>
      </c>
      <c r="G44" s="15">
        <f ca="1">IF(A43=$D$8,SUM($G$25:G43),IF(A43&gt;$D$8,"",E43*D44*$D$9/T43))</f>
        <v>29844.216908284441</v>
      </c>
      <c r="H44" s="15">
        <f ca="1">IF(A43=$D$8,SUM($H$25:H43),IF(A43="","",(G44+F44)))</f>
        <v>38574.367733814644</v>
      </c>
      <c r="I44" s="15" t="str">
        <f t="shared" si="19"/>
        <v/>
      </c>
      <c r="J44" s="15" t="str">
        <f t="shared" si="20"/>
        <v/>
      </c>
      <c r="K44" s="15"/>
      <c r="L44" s="15" t="str">
        <f t="shared" si="21"/>
        <v/>
      </c>
      <c r="M44" s="15" t="str">
        <f t="shared" si="22"/>
        <v/>
      </c>
      <c r="N44" s="144" t="str">
        <f t="shared" si="15"/>
        <v/>
      </c>
      <c r="O44" s="15"/>
      <c r="P44" s="52" t="str">
        <f>IF(A43=$D$8,XIRR(R$24:R43,C$24:C43),"")</f>
        <v/>
      </c>
      <c r="Q44" s="15" t="str">
        <f t="shared" si="10"/>
        <v/>
      </c>
      <c r="R44" s="144">
        <f t="shared" ca="1" si="6"/>
        <v>38574.367733814644</v>
      </c>
      <c r="S44" s="168">
        <f t="shared" ca="1" si="7"/>
        <v>2023</v>
      </c>
      <c r="T44" s="168">
        <f t="shared" ca="1" si="8"/>
        <v>365</v>
      </c>
    </row>
    <row r="45" spans="1:20" x14ac:dyDescent="0.35">
      <c r="A45" s="13">
        <f t="shared" si="9"/>
        <v>21</v>
      </c>
      <c r="B45" s="50">
        <f t="shared" ca="1" si="5"/>
        <v>45028</v>
      </c>
      <c r="C45" s="50">
        <f t="shared" ca="1" si="11"/>
        <v>45028</v>
      </c>
      <c r="D45" s="13">
        <f t="shared" ca="1" si="18"/>
        <v>31</v>
      </c>
      <c r="E45" s="15">
        <f t="shared" ca="1" si="17"/>
        <v>3879964.3687986215</v>
      </c>
      <c r="F45" s="15">
        <f ca="1">IF(AND(A44="",A46=""),"",IF(A45="",SUM($F$25:F44),IF(A45=$D$8,$E$24-SUM($F$25:F44),$F$13-G45)))</f>
        <v>5606.6284967623869</v>
      </c>
      <c r="G45" s="15">
        <f ca="1">IF(A44=$D$8,SUM($G$25:G44),IF(A44&gt;$D$8,"",E44*D45*$D$9/T44))</f>
        <v>32967.739237052258</v>
      </c>
      <c r="H45" s="15">
        <f ca="1">IF(A44=$D$8,SUM($H$25:H44),IF(A44="","",(G45+F45)))</f>
        <v>38574.367733814644</v>
      </c>
      <c r="I45" s="15" t="str">
        <f t="shared" si="19"/>
        <v/>
      </c>
      <c r="J45" s="15" t="str">
        <f t="shared" si="20"/>
        <v/>
      </c>
      <c r="K45" s="15"/>
      <c r="L45" s="15" t="str">
        <f t="shared" si="21"/>
        <v/>
      </c>
      <c r="M45" s="15" t="str">
        <f t="shared" si="22"/>
        <v/>
      </c>
      <c r="N45" s="144" t="str">
        <f t="shared" si="15"/>
        <v/>
      </c>
      <c r="O45" s="15"/>
      <c r="P45" s="52" t="str">
        <f>IF(A44=$D$8,XIRR(R$24:R44,C$24:C44),"")</f>
        <v/>
      </c>
      <c r="Q45" s="15" t="str">
        <f t="shared" si="10"/>
        <v/>
      </c>
      <c r="R45" s="144">
        <f t="shared" ca="1" si="6"/>
        <v>38574.367733814644</v>
      </c>
      <c r="S45" s="168">
        <f t="shared" ca="1" si="7"/>
        <v>2023</v>
      </c>
      <c r="T45" s="168">
        <f t="shared" ca="1" si="8"/>
        <v>365</v>
      </c>
    </row>
    <row r="46" spans="1:20" x14ac:dyDescent="0.35">
      <c r="A46" s="13">
        <f t="shared" si="9"/>
        <v>22</v>
      </c>
      <c r="B46" s="50">
        <f t="shared" ca="1" si="5"/>
        <v>45058</v>
      </c>
      <c r="C46" s="50">
        <f t="shared" ca="1" si="11"/>
        <v>45058</v>
      </c>
      <c r="D46" s="13">
        <f t="shared" ca="1" si="18"/>
        <v>30</v>
      </c>
      <c r="E46" s="15">
        <f t="shared" ca="1" si="17"/>
        <v>3873248.2290464216</v>
      </c>
      <c r="F46" s="15">
        <f ca="1">IF(AND(A45="",A47=""),"",IF(A46="",SUM($F$25:F45),IF(A46=$D$8,$E$24-SUM($F$25:F45),$F$13-G46)))</f>
        <v>6716.1397521996587</v>
      </c>
      <c r="G46" s="15">
        <f ca="1">IF(A45=$D$8,SUM($G$25:G45),IF(A45&gt;$D$8,"",E45*D46*$D$9/T45))</f>
        <v>31858.227981614986</v>
      </c>
      <c r="H46" s="15">
        <f ca="1">IF(A45=$D$8,SUM($H$25:H45),IF(A45="","",(G46+F46)))</f>
        <v>38574.367733814644</v>
      </c>
      <c r="I46" s="15" t="str">
        <f t="shared" si="19"/>
        <v/>
      </c>
      <c r="J46" s="15" t="str">
        <f t="shared" si="20"/>
        <v/>
      </c>
      <c r="K46" s="15"/>
      <c r="L46" s="15" t="str">
        <f t="shared" si="21"/>
        <v/>
      </c>
      <c r="M46" s="15" t="str">
        <f t="shared" si="22"/>
        <v/>
      </c>
      <c r="N46" s="144" t="str">
        <f t="shared" si="15"/>
        <v/>
      </c>
      <c r="O46" s="15"/>
      <c r="P46" s="52" t="str">
        <f>IF(A45=$D$8,XIRR(R$24:R45,C$24:C45),"")</f>
        <v/>
      </c>
      <c r="Q46" s="15" t="str">
        <f t="shared" si="10"/>
        <v/>
      </c>
      <c r="R46" s="144">
        <f t="shared" ca="1" si="6"/>
        <v>38574.367733814644</v>
      </c>
      <c r="S46" s="168">
        <f t="shared" ca="1" si="7"/>
        <v>2023</v>
      </c>
      <c r="T46" s="168">
        <f t="shared" ca="1" si="8"/>
        <v>365</v>
      </c>
    </row>
    <row r="47" spans="1:20" x14ac:dyDescent="0.35">
      <c r="A47" s="13">
        <f t="shared" si="9"/>
        <v>23</v>
      </c>
      <c r="B47" s="50">
        <f t="shared" ca="1" si="5"/>
        <v>45089</v>
      </c>
      <c r="C47" s="50">
        <f t="shared" ca="1" si="11"/>
        <v>45089</v>
      </c>
      <c r="D47" s="13">
        <f t="shared" ca="1" si="18"/>
        <v>31</v>
      </c>
      <c r="E47" s="15">
        <f t="shared" ca="1" si="17"/>
        <v>3867537.0460811928</v>
      </c>
      <c r="F47" s="15">
        <f ca="1">IF(AND(A46="",A48=""),"",IF(A47="",SUM($F$25:F46),IF(A47=$D$8,$E$24-SUM($F$25:F46),$F$13-G47)))</f>
        <v>5711.1829652287197</v>
      </c>
      <c r="G47" s="15">
        <f ca="1">IF(A46=$D$8,SUM($G$25:G46),IF(A46&gt;$D$8,"",E46*D47*$D$9/T46))</f>
        <v>32863.184768585925</v>
      </c>
      <c r="H47" s="15">
        <f ca="1">IF(A46=$D$8,SUM($H$25:H46),IF(A46="","",(G47+F47)))</f>
        <v>38574.367733814644</v>
      </c>
      <c r="I47" s="15" t="str">
        <f t="shared" si="19"/>
        <v/>
      </c>
      <c r="J47" s="15" t="str">
        <f t="shared" si="20"/>
        <v/>
      </c>
      <c r="K47" s="15"/>
      <c r="L47" s="15" t="str">
        <f t="shared" si="21"/>
        <v/>
      </c>
      <c r="M47" s="15" t="str">
        <f t="shared" si="22"/>
        <v/>
      </c>
      <c r="N47" s="144" t="str">
        <f t="shared" si="15"/>
        <v/>
      </c>
      <c r="O47" s="15"/>
      <c r="P47" s="52" t="str">
        <f>IF(A46=$D$8,XIRR(R$24:R46,C$24:C46),"")</f>
        <v/>
      </c>
      <c r="Q47" s="15" t="str">
        <f t="shared" si="10"/>
        <v/>
      </c>
      <c r="R47" s="144">
        <f t="shared" ca="1" si="6"/>
        <v>38574.367733814644</v>
      </c>
      <c r="S47" s="168">
        <f t="shared" ca="1" si="7"/>
        <v>2023</v>
      </c>
      <c r="T47" s="168">
        <f t="shared" ca="1" si="8"/>
        <v>365</v>
      </c>
    </row>
    <row r="48" spans="1:20" x14ac:dyDescent="0.35">
      <c r="A48" s="13">
        <f t="shared" si="9"/>
        <v>24</v>
      </c>
      <c r="B48" s="50">
        <f t="shared" ca="1" si="5"/>
        <v>45119</v>
      </c>
      <c r="C48" s="50">
        <f t="shared" ca="1" si="11"/>
        <v>45119</v>
      </c>
      <c r="D48" s="13">
        <f t="shared" ca="1" si="18"/>
        <v>30</v>
      </c>
      <c r="E48" s="15">
        <f t="shared" ca="1" si="17"/>
        <v>3860718.8660928723</v>
      </c>
      <c r="F48" s="15">
        <f ca="1">IF(AND(A47="",A49=""),"",IF(A48="",SUM($F$25:F47),IF(A48=$D$8,$E$24-SUM($F$25:F47),$F$13-G48)))</f>
        <v>6818.1799883205749</v>
      </c>
      <c r="G48" s="15">
        <f ca="1">IF(A47=$D$8,SUM($G$25:G47),IF(A47&gt;$D$8,"",E47*D48*$D$9/T47))</f>
        <v>31756.18774549407</v>
      </c>
      <c r="H48" s="15">
        <f ca="1">IF(A47=$D$8,SUM($H$25:H47),IF(A47="","",(G48+F48)))</f>
        <v>38574.367733814644</v>
      </c>
      <c r="I48" s="15" t="str">
        <f t="shared" si="19"/>
        <v/>
      </c>
      <c r="J48" s="15" t="str">
        <f t="shared" si="20"/>
        <v/>
      </c>
      <c r="K48" s="15"/>
      <c r="L48" s="15" t="str">
        <f t="shared" si="21"/>
        <v/>
      </c>
      <c r="M48" s="15" t="str">
        <f t="shared" si="22"/>
        <v/>
      </c>
      <c r="N48" s="144" t="str">
        <f t="shared" si="15"/>
        <v/>
      </c>
      <c r="O48" s="15"/>
      <c r="P48" s="52" t="str">
        <f>IF(A47=$D$8,XIRR(R$24:R47,C$24:C47),"")</f>
        <v/>
      </c>
      <c r="Q48" s="15" t="str">
        <f t="shared" si="10"/>
        <v/>
      </c>
      <c r="R48" s="144">
        <f t="shared" ca="1" si="6"/>
        <v>38574.367733814644</v>
      </c>
      <c r="S48" s="168">
        <f t="shared" ca="1" si="7"/>
        <v>2023</v>
      </c>
      <c r="T48" s="168">
        <f t="shared" ca="1" si="8"/>
        <v>365</v>
      </c>
    </row>
    <row r="49" spans="1:20" s="5" customFormat="1" x14ac:dyDescent="0.35">
      <c r="A49" s="213">
        <f t="shared" si="9"/>
        <v>25</v>
      </c>
      <c r="B49" s="214">
        <f t="shared" ca="1" si="5"/>
        <v>45150</v>
      </c>
      <c r="C49" s="50">
        <f t="shared" ca="1" si="11"/>
        <v>45150</v>
      </c>
      <c r="D49" s="213">
        <f t="shared" ca="1" si="18"/>
        <v>31</v>
      </c>
      <c r="E49" s="210">
        <f t="shared" ca="1" si="17"/>
        <v>3854901.3757738606</v>
      </c>
      <c r="F49" s="15">
        <f ca="1">IF(AND(A48="",A50=""),"",IF(A49="",SUM($F$25:F48),IF(A49=$D$8,$E$24-SUM($F$25:F48),$F$13-G49)))</f>
        <v>5817.4903190118603</v>
      </c>
      <c r="G49" s="15">
        <f ca="1">IF(A48=$D$8,SUM($G$25:G48),IF(A48&gt;$D$8,"",E48*D49*$D$9/T48))</f>
        <v>32756.877414802784</v>
      </c>
      <c r="H49" s="15">
        <f ca="1">IF(A48=$D$8,SUM($H$25:H48),IF(A48="","",(G49+F49)))</f>
        <v>38574.367733814644</v>
      </c>
      <c r="I49" s="210" t="str">
        <f t="shared" si="19"/>
        <v/>
      </c>
      <c r="J49" s="210" t="str">
        <f t="shared" si="20"/>
        <v/>
      </c>
      <c r="K49" s="15">
        <f>IF($F$8&gt;24,($O$8+$O$10),IF($A$48=$F$8,$K$37+$K$24,""))</f>
        <v>17142.858</v>
      </c>
      <c r="L49" s="210" t="str">
        <f t="shared" si="21"/>
        <v/>
      </c>
      <c r="M49" s="210" t="str">
        <f t="shared" si="22"/>
        <v/>
      </c>
      <c r="N49" s="15">
        <f>IF($F$8&gt;24,($N$14),IF(A48=$F$8,N37+N24,""))</f>
        <v>2500</v>
      </c>
      <c r="O49" s="210"/>
      <c r="P49" s="215" t="str">
        <f>IF(A48=$D$8,XIRR(R$24:R48,C$24:C48),"")</f>
        <v/>
      </c>
      <c r="Q49" s="210" t="str">
        <f t="shared" si="10"/>
        <v/>
      </c>
      <c r="R49" s="210">
        <f t="shared" ca="1" si="6"/>
        <v>58217.225733814645</v>
      </c>
      <c r="S49" s="5">
        <f t="shared" ca="1" si="7"/>
        <v>2023</v>
      </c>
      <c r="T49" s="5">
        <f t="shared" ca="1" si="8"/>
        <v>365</v>
      </c>
    </row>
    <row r="50" spans="1:20" x14ac:dyDescent="0.35">
      <c r="A50" s="13">
        <f t="shared" si="9"/>
        <v>26</v>
      </c>
      <c r="B50" s="50">
        <f t="shared" ca="1" si="5"/>
        <v>45181</v>
      </c>
      <c r="C50" s="50">
        <f t="shared" ca="1" si="11"/>
        <v>45181</v>
      </c>
      <c r="D50" s="13">
        <f t="shared" ca="1" si="18"/>
        <v>31</v>
      </c>
      <c r="E50" s="15">
        <f t="shared" ca="1" si="17"/>
        <v>3849034.5260417829</v>
      </c>
      <c r="F50" s="15">
        <f ca="1">IF(AND(A49="",A51=""),"",IF(A50="",SUM($F$25:F49),IF(A50=$D$8,$E$24-SUM($F$25:F49),$F$13-G50)))</f>
        <v>5866.8497320774695</v>
      </c>
      <c r="G50" s="15">
        <f ca="1">IF(A49=$D$8,SUM($G$25:G49),IF(A49&gt;$D$8,"",E49*D50*$D$9/T49))</f>
        <v>32707.518001737175</v>
      </c>
      <c r="H50" s="15">
        <f ca="1">IF(A49=$D$8,SUM($H$25:H49),IF(A49="","",(G50+F50)))</f>
        <v>38574.367733814644</v>
      </c>
      <c r="I50" s="15" t="str">
        <f t="shared" si="19"/>
        <v/>
      </c>
      <c r="J50" s="15" t="str">
        <f t="shared" si="20"/>
        <v/>
      </c>
      <c r="K50" s="15"/>
      <c r="L50" s="15" t="str">
        <f t="shared" si="21"/>
        <v/>
      </c>
      <c r="M50" s="15" t="str">
        <f t="shared" si="22"/>
        <v/>
      </c>
      <c r="N50" s="144" t="str">
        <f t="shared" si="15"/>
        <v/>
      </c>
      <c r="O50" s="15"/>
      <c r="P50" s="52" t="str">
        <f>IF(A49=$D$8,XIRR(R$24:R49,C$24:C49),"")</f>
        <v/>
      </c>
      <c r="Q50" s="15" t="str">
        <f t="shared" si="10"/>
        <v/>
      </c>
      <c r="R50" s="144">
        <f t="shared" ca="1" si="6"/>
        <v>38574.367733814644</v>
      </c>
      <c r="S50" s="168">
        <f t="shared" ca="1" si="7"/>
        <v>2023</v>
      </c>
      <c r="T50" s="168">
        <f t="shared" ca="1" si="8"/>
        <v>365</v>
      </c>
    </row>
    <row r="51" spans="1:20" x14ac:dyDescent="0.35">
      <c r="A51" s="13">
        <f t="shared" si="9"/>
        <v>27</v>
      </c>
      <c r="B51" s="50">
        <f t="shared" ca="1" si="5"/>
        <v>45211</v>
      </c>
      <c r="C51" s="50">
        <f t="shared" ca="1" si="11"/>
        <v>45211</v>
      </c>
      <c r="D51" s="13">
        <f t="shared" ca="1" si="18"/>
        <v>30</v>
      </c>
      <c r="E51" s="15">
        <f t="shared" ca="1" si="17"/>
        <v>3842064.4226217964</v>
      </c>
      <c r="F51" s="15">
        <f ca="1">IF(AND(A50="",A52=""),"",IF(A51="",SUM($F$25:F50),IF(A51=$D$8,$E$24-SUM($F$25:F50),$F$13-G51)))</f>
        <v>6970.1034199866335</v>
      </c>
      <c r="G51" s="15">
        <f ca="1">IF(A50=$D$8,SUM($G$25:G50),IF(A50&gt;$D$8,"",E50*D51*$D$9/T50))</f>
        <v>31604.264313828011</v>
      </c>
      <c r="H51" s="15">
        <f ca="1">IF(A50=$D$8,SUM($H$25:H50),IF(A50="","",(G51+F51)))</f>
        <v>38574.367733814644</v>
      </c>
      <c r="I51" s="15" t="str">
        <f t="shared" si="19"/>
        <v/>
      </c>
      <c r="J51" s="15" t="str">
        <f t="shared" si="20"/>
        <v/>
      </c>
      <c r="K51" s="15"/>
      <c r="L51" s="15" t="str">
        <f t="shared" si="21"/>
        <v/>
      </c>
      <c r="M51" s="15" t="str">
        <f t="shared" si="22"/>
        <v/>
      </c>
      <c r="N51" s="144" t="str">
        <f t="shared" si="15"/>
        <v/>
      </c>
      <c r="O51" s="15"/>
      <c r="P51" s="52" t="str">
        <f>IF(A50=$D$8,XIRR(R$24:R50,C$24:C50),"")</f>
        <v/>
      </c>
      <c r="Q51" s="15" t="str">
        <f t="shared" si="10"/>
        <v/>
      </c>
      <c r="R51" s="144">
        <f t="shared" ca="1" si="6"/>
        <v>38574.367733814644</v>
      </c>
      <c r="S51" s="168">
        <f t="shared" ca="1" si="7"/>
        <v>2023</v>
      </c>
      <c r="T51" s="168">
        <f t="shared" ca="1" si="8"/>
        <v>365</v>
      </c>
    </row>
    <row r="52" spans="1:20" x14ac:dyDescent="0.35">
      <c r="A52" s="13">
        <f t="shared" si="9"/>
        <v>28</v>
      </c>
      <c r="B52" s="50">
        <f t="shared" ca="1" si="5"/>
        <v>45242</v>
      </c>
      <c r="C52" s="50">
        <f t="shared" ca="1" si="11"/>
        <v>45242</v>
      </c>
      <c r="D52" s="13">
        <f t="shared" ca="1" si="18"/>
        <v>31</v>
      </c>
      <c r="E52" s="15">
        <f t="shared" ca="1" si="17"/>
        <v>3836088.6557384403</v>
      </c>
      <c r="F52" s="15">
        <f ca="1">IF(AND(A51="",A53=""),"",IF(A52="",SUM($F$25:F51),IF(A52=$D$8,$E$24-SUM($F$25:F51),$F$13-G52)))</f>
        <v>5975.7668833559001</v>
      </c>
      <c r="G52" s="15">
        <f ca="1">IF(A51=$D$8,SUM($G$25:G51),IF(A51&gt;$D$8,"",E51*D52*$D$9/T51))</f>
        <v>32598.600850458744</v>
      </c>
      <c r="H52" s="15">
        <f ca="1">IF(A51=$D$8,SUM($H$25:H51),IF(A51="","",(G52+F52)))</f>
        <v>38574.367733814644</v>
      </c>
      <c r="I52" s="15" t="str">
        <f t="shared" si="19"/>
        <v/>
      </c>
      <c r="J52" s="15" t="str">
        <f t="shared" si="20"/>
        <v/>
      </c>
      <c r="K52" s="15"/>
      <c r="L52" s="15" t="str">
        <f t="shared" si="21"/>
        <v/>
      </c>
      <c r="M52" s="15" t="str">
        <f t="shared" si="22"/>
        <v/>
      </c>
      <c r="N52" s="144" t="str">
        <f t="shared" si="15"/>
        <v/>
      </c>
      <c r="O52" s="15"/>
      <c r="P52" s="52" t="str">
        <f>IF(A51=$D$8,XIRR(R$24:R51,C$24:C51),"")</f>
        <v/>
      </c>
      <c r="Q52" s="15" t="str">
        <f t="shared" si="10"/>
        <v/>
      </c>
      <c r="R52" s="144">
        <f t="shared" ca="1" si="6"/>
        <v>38574.367733814644</v>
      </c>
      <c r="S52" s="168">
        <f t="shared" ca="1" si="7"/>
        <v>2023</v>
      </c>
      <c r="T52" s="168">
        <f t="shared" ca="1" si="8"/>
        <v>365</v>
      </c>
    </row>
    <row r="53" spans="1:20" x14ac:dyDescent="0.35">
      <c r="A53" s="13">
        <f t="shared" si="9"/>
        <v>29</v>
      </c>
      <c r="B53" s="50">
        <f t="shared" ca="1" si="5"/>
        <v>45272</v>
      </c>
      <c r="C53" s="50">
        <f t="shared" ca="1" si="11"/>
        <v>45272</v>
      </c>
      <c r="D53" s="13">
        <f t="shared" ca="1" si="18"/>
        <v>30</v>
      </c>
      <c r="E53" s="15">
        <f t="shared" ca="1" si="17"/>
        <v>3829012.2543094149</v>
      </c>
      <c r="F53" s="15">
        <f ca="1">IF(AND(A52="",A54=""),"",IF(A53="",SUM($F$25:F52),IF(A53=$D$8,$E$24-SUM($F$25:F52),$F$13-G53)))</f>
        <v>7076.4014290253144</v>
      </c>
      <c r="G53" s="15">
        <f ca="1">IF(A52=$D$8,SUM($G$25:G52),IF(A52&gt;$D$8,"",E52*D53*$D$9/T52))</f>
        <v>31497.96630478933</v>
      </c>
      <c r="H53" s="15">
        <f ca="1">IF(A52=$D$8,SUM($H$25:H52),IF(A52="","",(G53+F53)))</f>
        <v>38574.367733814644</v>
      </c>
      <c r="I53" s="15" t="str">
        <f t="shared" si="19"/>
        <v/>
      </c>
      <c r="J53" s="15" t="str">
        <f t="shared" si="20"/>
        <v/>
      </c>
      <c r="K53" s="15"/>
      <c r="L53" s="15" t="str">
        <f t="shared" si="21"/>
        <v/>
      </c>
      <c r="M53" s="15" t="str">
        <f t="shared" si="22"/>
        <v/>
      </c>
      <c r="N53" s="144" t="str">
        <f t="shared" si="15"/>
        <v/>
      </c>
      <c r="O53" s="15"/>
      <c r="P53" s="52" t="str">
        <f>IF(A52=$D$8,XIRR(R$24:R52,C$24:C52),"")</f>
        <v/>
      </c>
      <c r="Q53" s="15" t="str">
        <f t="shared" si="10"/>
        <v/>
      </c>
      <c r="R53" s="144">
        <f t="shared" ca="1" si="6"/>
        <v>38574.367733814644</v>
      </c>
      <c r="S53" s="168">
        <f t="shared" ca="1" si="7"/>
        <v>2023</v>
      </c>
      <c r="T53" s="168">
        <f t="shared" ca="1" si="8"/>
        <v>365</v>
      </c>
    </row>
    <row r="54" spans="1:20" x14ac:dyDescent="0.35">
      <c r="A54" s="13">
        <f t="shared" si="9"/>
        <v>30</v>
      </c>
      <c r="B54" s="50">
        <f t="shared" ca="1" si="5"/>
        <v>45303</v>
      </c>
      <c r="C54" s="50">
        <f t="shared" ca="1" si="11"/>
        <v>45303</v>
      </c>
      <c r="D54" s="13">
        <f t="shared" ca="1" si="18"/>
        <v>31</v>
      </c>
      <c r="E54" s="15">
        <f t="shared" ca="1" si="17"/>
        <v>3822925.7442478491</v>
      </c>
      <c r="F54" s="15">
        <f ca="1">IF(AND(A53="",A55=""),"",IF(A54="",SUM($F$25:F53),IF(A54=$D$8,$E$24-SUM($F$25:F53),$F$13-G54)))</f>
        <v>6086.5100615658012</v>
      </c>
      <c r="G54" s="15">
        <f ca="1">IF(A53=$D$8,SUM($G$25:G53),IF(A53&gt;$D$8,"",E53*D54*$D$9/T53))</f>
        <v>32487.857672248843</v>
      </c>
      <c r="H54" s="15">
        <f ca="1">IF(A53=$D$8,SUM($H$25:H53),IF(A53="","",(G54+F54)))</f>
        <v>38574.367733814644</v>
      </c>
      <c r="I54" s="15" t="str">
        <f t="shared" si="19"/>
        <v/>
      </c>
      <c r="J54" s="15" t="str">
        <f t="shared" si="20"/>
        <v/>
      </c>
      <c r="K54" s="15"/>
      <c r="L54" s="15" t="str">
        <f t="shared" si="21"/>
        <v/>
      </c>
      <c r="M54" s="15" t="str">
        <f t="shared" si="22"/>
        <v/>
      </c>
      <c r="N54" s="144" t="str">
        <f t="shared" si="15"/>
        <v/>
      </c>
      <c r="O54" s="15"/>
      <c r="P54" s="52" t="str">
        <f>IF(A53=$D$8,XIRR(R$24:R53,C$24:C53),"")</f>
        <v/>
      </c>
      <c r="Q54" s="15" t="str">
        <f t="shared" si="10"/>
        <v/>
      </c>
      <c r="R54" s="144">
        <f t="shared" ca="1" si="6"/>
        <v>38574.367733814644</v>
      </c>
      <c r="S54" s="168">
        <f t="shared" ca="1" si="7"/>
        <v>2024</v>
      </c>
      <c r="T54" s="168">
        <f t="shared" ca="1" si="8"/>
        <v>366</v>
      </c>
    </row>
    <row r="55" spans="1:20" x14ac:dyDescent="0.35">
      <c r="A55" s="13">
        <f t="shared" si="9"/>
        <v>31</v>
      </c>
      <c r="B55" s="50">
        <f t="shared" ca="1" si="5"/>
        <v>45334</v>
      </c>
      <c r="C55" s="50">
        <f t="shared" ca="1" si="11"/>
        <v>45334</v>
      </c>
      <c r="D55" s="13">
        <f t="shared" ca="1" si="18"/>
        <v>31</v>
      </c>
      <c r="E55" s="15">
        <f t="shared" ca="1" si="17"/>
        <v>3816698.968692617</v>
      </c>
      <c r="F55" s="15">
        <f ca="1">IF(AND(A54="",A56=""),"",IF(A55="",SUM($F$25:F54),IF(A55=$D$8,$E$24-SUM($F$25:F54),$F$13-G55)))</f>
        <v>6226.7755552322305</v>
      </c>
      <c r="G55" s="15">
        <f ca="1">IF(A54=$D$8,SUM($G$25:G54),IF(A54&gt;$D$8,"",E54*D55*$D$9/T54))</f>
        <v>32347.592178582414</v>
      </c>
      <c r="H55" s="15">
        <f ca="1">IF(A54=$D$8,SUM($H$25:H54),IF(A54="","",(G55+F55)))</f>
        <v>38574.367733814644</v>
      </c>
      <c r="I55" s="15" t="str">
        <f t="shared" si="19"/>
        <v/>
      </c>
      <c r="J55" s="15" t="str">
        <f t="shared" si="20"/>
        <v/>
      </c>
      <c r="K55" s="15"/>
      <c r="L55" s="15" t="str">
        <f t="shared" si="21"/>
        <v/>
      </c>
      <c r="M55" s="15" t="str">
        <f t="shared" si="22"/>
        <v/>
      </c>
      <c r="N55" s="144" t="str">
        <f t="shared" si="15"/>
        <v/>
      </c>
      <c r="O55" s="15"/>
      <c r="P55" s="52" t="str">
        <f>IF(A54=$D$8,XIRR(R$24:R54,C$24:C54),"")</f>
        <v/>
      </c>
      <c r="Q55" s="15" t="str">
        <f t="shared" si="10"/>
        <v/>
      </c>
      <c r="R55" s="144">
        <f t="shared" ca="1" si="6"/>
        <v>38574.367733814644</v>
      </c>
      <c r="S55" s="168">
        <f t="shared" ca="1" si="7"/>
        <v>2024</v>
      </c>
      <c r="T55" s="168">
        <f t="shared" ca="1" si="8"/>
        <v>366</v>
      </c>
    </row>
    <row r="56" spans="1:20" x14ac:dyDescent="0.35">
      <c r="A56" s="13">
        <f t="shared" si="9"/>
        <v>32</v>
      </c>
      <c r="B56" s="50">
        <f t="shared" ca="1" si="5"/>
        <v>45363</v>
      </c>
      <c r="C56" s="50">
        <f t="shared" ca="1" si="11"/>
        <v>45363</v>
      </c>
      <c r="D56" s="13">
        <f t="shared" ca="1" si="18"/>
        <v>29</v>
      </c>
      <c r="E56" s="15">
        <f t="shared" ca="1" si="17"/>
        <v>3808335.9632052486</v>
      </c>
      <c r="F56" s="15">
        <f ca="1">IF(AND(A55="",A57=""),"",IF(A56="",SUM($F$25:F55),IF(A56=$D$8,$E$24-SUM($F$25:F55),$F$13-G56)))</f>
        <v>8363.0054873682457</v>
      </c>
      <c r="G56" s="15">
        <f ca="1">IF(A55=$D$8,SUM($G$25:G55),IF(A55&gt;$D$8,"",E55*D56*$D$9/T55))</f>
        <v>30211.362246446399</v>
      </c>
      <c r="H56" s="15">
        <f ca="1">IF(A55=$D$8,SUM($H$25:H55),IF(A55="","",(G56+F56)))</f>
        <v>38574.367733814644</v>
      </c>
      <c r="I56" s="15" t="str">
        <f t="shared" si="19"/>
        <v/>
      </c>
      <c r="J56" s="15" t="str">
        <f t="shared" si="20"/>
        <v/>
      </c>
      <c r="K56" s="15"/>
      <c r="L56" s="15" t="str">
        <f t="shared" si="21"/>
        <v/>
      </c>
      <c r="M56" s="15" t="str">
        <f t="shared" si="22"/>
        <v/>
      </c>
      <c r="N56" s="144" t="str">
        <f t="shared" si="15"/>
        <v/>
      </c>
      <c r="O56" s="15"/>
      <c r="P56" s="52" t="str">
        <f>IF(A55=$D$8,XIRR(R$24:R55,C$24:C55),"")</f>
        <v/>
      </c>
      <c r="Q56" s="15" t="str">
        <f t="shared" si="10"/>
        <v/>
      </c>
      <c r="R56" s="144">
        <f t="shared" ca="1" si="6"/>
        <v>38574.367733814644</v>
      </c>
      <c r="S56" s="168">
        <f t="shared" ca="1" si="7"/>
        <v>2024</v>
      </c>
      <c r="T56" s="168">
        <f t="shared" ca="1" si="8"/>
        <v>366</v>
      </c>
    </row>
    <row r="57" spans="1:20" x14ac:dyDescent="0.35">
      <c r="A57" s="13">
        <f t="shared" si="9"/>
        <v>33</v>
      </c>
      <c r="B57" s="50">
        <f t="shared" ca="1" si="5"/>
        <v>45394</v>
      </c>
      <c r="C57" s="50">
        <f t="shared" ca="1" si="11"/>
        <v>45394</v>
      </c>
      <c r="D57" s="13">
        <f t="shared" ca="1" si="18"/>
        <v>31</v>
      </c>
      <c r="E57" s="15">
        <f t="shared" ca="1" si="17"/>
        <v>3801985.7365764896</v>
      </c>
      <c r="F57" s="15">
        <f ca="1">IF(AND(A56="",A58=""),"",IF(A57="",SUM($F$25:F56),IF(A57=$D$8,$E$24-SUM($F$25:F56),$F$13-G57)))</f>
        <v>6350.2266287590865</v>
      </c>
      <c r="G57" s="15">
        <f ca="1">IF(A56=$D$8,SUM($G$25:G56),IF(A56&gt;$D$8,"",E56*D57*$D$9/T56))</f>
        <v>32224.141105055558</v>
      </c>
      <c r="H57" s="15">
        <f ca="1">IF(A56=$D$8,SUM($H$25:H56),IF(A56="","",(G57+F57)))</f>
        <v>38574.367733814644</v>
      </c>
      <c r="I57" s="15" t="str">
        <f t="shared" si="19"/>
        <v/>
      </c>
      <c r="J57" s="15" t="str">
        <f t="shared" si="20"/>
        <v/>
      </c>
      <c r="K57" s="15"/>
      <c r="L57" s="15" t="str">
        <f t="shared" si="21"/>
        <v/>
      </c>
      <c r="M57" s="15" t="str">
        <f t="shared" si="22"/>
        <v/>
      </c>
      <c r="N57" s="144" t="str">
        <f t="shared" si="15"/>
        <v/>
      </c>
      <c r="O57" s="15"/>
      <c r="P57" s="52" t="str">
        <f>IF(A56=$D$8,XIRR(R$24:R56,C$24:C56),"")</f>
        <v/>
      </c>
      <c r="Q57" s="15" t="str">
        <f t="shared" si="10"/>
        <v/>
      </c>
      <c r="R57" s="144">
        <f t="shared" ca="1" si="6"/>
        <v>38574.367733814644</v>
      </c>
      <c r="S57" s="168">
        <f t="shared" ca="1" si="7"/>
        <v>2024</v>
      </c>
      <c r="T57" s="168">
        <f t="shared" ca="1" si="8"/>
        <v>366</v>
      </c>
    </row>
    <row r="58" spans="1:20" x14ac:dyDescent="0.35">
      <c r="A58" s="13">
        <f t="shared" si="9"/>
        <v>34</v>
      </c>
      <c r="B58" s="50">
        <f t="shared" ca="1" si="5"/>
        <v>45424</v>
      </c>
      <c r="C58" s="50">
        <f t="shared" ca="1" si="11"/>
        <v>45424</v>
      </c>
      <c r="D58" s="13">
        <f t="shared" ca="1" si="18"/>
        <v>30</v>
      </c>
      <c r="E58" s="15">
        <f t="shared" ca="1" si="17"/>
        <v>3794544.0225380841</v>
      </c>
      <c r="F58" s="15">
        <f ca="1">IF(AND(A57="",A59=""),"",IF(A58="",SUM($F$25:F57),IF(A58=$D$8,$E$24-SUM($F$25:F57),$F$13-G58)))</f>
        <v>7441.7140384055201</v>
      </c>
      <c r="G58" s="15">
        <f ca="1">IF(A57=$D$8,SUM($G$25:G57),IF(A57&gt;$D$8,"",E57*D58*$D$9/T57))</f>
        <v>31132.653695409124</v>
      </c>
      <c r="H58" s="15">
        <f ca="1">IF(A57=$D$8,SUM($H$25:H57),IF(A57="","",(G58+F58)))</f>
        <v>38574.367733814644</v>
      </c>
      <c r="I58" s="15" t="str">
        <f t="shared" si="19"/>
        <v/>
      </c>
      <c r="J58" s="15" t="str">
        <f t="shared" si="20"/>
        <v/>
      </c>
      <c r="K58" s="15"/>
      <c r="L58" s="15" t="str">
        <f t="shared" si="21"/>
        <v/>
      </c>
      <c r="M58" s="15" t="str">
        <f t="shared" si="22"/>
        <v/>
      </c>
      <c r="N58" s="144" t="str">
        <f t="shared" si="15"/>
        <v/>
      </c>
      <c r="O58" s="15"/>
      <c r="P58" s="52" t="str">
        <f>IF(A57=$D$8,XIRR(R$24:R57,C$24:C57),"")</f>
        <v/>
      </c>
      <c r="Q58" s="15" t="str">
        <f t="shared" si="10"/>
        <v/>
      </c>
      <c r="R58" s="144">
        <f t="shared" ca="1" si="6"/>
        <v>38574.367733814644</v>
      </c>
      <c r="S58" s="168">
        <f t="shared" ca="1" si="7"/>
        <v>2024</v>
      </c>
      <c r="T58" s="168">
        <f t="shared" ca="1" si="8"/>
        <v>366</v>
      </c>
    </row>
    <row r="59" spans="1:20" x14ac:dyDescent="0.35">
      <c r="A59" s="13">
        <f t="shared" si="9"/>
        <v>35</v>
      </c>
      <c r="B59" s="50">
        <f t="shared" ca="1" si="5"/>
        <v>45455</v>
      </c>
      <c r="C59" s="50">
        <f t="shared" ca="1" si="11"/>
        <v>45455</v>
      </c>
      <c r="D59" s="13">
        <f t="shared" ca="1" si="18"/>
        <v>31</v>
      </c>
      <c r="E59" s="15">
        <f t="shared" ca="1" si="17"/>
        <v>3788077.0957425158</v>
      </c>
      <c r="F59" s="15">
        <f ca="1">IF(AND(A58="",A60=""),"",IF(A59="",SUM($F$25:F58),IF(A59=$D$8,$E$24-SUM($F$25:F58),$F$13-G59)))</f>
        <v>6466.9267955682117</v>
      </c>
      <c r="G59" s="15">
        <f ca="1">IF(A58=$D$8,SUM($G$25:G58),IF(A58&gt;$D$8,"",E58*D59*$D$9/T58))</f>
        <v>32107.440938246433</v>
      </c>
      <c r="H59" s="15">
        <f ca="1">IF(A58=$D$8,SUM($H$25:H58),IF(A58="","",(G59+F59)))</f>
        <v>38574.367733814644</v>
      </c>
      <c r="I59" s="15" t="str">
        <f t="shared" si="19"/>
        <v/>
      </c>
      <c r="J59" s="15" t="str">
        <f t="shared" si="20"/>
        <v/>
      </c>
      <c r="K59" s="15"/>
      <c r="L59" s="15" t="str">
        <f t="shared" si="21"/>
        <v/>
      </c>
      <c r="M59" s="15" t="str">
        <f t="shared" si="22"/>
        <v/>
      </c>
      <c r="N59" s="144" t="str">
        <f t="shared" si="15"/>
        <v/>
      </c>
      <c r="O59" s="15"/>
      <c r="P59" s="52" t="str">
        <f>IF(A58=$D$8,XIRR(R$24:R58,C$24:C58),"")</f>
        <v/>
      </c>
      <c r="Q59" s="15" t="str">
        <f t="shared" si="10"/>
        <v/>
      </c>
      <c r="R59" s="144">
        <f t="shared" ca="1" si="6"/>
        <v>38574.367733814644</v>
      </c>
      <c r="S59" s="168">
        <f t="shared" ca="1" si="7"/>
        <v>2024</v>
      </c>
      <c r="T59" s="168">
        <f t="shared" ca="1" si="8"/>
        <v>366</v>
      </c>
    </row>
    <row r="60" spans="1:20" x14ac:dyDescent="0.35">
      <c r="A60" s="13">
        <f t="shared" si="9"/>
        <v>36</v>
      </c>
      <c r="B60" s="50">
        <f t="shared" ca="1" si="5"/>
        <v>45485</v>
      </c>
      <c r="C60" s="50">
        <f t="shared" ca="1" si="11"/>
        <v>45485</v>
      </c>
      <c r="D60" s="13">
        <f t="shared" ca="1" si="18"/>
        <v>30</v>
      </c>
      <c r="E60" s="15">
        <f t="shared" ca="1" si="17"/>
        <v>3780521.4904566254</v>
      </c>
      <c r="F60" s="15">
        <f ca="1">IF(AND(A59="",A61=""),"",IF(A60="",SUM($F$25:F59),IF(A60=$D$8,$E$24-SUM($F$25:F59),$F$13-G60)))</f>
        <v>7555.6052858902694</v>
      </c>
      <c r="G60" s="15">
        <f ca="1">IF(A59=$D$8,SUM($G$25:G59),IF(A59&gt;$D$8,"",E59*D60*$D$9/T59))</f>
        <v>31018.762447924375</v>
      </c>
      <c r="H60" s="15">
        <f ca="1">IF(A59=$D$8,SUM($H$25:H59),IF(A59="","",(G60+F60)))</f>
        <v>38574.367733814644</v>
      </c>
      <c r="I60" s="15" t="str">
        <f t="shared" si="19"/>
        <v/>
      </c>
      <c r="J60" s="15" t="str">
        <f t="shared" si="20"/>
        <v/>
      </c>
      <c r="K60" s="15"/>
      <c r="L60" s="15" t="str">
        <f t="shared" si="21"/>
        <v/>
      </c>
      <c r="M60" s="15" t="str">
        <f t="shared" si="22"/>
        <v/>
      </c>
      <c r="N60" s="144" t="str">
        <f t="shared" si="15"/>
        <v/>
      </c>
      <c r="O60" s="15"/>
      <c r="P60" s="52" t="str">
        <f>IF(A59=$D$8,XIRR(R$24:R59,C$24:C59),"")</f>
        <v/>
      </c>
      <c r="Q60" s="15" t="str">
        <f t="shared" si="10"/>
        <v/>
      </c>
      <c r="R60" s="144">
        <f t="shared" ca="1" si="6"/>
        <v>38574.367733814644</v>
      </c>
      <c r="S60" s="168">
        <f t="shared" ca="1" si="7"/>
        <v>2024</v>
      </c>
      <c r="T60" s="168">
        <f t="shared" ca="1" si="8"/>
        <v>366</v>
      </c>
    </row>
    <row r="61" spans="1:20" x14ac:dyDescent="0.35">
      <c r="A61" s="13">
        <f t="shared" si="9"/>
        <v>37</v>
      </c>
      <c r="B61" s="50">
        <f t="shared" ca="1" si="5"/>
        <v>45516</v>
      </c>
      <c r="C61" s="50">
        <f t="shared" ca="1" si="11"/>
        <v>45516</v>
      </c>
      <c r="D61" s="13">
        <f t="shared" ca="1" si="18"/>
        <v>31</v>
      </c>
      <c r="E61" s="15">
        <f t="shared" ca="1" si="17"/>
        <v>3773935.9123506662</v>
      </c>
      <c r="F61" s="15">
        <f ca="1">IF(AND(A60="",A62=""),"",IF(A61="",SUM($F$25:F60),IF(A61=$D$8,$E$24-SUM($F$25:F60),$F$13-G61)))</f>
        <v>6585.5781059591172</v>
      </c>
      <c r="G61" s="15">
        <f ca="1">IF(A60=$D$8,SUM($G$25:G60),IF(A60&gt;$D$8,"",E60*D61*$D$9/T60))</f>
        <v>31988.789627855527</v>
      </c>
      <c r="H61" s="15">
        <f ca="1">IF(A60=$D$8,SUM($H$25:H60),IF(A60="","",(G61+F61)))</f>
        <v>38574.367733814644</v>
      </c>
      <c r="I61" s="15" t="str">
        <f t="shared" si="19"/>
        <v/>
      </c>
      <c r="J61" s="15" t="str">
        <f t="shared" si="20"/>
        <v/>
      </c>
      <c r="K61" s="15">
        <f>IF($F$8&gt;36,($O$8+$O$10),IF($A$60=$F$8,$K$37+$K$24+$K$49,""))</f>
        <v>17142.858</v>
      </c>
      <c r="L61" s="15" t="str">
        <f t="shared" si="21"/>
        <v/>
      </c>
      <c r="M61" s="15" t="str">
        <f t="shared" si="22"/>
        <v/>
      </c>
      <c r="N61" s="15">
        <f>IF($F$8&gt;36,($N$14),IF(A60=$F$8,N49+N37+N24,""))</f>
        <v>2500</v>
      </c>
      <c r="O61" s="15"/>
      <c r="P61" s="52" t="str">
        <f>IF(A60=$D$8,XIRR(R$24:R60,C$24:C60),"")</f>
        <v/>
      </c>
      <c r="Q61" s="15" t="str">
        <f t="shared" si="10"/>
        <v/>
      </c>
      <c r="R61" s="144">
        <f t="shared" ca="1" si="6"/>
        <v>58217.225733814645</v>
      </c>
      <c r="S61" s="168">
        <f t="shared" ca="1" si="7"/>
        <v>2024</v>
      </c>
      <c r="T61" s="168">
        <f t="shared" ca="1" si="8"/>
        <v>366</v>
      </c>
    </row>
    <row r="62" spans="1:20" x14ac:dyDescent="0.35">
      <c r="A62" s="13">
        <f t="shared" si="9"/>
        <v>38</v>
      </c>
      <c r="B62" s="50">
        <f t="shared" ca="1" si="5"/>
        <v>45547</v>
      </c>
      <c r="C62" s="50">
        <f t="shared" ca="1" si="11"/>
        <v>45547</v>
      </c>
      <c r="D62" s="13">
        <f t="shared" ca="1" si="18"/>
        <v>31</v>
      </c>
      <c r="E62" s="15">
        <f t="shared" ca="1" si="17"/>
        <v>3767294.6105375038</v>
      </c>
      <c r="F62" s="15">
        <f ca="1">IF(AND(A61="",A63=""),"",IF(A62="",SUM($F$25:F61),IF(A62=$D$8,$E$24-SUM($F$25:F61),$F$13-G62)))</f>
        <v>6641.3018131622448</v>
      </c>
      <c r="G62" s="15">
        <f ca="1">IF(A61=$D$8,SUM($G$25:G61),IF(A61&gt;$D$8,"",E61*D62*$D$9/T61))</f>
        <v>31933.0659206524</v>
      </c>
      <c r="H62" s="15">
        <f ca="1">IF(A61=$D$8,SUM($H$25:H61),IF(A61="","",(G62+F62)))</f>
        <v>38574.367733814644</v>
      </c>
      <c r="I62" s="15" t="str">
        <f t="shared" si="19"/>
        <v/>
      </c>
      <c r="J62" s="15" t="str">
        <f t="shared" si="20"/>
        <v/>
      </c>
      <c r="K62" s="15"/>
      <c r="L62" s="15" t="str">
        <f t="shared" si="21"/>
        <v/>
      </c>
      <c r="M62" s="15" t="str">
        <f t="shared" si="22"/>
        <v/>
      </c>
      <c r="N62" s="144" t="str">
        <f t="shared" si="15"/>
        <v/>
      </c>
      <c r="O62" s="15"/>
      <c r="P62" s="52" t="str">
        <f>IF(A61=$D$8,XIRR(R$24:R61,C$24:C61),"")</f>
        <v/>
      </c>
      <c r="Q62" s="15" t="str">
        <f t="shared" si="10"/>
        <v/>
      </c>
      <c r="R62" s="144">
        <f t="shared" ca="1" si="6"/>
        <v>38574.367733814644</v>
      </c>
      <c r="S62" s="168">
        <f t="shared" ca="1" si="7"/>
        <v>2024</v>
      </c>
      <c r="T62" s="168">
        <f t="shared" ca="1" si="8"/>
        <v>366</v>
      </c>
    </row>
    <row r="63" spans="1:20" x14ac:dyDescent="0.35">
      <c r="A63" s="13">
        <f t="shared" si="9"/>
        <v>39</v>
      </c>
      <c r="B63" s="50">
        <f t="shared" ca="1" si="5"/>
        <v>45577</v>
      </c>
      <c r="C63" s="50">
        <f t="shared" ca="1" si="11"/>
        <v>45577</v>
      </c>
      <c r="D63" s="13">
        <f t="shared" ca="1" si="18"/>
        <v>30</v>
      </c>
      <c r="E63" s="15">
        <f t="shared" ca="1" si="17"/>
        <v>3759568.8273604675</v>
      </c>
      <c r="F63" s="15">
        <f ca="1">IF(AND(A62="",A64=""),"",IF(A63="",SUM($F$25:F62),IF(A63=$D$8,$E$24-SUM($F$25:F62),$F$13-G63)))</f>
        <v>7725.7831770362282</v>
      </c>
      <c r="G63" s="15">
        <f ca="1">IF(A62=$D$8,SUM($G$25:G62),IF(A62&gt;$D$8,"",E62*D63*$D$9/T62))</f>
        <v>30848.584556778416</v>
      </c>
      <c r="H63" s="15">
        <f ca="1">IF(A62=$D$8,SUM($H$25:H62),IF(A62="","",(G63+F63)))</f>
        <v>38574.367733814644</v>
      </c>
      <c r="I63" s="15" t="str">
        <f t="shared" si="19"/>
        <v/>
      </c>
      <c r="J63" s="15" t="str">
        <f t="shared" si="20"/>
        <v/>
      </c>
      <c r="K63" s="15"/>
      <c r="L63" s="15" t="str">
        <f t="shared" si="21"/>
        <v/>
      </c>
      <c r="M63" s="15" t="str">
        <f t="shared" si="22"/>
        <v/>
      </c>
      <c r="N63" s="144" t="str">
        <f t="shared" si="15"/>
        <v/>
      </c>
      <c r="O63" s="15"/>
      <c r="P63" s="52" t="str">
        <f>IF(A62=$D$8,XIRR(R$24:R62,C$24:C62),"")</f>
        <v/>
      </c>
      <c r="Q63" s="15" t="str">
        <f t="shared" si="10"/>
        <v/>
      </c>
      <c r="R63" s="144">
        <f t="shared" ca="1" si="6"/>
        <v>38574.367733814644</v>
      </c>
      <c r="S63" s="168">
        <f t="shared" ca="1" si="7"/>
        <v>2024</v>
      </c>
      <c r="T63" s="168">
        <f t="shared" ca="1" si="8"/>
        <v>366</v>
      </c>
    </row>
    <row r="64" spans="1:20" x14ac:dyDescent="0.35">
      <c r="A64" s="13">
        <f t="shared" si="9"/>
        <v>40</v>
      </c>
      <c r="B64" s="50">
        <f t="shared" ca="1" si="5"/>
        <v>45608</v>
      </c>
      <c r="C64" s="50">
        <f t="shared" ca="1" si="11"/>
        <v>45608</v>
      </c>
      <c r="D64" s="13">
        <f t="shared" ca="1" si="18"/>
        <v>31</v>
      </c>
      <c r="E64" s="15">
        <f t="shared" ca="1" si="17"/>
        <v>3752805.9588109497</v>
      </c>
      <c r="F64" s="15">
        <f ca="1">IF(AND(A63="",A65=""),"",IF(A64="",SUM($F$25:F63),IF(A64=$D$8,$E$24-SUM($F$25:F63),$F$13-G64)))</f>
        <v>6762.8685495178361</v>
      </c>
      <c r="G64" s="15">
        <f ca="1">IF(A63=$D$8,SUM($G$25:G63),IF(A63&gt;$D$8,"",E63*D64*$D$9/T63))</f>
        <v>31811.499184296808</v>
      </c>
      <c r="H64" s="15">
        <f ca="1">IF(A63=$D$8,SUM($H$25:H63),IF(A63="","",(G64+F64)))</f>
        <v>38574.367733814644</v>
      </c>
      <c r="I64" s="15" t="str">
        <f t="shared" si="19"/>
        <v/>
      </c>
      <c r="J64" s="15" t="str">
        <f t="shared" si="20"/>
        <v/>
      </c>
      <c r="K64" s="15"/>
      <c r="L64" s="15" t="str">
        <f t="shared" si="21"/>
        <v/>
      </c>
      <c r="M64" s="15" t="str">
        <f t="shared" si="22"/>
        <v/>
      </c>
      <c r="N64" s="144" t="str">
        <f t="shared" si="15"/>
        <v/>
      </c>
      <c r="O64" s="15"/>
      <c r="P64" s="52" t="str">
        <f>IF(A63=$D$8,XIRR(R$24:R63,C$24:C63),"")</f>
        <v/>
      </c>
      <c r="Q64" s="15" t="str">
        <f t="shared" si="10"/>
        <v/>
      </c>
      <c r="R64" s="144">
        <f t="shared" ca="1" si="6"/>
        <v>38574.367733814644</v>
      </c>
      <c r="S64" s="168">
        <f t="shared" ca="1" si="7"/>
        <v>2024</v>
      </c>
      <c r="T64" s="168">
        <f t="shared" ca="1" si="8"/>
        <v>366</v>
      </c>
    </row>
    <row r="65" spans="1:20" x14ac:dyDescent="0.35">
      <c r="A65" s="13">
        <f t="shared" si="9"/>
        <v>41</v>
      </c>
      <c r="B65" s="50">
        <f t="shared" ca="1" si="5"/>
        <v>45638</v>
      </c>
      <c r="C65" s="50">
        <f t="shared" ca="1" si="11"/>
        <v>45638</v>
      </c>
      <c r="D65" s="13">
        <f t="shared" ca="1" si="18"/>
        <v>30</v>
      </c>
      <c r="E65" s="15">
        <f t="shared" ca="1" si="17"/>
        <v>3744961.5349529721</v>
      </c>
      <c r="F65" s="15">
        <f ca="1">IF(AND(A64="",A66=""),"",IF(A65="",SUM($F$25:F64),IF(A65=$D$8,$E$24-SUM($F$25:F64),$F$13-G65)))</f>
        <v>7844.4238579774392</v>
      </c>
      <c r="G65" s="15">
        <f ca="1">IF(A64=$D$8,SUM($G$25:G64),IF(A64&gt;$D$8,"",E64*D65*$D$9/T64))</f>
        <v>30729.943875837205</v>
      </c>
      <c r="H65" s="15">
        <f ca="1">IF(A64=$D$8,SUM($H$25:H64),IF(A64="","",(G65+F65)))</f>
        <v>38574.367733814644</v>
      </c>
      <c r="I65" s="15" t="str">
        <f t="shared" si="19"/>
        <v/>
      </c>
      <c r="J65" s="15" t="str">
        <f t="shared" si="20"/>
        <v/>
      </c>
      <c r="K65" s="15"/>
      <c r="L65" s="15" t="str">
        <f t="shared" si="21"/>
        <v/>
      </c>
      <c r="M65" s="15" t="str">
        <f t="shared" si="22"/>
        <v/>
      </c>
      <c r="N65" s="144" t="str">
        <f t="shared" si="15"/>
        <v/>
      </c>
      <c r="O65" s="15"/>
      <c r="P65" s="52" t="str">
        <f>IF(A64=$D$8,XIRR(R$24:R64,C$24:C64),"")</f>
        <v/>
      </c>
      <c r="Q65" s="15" t="str">
        <f t="shared" si="10"/>
        <v/>
      </c>
      <c r="R65" s="144">
        <f t="shared" ca="1" si="6"/>
        <v>38574.367733814644</v>
      </c>
      <c r="S65" s="168">
        <f t="shared" ca="1" si="7"/>
        <v>2024</v>
      </c>
      <c r="T65" s="168">
        <f t="shared" ca="1" si="8"/>
        <v>366</v>
      </c>
    </row>
    <row r="66" spans="1:20" x14ac:dyDescent="0.35">
      <c r="A66" s="13">
        <f t="shared" si="9"/>
        <v>42</v>
      </c>
      <c r="B66" s="50">
        <f t="shared" ca="1" si="5"/>
        <v>45669</v>
      </c>
      <c r="C66" s="50">
        <f t="shared" ca="1" si="11"/>
        <v>45669</v>
      </c>
      <c r="D66" s="13">
        <f t="shared" ca="1" si="18"/>
        <v>31</v>
      </c>
      <c r="E66" s="15">
        <f t="shared" ca="1" si="17"/>
        <v>3738075.0671579437</v>
      </c>
      <c r="F66" s="15">
        <f ca="1">IF(AND(A65="",A67=""),"",IF(A66="",SUM($F$25:F65),IF(A66=$D$8,$E$24-SUM($F$25:F65),$F$13-G66)))</f>
        <v>6886.4677950281402</v>
      </c>
      <c r="G66" s="15">
        <f ca="1">IF(A65=$D$8,SUM($G$25:G65),IF(A65&gt;$D$8,"",E65*D66*$D$9/T65))</f>
        <v>31687.899938786504</v>
      </c>
      <c r="H66" s="15">
        <f ca="1">IF(A65=$D$8,SUM($H$25:H65),IF(A65="","",(G66+F66)))</f>
        <v>38574.367733814644</v>
      </c>
      <c r="I66" s="15" t="str">
        <f t="shared" si="19"/>
        <v/>
      </c>
      <c r="J66" s="15" t="str">
        <f t="shared" si="20"/>
        <v/>
      </c>
      <c r="K66" s="15"/>
      <c r="L66" s="15" t="str">
        <f t="shared" si="21"/>
        <v/>
      </c>
      <c r="M66" s="15" t="str">
        <f t="shared" si="22"/>
        <v/>
      </c>
      <c r="N66" s="144" t="str">
        <f t="shared" si="15"/>
        <v/>
      </c>
      <c r="O66" s="15"/>
      <c r="P66" s="52" t="str">
        <f>IF(A65=$D$8,XIRR(R$24:R65,C$24:C65),"")</f>
        <v/>
      </c>
      <c r="Q66" s="15" t="str">
        <f t="shared" si="10"/>
        <v/>
      </c>
      <c r="R66" s="144">
        <f t="shared" ca="1" si="6"/>
        <v>38574.367733814644</v>
      </c>
      <c r="S66" s="168">
        <f t="shared" ca="1" si="7"/>
        <v>2025</v>
      </c>
      <c r="T66" s="168">
        <f t="shared" ca="1" si="8"/>
        <v>365</v>
      </c>
    </row>
    <row r="67" spans="1:20" x14ac:dyDescent="0.35">
      <c r="A67" s="13">
        <f t="shared" si="9"/>
        <v>43</v>
      </c>
      <c r="B67" s="50">
        <f t="shared" ca="1" si="5"/>
        <v>45700</v>
      </c>
      <c r="C67" s="50">
        <f t="shared" ca="1" si="11"/>
        <v>45700</v>
      </c>
      <c r="D67" s="13">
        <f t="shared" ca="1" si="18"/>
        <v>31</v>
      </c>
      <c r="E67" s="15">
        <f t="shared" ca="1" si="17"/>
        <v>3731216.9862062698</v>
      </c>
      <c r="F67" s="15">
        <f ca="1">IF(AND(A66="",A68=""),"",IF(A67="",SUM($F$25:F66),IF(A67=$D$8,$E$24-SUM($F$25:F66),$F$13-G67)))</f>
        <v>6858.0809516737208</v>
      </c>
      <c r="G67" s="15">
        <f ca="1">IF(A66=$D$8,SUM($G$25:G66),IF(A66&gt;$D$8,"",E66*D67*$D$9/T66))</f>
        <v>31716.286782140924</v>
      </c>
      <c r="H67" s="15">
        <f ca="1">IF(A66=$D$8,SUM($H$25:H66),IF(A66="","",(G67+F67)))</f>
        <v>38574.367733814644</v>
      </c>
      <c r="I67" s="15" t="str">
        <f t="shared" si="19"/>
        <v/>
      </c>
      <c r="J67" s="15" t="str">
        <f t="shared" si="20"/>
        <v/>
      </c>
      <c r="K67" s="15"/>
      <c r="L67" s="15" t="str">
        <f t="shared" si="21"/>
        <v/>
      </c>
      <c r="M67" s="15" t="str">
        <f t="shared" si="22"/>
        <v/>
      </c>
      <c r="N67" s="144" t="str">
        <f t="shared" si="15"/>
        <v/>
      </c>
      <c r="O67" s="15"/>
      <c r="P67" s="52" t="str">
        <f>IF(A66=$D$8,XIRR(R$24:R66,C$24:C66),"")</f>
        <v/>
      </c>
      <c r="Q67" s="15" t="str">
        <f t="shared" si="10"/>
        <v/>
      </c>
      <c r="R67" s="144">
        <f t="shared" ca="1" si="6"/>
        <v>38574.367733814644</v>
      </c>
      <c r="S67" s="168">
        <f t="shared" ca="1" si="7"/>
        <v>2025</v>
      </c>
      <c r="T67" s="168">
        <f t="shared" ca="1" si="8"/>
        <v>365</v>
      </c>
    </row>
    <row r="68" spans="1:20" x14ac:dyDescent="0.35">
      <c r="A68" s="13">
        <f t="shared" si="9"/>
        <v>44</v>
      </c>
      <c r="B68" s="50">
        <f t="shared" ca="1" si="5"/>
        <v>45728</v>
      </c>
      <c r="C68" s="50">
        <f t="shared" ca="1" si="11"/>
        <v>45728</v>
      </c>
      <c r="D68" s="13">
        <f t="shared" ca="1" si="18"/>
        <v>28</v>
      </c>
      <c r="E68" s="15">
        <f t="shared" ca="1" si="17"/>
        <v>3721237.0298527735</v>
      </c>
      <c r="F68" s="15">
        <f ca="1">IF(AND(A67="",A69=""),"",IF(A68="",SUM($F$25:F67),IF(A68=$D$8,$E$24-SUM($F$25:F67),$F$13-G68)))</f>
        <v>9979.956353496349</v>
      </c>
      <c r="G68" s="15">
        <f ca="1">IF(A67=$D$8,SUM($G$25:G67),IF(A67&gt;$D$8,"",E67*D68*$D$9/T67))</f>
        <v>28594.411380318295</v>
      </c>
      <c r="H68" s="15">
        <f ca="1">IF(A67=$D$8,SUM($H$25:H67),IF(A67="","",(G68+F68)))</f>
        <v>38574.367733814644</v>
      </c>
      <c r="I68" s="15" t="str">
        <f t="shared" si="19"/>
        <v/>
      </c>
      <c r="J68" s="15" t="str">
        <f t="shared" si="20"/>
        <v/>
      </c>
      <c r="K68" s="15"/>
      <c r="L68" s="15" t="str">
        <f t="shared" si="21"/>
        <v/>
      </c>
      <c r="M68" s="15" t="str">
        <f t="shared" si="22"/>
        <v/>
      </c>
      <c r="N68" s="144" t="str">
        <f t="shared" si="15"/>
        <v/>
      </c>
      <c r="O68" s="15"/>
      <c r="P68" s="52" t="str">
        <f>IF(A67=$D$8,XIRR(R$24:R67,C$24:C67),"")</f>
        <v/>
      </c>
      <c r="Q68" s="15" t="str">
        <f t="shared" si="10"/>
        <v/>
      </c>
      <c r="R68" s="144">
        <f t="shared" ca="1" si="6"/>
        <v>38574.367733814644</v>
      </c>
      <c r="S68" s="168">
        <f t="shared" ca="1" si="7"/>
        <v>2025</v>
      </c>
      <c r="T68" s="168">
        <f t="shared" ca="1" si="8"/>
        <v>365</v>
      </c>
    </row>
    <row r="69" spans="1:20" x14ac:dyDescent="0.35">
      <c r="A69" s="13">
        <f t="shared" si="9"/>
        <v>45</v>
      </c>
      <c r="B69" s="50">
        <f t="shared" ca="1" si="5"/>
        <v>45759</v>
      </c>
      <c r="C69" s="50">
        <f t="shared" ca="1" si="11"/>
        <v>45759</v>
      </c>
      <c r="D69" s="13">
        <f t="shared" ca="1" si="18"/>
        <v>31</v>
      </c>
      <c r="E69" s="15">
        <f t="shared" ref="E69:E100" ca="1" si="23">IF(A69&gt;$D$8,"",E68-F69)</f>
        <v>3714236.0839210167</v>
      </c>
      <c r="F69" s="15">
        <f ca="1">IF(AND(A68="",A70=""),"",IF(A69="",SUM($F$25:F68),IF(A69=$D$8,$E$24-SUM($F$25:F68),$F$13-G69)))</f>
        <v>7000.9459317569599</v>
      </c>
      <c r="G69" s="15">
        <f ca="1">IF(A68=$D$8,SUM($G$25:G68),IF(A68&gt;$D$8,"",E68*D69*$D$9/T68))</f>
        <v>31573.421802057685</v>
      </c>
      <c r="H69" s="15">
        <f ca="1">IF(A68=$D$8,SUM($H$25:H68),IF(A68="","",(G69+F69)))</f>
        <v>38574.367733814644</v>
      </c>
      <c r="I69" s="15" t="str">
        <f t="shared" si="19"/>
        <v/>
      </c>
      <c r="J69" s="15" t="str">
        <f t="shared" si="20"/>
        <v/>
      </c>
      <c r="K69" s="15"/>
      <c r="L69" s="15" t="str">
        <f t="shared" si="21"/>
        <v/>
      </c>
      <c r="M69" s="15" t="str">
        <f t="shared" si="22"/>
        <v/>
      </c>
      <c r="N69" s="144" t="str">
        <f t="shared" si="15"/>
        <v/>
      </c>
      <c r="O69" s="15"/>
      <c r="P69" s="52" t="str">
        <f>IF(A68=$D$8,XIRR(R$24:R68,C$24:C68),"")</f>
        <v/>
      </c>
      <c r="Q69" s="15" t="str">
        <f t="shared" si="10"/>
        <v/>
      </c>
      <c r="R69" s="144">
        <f t="shared" ca="1" si="6"/>
        <v>38574.367733814644</v>
      </c>
      <c r="S69" s="168">
        <f t="shared" ca="1" si="7"/>
        <v>2025</v>
      </c>
      <c r="T69" s="168">
        <f t="shared" ca="1" si="8"/>
        <v>365</v>
      </c>
    </row>
    <row r="70" spans="1:20" x14ac:dyDescent="0.35">
      <c r="A70" s="13">
        <f t="shared" si="9"/>
        <v>46</v>
      </c>
      <c r="B70" s="50">
        <f t="shared" ca="1" si="5"/>
        <v>45789</v>
      </c>
      <c r="C70" s="50">
        <f t="shared" ca="1" si="11"/>
        <v>45789</v>
      </c>
      <c r="D70" s="13">
        <f t="shared" ca="1" si="18"/>
        <v>30</v>
      </c>
      <c r="E70" s="15">
        <f t="shared" ca="1" si="23"/>
        <v>3706159.1560324384</v>
      </c>
      <c r="F70" s="15">
        <f ca="1">IF(AND(A69="",A71=""),"",IF(A70="",SUM($F$25:F69),IF(A70=$D$8,$E$24-SUM($F$25:F69),$F$13-G70)))</f>
        <v>8076.9278885782369</v>
      </c>
      <c r="G70" s="15">
        <f ca="1">IF(A69=$D$8,SUM($G$25:G69),IF(A69&gt;$D$8,"",E69*D70*$D$9/T69))</f>
        <v>30497.439845236408</v>
      </c>
      <c r="H70" s="15">
        <f ca="1">IF(A69=$D$8,SUM($H$25:H69),IF(A69="","",(G70+F70)))</f>
        <v>38574.367733814644</v>
      </c>
      <c r="I70" s="15" t="str">
        <f t="shared" si="19"/>
        <v/>
      </c>
      <c r="J70" s="15" t="str">
        <f t="shared" si="20"/>
        <v/>
      </c>
      <c r="K70" s="15"/>
      <c r="L70" s="15" t="str">
        <f t="shared" si="21"/>
        <v/>
      </c>
      <c r="M70" s="15" t="str">
        <f t="shared" si="22"/>
        <v/>
      </c>
      <c r="N70" s="144" t="str">
        <f t="shared" si="15"/>
        <v/>
      </c>
      <c r="O70" s="15"/>
      <c r="P70" s="52" t="str">
        <f>IF(A69=$D$8,XIRR(R$24:R69,C$24:C69),"")</f>
        <v/>
      </c>
      <c r="Q70" s="15" t="str">
        <f t="shared" si="10"/>
        <v/>
      </c>
      <c r="R70" s="144">
        <f t="shared" ca="1" si="6"/>
        <v>38574.367733814644</v>
      </c>
      <c r="S70" s="168">
        <f t="shared" ca="1" si="7"/>
        <v>2025</v>
      </c>
      <c r="T70" s="168">
        <f t="shared" ca="1" si="8"/>
        <v>365</v>
      </c>
    </row>
    <row r="71" spans="1:20" x14ac:dyDescent="0.35">
      <c r="A71" s="13">
        <f t="shared" si="9"/>
        <v>47</v>
      </c>
      <c r="B71" s="50">
        <f t="shared" ca="1" si="5"/>
        <v>45820</v>
      </c>
      <c r="C71" s="50">
        <f t="shared" ca="1" si="11"/>
        <v>45820</v>
      </c>
      <c r="D71" s="13">
        <f t="shared" ca="1" si="18"/>
        <v>31</v>
      </c>
      <c r="E71" s="15">
        <f t="shared" ca="1" si="23"/>
        <v>3699030.2795049711</v>
      </c>
      <c r="F71" s="15">
        <f ca="1">IF(AND(A70="",A72=""),"",IF(A71="",SUM($F$25:F70),IF(A71=$D$8,$E$24-SUM($F$25:F70),$F$13-G71)))</f>
        <v>7128.8765274670914</v>
      </c>
      <c r="G71" s="15">
        <f ca="1">IF(A70=$D$8,SUM($G$25:G70),IF(A70&gt;$D$8,"",E70*D71*$D$9/T70))</f>
        <v>31445.491206347553</v>
      </c>
      <c r="H71" s="15">
        <f ca="1">IF(A70=$D$8,SUM($H$25:H70),IF(A70="","",(G71+F71)))</f>
        <v>38574.367733814644</v>
      </c>
      <c r="I71" s="15" t="str">
        <f t="shared" si="19"/>
        <v/>
      </c>
      <c r="J71" s="15" t="str">
        <f t="shared" si="20"/>
        <v/>
      </c>
      <c r="K71" s="15"/>
      <c r="L71" s="15" t="str">
        <f t="shared" si="21"/>
        <v/>
      </c>
      <c r="M71" s="15" t="str">
        <f t="shared" si="22"/>
        <v/>
      </c>
      <c r="N71" s="144" t="str">
        <f t="shared" si="15"/>
        <v/>
      </c>
      <c r="O71" s="15"/>
      <c r="P71" s="52" t="str">
        <f>IF(A70=$D$8,XIRR(R$24:R70,C$24:C70),"")</f>
        <v/>
      </c>
      <c r="Q71" s="15" t="str">
        <f t="shared" si="10"/>
        <v/>
      </c>
      <c r="R71" s="144">
        <f t="shared" ca="1" si="6"/>
        <v>38574.367733814644</v>
      </c>
      <c r="S71" s="168">
        <f t="shared" ca="1" si="7"/>
        <v>2025</v>
      </c>
      <c r="T71" s="168">
        <f t="shared" ca="1" si="8"/>
        <v>365</v>
      </c>
    </row>
    <row r="72" spans="1:20" x14ac:dyDescent="0.35">
      <c r="A72" s="13">
        <f t="shared" si="9"/>
        <v>48</v>
      </c>
      <c r="B72" s="50">
        <f t="shared" ca="1" si="5"/>
        <v>45850</v>
      </c>
      <c r="C72" s="50">
        <f t="shared" ca="1" si="11"/>
        <v>45850</v>
      </c>
      <c r="D72" s="13">
        <f t="shared" ca="1" si="18"/>
        <v>30</v>
      </c>
      <c r="E72" s="15">
        <f t="shared" ca="1" si="23"/>
        <v>3690828.497381229</v>
      </c>
      <c r="F72" s="15">
        <f ca="1">IF(AND(A71="",A73=""),"",IF(A72="",SUM($F$25:F71),IF(A72=$D$8,$E$24-SUM($F$25:F71),$F$13-G72)))</f>
        <v>8201.7821237423195</v>
      </c>
      <c r="G72" s="15">
        <f ca="1">IF(A71=$D$8,SUM($G$25:G71),IF(A71&gt;$D$8,"",E71*D72*$D$9/T71))</f>
        <v>30372.585610072325</v>
      </c>
      <c r="H72" s="15">
        <f ca="1">IF(A71=$D$8,SUM($H$25:H71),IF(A71="","",(G72+F72)))</f>
        <v>38574.367733814644</v>
      </c>
      <c r="I72" s="15" t="str">
        <f t="shared" si="19"/>
        <v/>
      </c>
      <c r="J72" s="15" t="str">
        <f t="shared" si="20"/>
        <v/>
      </c>
      <c r="K72" s="15"/>
      <c r="L72" s="15" t="str">
        <f t="shared" si="21"/>
        <v/>
      </c>
      <c r="M72" s="15" t="str">
        <f t="shared" si="22"/>
        <v/>
      </c>
      <c r="N72" s="144" t="str">
        <f t="shared" si="15"/>
        <v/>
      </c>
      <c r="O72" s="15"/>
      <c r="P72" s="52" t="str">
        <f>IF(A71=$D$8,XIRR(R$24:R71,C$24:C71),"")</f>
        <v/>
      </c>
      <c r="Q72" s="15" t="str">
        <f t="shared" si="10"/>
        <v/>
      </c>
      <c r="R72" s="144">
        <f t="shared" ca="1" si="6"/>
        <v>38574.367733814644</v>
      </c>
      <c r="S72" s="168">
        <f t="shared" ca="1" si="7"/>
        <v>2025</v>
      </c>
      <c r="T72" s="168">
        <f t="shared" ca="1" si="8"/>
        <v>365</v>
      </c>
    </row>
    <row r="73" spans="1:20" x14ac:dyDescent="0.35">
      <c r="A73" s="13">
        <f t="shared" si="9"/>
        <v>49</v>
      </c>
      <c r="B73" s="50">
        <f t="shared" ca="1" si="5"/>
        <v>45881</v>
      </c>
      <c r="C73" s="50">
        <f t="shared" ca="1" si="11"/>
        <v>45881</v>
      </c>
      <c r="D73" s="13">
        <f t="shared" ca="1" si="18"/>
        <v>31</v>
      </c>
      <c r="E73" s="15">
        <f t="shared" ca="1" si="23"/>
        <v>3683569.545465332</v>
      </c>
      <c r="F73" s="15">
        <f ca="1">IF(AND(A72="",A74=""),"",IF(A73="",SUM($F$25:F72),IF(A73=$D$8,$E$24-SUM($F$25:F72),$F$13-G73)))</f>
        <v>7258.9519158970324</v>
      </c>
      <c r="G73" s="15">
        <f ca="1">IF(A72=$D$8,SUM($G$25:G72),IF(A72&gt;$D$8,"",E72*D73*$D$9/T72))</f>
        <v>31315.415817917612</v>
      </c>
      <c r="H73" s="15">
        <f ca="1">IF(A72=$D$8,SUM($H$25:H72),IF(A72="","",(G73+F73)))</f>
        <v>38574.367733814644</v>
      </c>
      <c r="I73" s="15" t="str">
        <f t="shared" si="19"/>
        <v/>
      </c>
      <c r="J73" s="15" t="str">
        <f t="shared" si="20"/>
        <v/>
      </c>
      <c r="K73" s="15">
        <f>IF($F$8&gt;48,($O$8+$O$10),IF($A$72=$F$8,$K$37+$K$24+$K$49+$K$61,""))</f>
        <v>17142.858</v>
      </c>
      <c r="L73" s="15" t="str">
        <f t="shared" si="21"/>
        <v/>
      </c>
      <c r="M73" s="15" t="str">
        <f t="shared" si="22"/>
        <v/>
      </c>
      <c r="N73" s="15">
        <f>IF($F$8&gt;48,($N$14),IF(A72=$F$8,N61+N49+N37+N24,""))</f>
        <v>2500</v>
      </c>
      <c r="O73" s="15"/>
      <c r="P73" s="52" t="str">
        <f>IF(A72=$D$8,XIRR(R$24:R72,C$24:C72),"")</f>
        <v/>
      </c>
      <c r="Q73" s="15" t="str">
        <f t="shared" si="10"/>
        <v/>
      </c>
      <c r="R73" s="144">
        <f t="shared" ca="1" si="6"/>
        <v>58217.225733814645</v>
      </c>
      <c r="S73" s="168">
        <f t="shared" ca="1" si="7"/>
        <v>2025</v>
      </c>
      <c r="T73" s="168">
        <f t="shared" ca="1" si="8"/>
        <v>365</v>
      </c>
    </row>
    <row r="74" spans="1:20" x14ac:dyDescent="0.35">
      <c r="A74" s="13">
        <f t="shared" si="9"/>
        <v>50</v>
      </c>
      <c r="B74" s="50">
        <f t="shared" ca="1" si="5"/>
        <v>45912</v>
      </c>
      <c r="C74" s="50">
        <f t="shared" ca="1" si="11"/>
        <v>45912</v>
      </c>
      <c r="D74" s="13">
        <f t="shared" ca="1" si="18"/>
        <v>31</v>
      </c>
      <c r="E74" s="15">
        <f t="shared" ca="1" si="23"/>
        <v>3676249.0038283709</v>
      </c>
      <c r="F74" s="15">
        <f ca="1">IF(AND(A73="",A75=""),"",IF(A74="",SUM($F$25:F73),IF(A74=$D$8,$E$24-SUM($F$25:F73),$F$13-G74)))</f>
        <v>7320.5416369609848</v>
      </c>
      <c r="G74" s="15">
        <f ca="1">IF(A73=$D$8,SUM($G$25:G73),IF(A73&gt;$D$8,"",E73*D74*$D$9/T73))</f>
        <v>31253.82609685366</v>
      </c>
      <c r="H74" s="15">
        <f ca="1">IF(A73=$D$8,SUM($H$25:H73),IF(A73="","",(G74+F74)))</f>
        <v>38574.367733814644</v>
      </c>
      <c r="I74" s="15" t="str">
        <f t="shared" si="19"/>
        <v/>
      </c>
      <c r="J74" s="15" t="str">
        <f t="shared" si="20"/>
        <v/>
      </c>
      <c r="K74" s="15"/>
      <c r="L74" s="15" t="str">
        <f t="shared" si="21"/>
        <v/>
      </c>
      <c r="M74" s="15" t="str">
        <f t="shared" si="22"/>
        <v/>
      </c>
      <c r="N74" s="144" t="str">
        <f t="shared" si="15"/>
        <v/>
      </c>
      <c r="O74" s="15"/>
      <c r="P74" s="52" t="str">
        <f>IF(A73=$D$8,XIRR(R$24:R73,C$24:C73),"")</f>
        <v/>
      </c>
      <c r="Q74" s="15" t="str">
        <f t="shared" si="10"/>
        <v/>
      </c>
      <c r="R74" s="144">
        <f t="shared" ca="1" si="6"/>
        <v>38574.367733814644</v>
      </c>
      <c r="S74" s="168">
        <f t="shared" ca="1" si="7"/>
        <v>2025</v>
      </c>
      <c r="T74" s="168">
        <f t="shared" ca="1" si="8"/>
        <v>365</v>
      </c>
    </row>
    <row r="75" spans="1:20" x14ac:dyDescent="0.35">
      <c r="A75" s="13">
        <f t="shared" si="9"/>
        <v>51</v>
      </c>
      <c r="B75" s="50">
        <f t="shared" ca="1" si="5"/>
        <v>45942</v>
      </c>
      <c r="C75" s="50">
        <f t="shared" ca="1" si="11"/>
        <v>45942</v>
      </c>
      <c r="D75" s="13">
        <f t="shared" ca="1" si="18"/>
        <v>30</v>
      </c>
      <c r="E75" s="15">
        <f t="shared" ca="1" si="23"/>
        <v>3667860.1655862648</v>
      </c>
      <c r="F75" s="15">
        <f ca="1">IF(AND(A74="",A76=""),"",IF(A75="",SUM($F$25:F74),IF(A75=$D$8,$E$24-SUM($F$25:F74),$F$13-G75)))</f>
        <v>8388.8382421060742</v>
      </c>
      <c r="G75" s="15">
        <f ca="1">IF(A74=$D$8,SUM($G$25:G74),IF(A74&gt;$D$8,"",E74*D75*$D$9/T74))</f>
        <v>30185.52949170857</v>
      </c>
      <c r="H75" s="15">
        <f ca="1">IF(A74=$D$8,SUM($H$25:H74),IF(A74="","",(G75+F75)))</f>
        <v>38574.367733814644</v>
      </c>
      <c r="I75" s="15" t="str">
        <f t="shared" si="19"/>
        <v/>
      </c>
      <c r="J75" s="15" t="str">
        <f t="shared" si="20"/>
        <v/>
      </c>
      <c r="K75" s="15"/>
      <c r="L75" s="15" t="str">
        <f t="shared" si="21"/>
        <v/>
      </c>
      <c r="M75" s="15" t="str">
        <f t="shared" si="22"/>
        <v/>
      </c>
      <c r="N75" s="144" t="str">
        <f t="shared" si="15"/>
        <v/>
      </c>
      <c r="O75" s="15"/>
      <c r="P75" s="52" t="str">
        <f>IF(A74=$D$8,XIRR(R$24:R74,C$24:C74),"")</f>
        <v/>
      </c>
      <c r="Q75" s="15" t="str">
        <f t="shared" si="10"/>
        <v/>
      </c>
      <c r="R75" s="144">
        <f t="shared" ca="1" si="6"/>
        <v>38574.367733814644</v>
      </c>
      <c r="S75" s="168">
        <f t="shared" ca="1" si="7"/>
        <v>2025</v>
      </c>
      <c r="T75" s="168">
        <f t="shared" ca="1" si="8"/>
        <v>365</v>
      </c>
    </row>
    <row r="76" spans="1:20" x14ac:dyDescent="0.35">
      <c r="A76" s="13">
        <f t="shared" si="9"/>
        <v>52</v>
      </c>
      <c r="B76" s="50">
        <f t="shared" ca="1" si="5"/>
        <v>45973</v>
      </c>
      <c r="C76" s="50">
        <f t="shared" ca="1" si="11"/>
        <v>45973</v>
      </c>
      <c r="D76" s="13">
        <f t="shared" ca="1" si="18"/>
        <v>31</v>
      </c>
      <c r="E76" s="15">
        <f t="shared" ca="1" si="23"/>
        <v>3660406.3352409545</v>
      </c>
      <c r="F76" s="15">
        <f ca="1">IF(AND(A75="",A77=""),"",IF(A76="",SUM($F$25:F75),IF(A76=$D$8,$E$24-SUM($F$25:F75),$F$13-G76)))</f>
        <v>7453.8303453102526</v>
      </c>
      <c r="G76" s="15">
        <f ca="1">IF(A75=$D$8,SUM($G$25:G75),IF(A75&gt;$D$8,"",E75*D76*$D$9/T75))</f>
        <v>31120.537388504392</v>
      </c>
      <c r="H76" s="15">
        <f ca="1">IF(A75=$D$8,SUM($H$25:H75),IF(A75="","",(G76+F76)))</f>
        <v>38574.367733814644</v>
      </c>
      <c r="I76" s="15" t="str">
        <f t="shared" si="19"/>
        <v/>
      </c>
      <c r="J76" s="15" t="str">
        <f t="shared" si="20"/>
        <v/>
      </c>
      <c r="K76" s="15"/>
      <c r="L76" s="15" t="str">
        <f t="shared" si="21"/>
        <v/>
      </c>
      <c r="M76" s="15" t="str">
        <f t="shared" si="22"/>
        <v/>
      </c>
      <c r="N76" s="144" t="str">
        <f t="shared" si="15"/>
        <v/>
      </c>
      <c r="O76" s="15"/>
      <c r="P76" s="52" t="str">
        <f>IF(A75=$D$8,XIRR(R$24:R75,C$24:C75),"")</f>
        <v/>
      </c>
      <c r="Q76" s="15" t="str">
        <f t="shared" si="10"/>
        <v/>
      </c>
      <c r="R76" s="144">
        <f t="shared" ca="1" si="6"/>
        <v>38574.367733814644</v>
      </c>
      <c r="S76" s="168">
        <f t="shared" ca="1" si="7"/>
        <v>2025</v>
      </c>
      <c r="T76" s="168">
        <f t="shared" ca="1" si="8"/>
        <v>365</v>
      </c>
    </row>
    <row r="77" spans="1:20" x14ac:dyDescent="0.35">
      <c r="A77" s="13">
        <f t="shared" si="9"/>
        <v>53</v>
      </c>
      <c r="B77" s="50">
        <f t="shared" ca="1" si="5"/>
        <v>46003</v>
      </c>
      <c r="C77" s="50">
        <f t="shared" ca="1" si="11"/>
        <v>46003</v>
      </c>
      <c r="D77" s="13">
        <f t="shared" ca="1" si="18"/>
        <v>30</v>
      </c>
      <c r="E77" s="15">
        <f t="shared" ca="1" si="23"/>
        <v>3651887.4134981455</v>
      </c>
      <c r="F77" s="15">
        <f ca="1">IF(AND(A76="",A78=""),"",IF(A77="",SUM($F$25:F76),IF(A77=$D$8,$E$24-SUM($F$25:F76),$F$13-G77)))</f>
        <v>8518.9217428087795</v>
      </c>
      <c r="G77" s="15">
        <f ca="1">IF(A76=$D$8,SUM($G$25:G76),IF(A76&gt;$D$8,"",E76*D77*$D$9/T76))</f>
        <v>30055.445991005865</v>
      </c>
      <c r="H77" s="15">
        <f ca="1">IF(A76=$D$8,SUM($H$25:H76),IF(A76="","",(G77+F77)))</f>
        <v>38574.367733814644</v>
      </c>
      <c r="I77" s="15" t="str">
        <f t="shared" si="19"/>
        <v/>
      </c>
      <c r="J77" s="15" t="str">
        <f t="shared" si="20"/>
        <v/>
      </c>
      <c r="K77" s="15"/>
      <c r="L77" s="15" t="str">
        <f t="shared" si="21"/>
        <v/>
      </c>
      <c r="M77" s="15" t="str">
        <f t="shared" si="22"/>
        <v/>
      </c>
      <c r="N77" s="144" t="str">
        <f t="shared" si="15"/>
        <v/>
      </c>
      <c r="O77" s="15"/>
      <c r="P77" s="52" t="str">
        <f>IF(A76=$D$8,XIRR(R$24:R76,C$24:C76),"")</f>
        <v/>
      </c>
      <c r="Q77" s="15" t="str">
        <f t="shared" si="10"/>
        <v/>
      </c>
      <c r="R77" s="144">
        <f t="shared" ca="1" si="6"/>
        <v>38574.367733814644</v>
      </c>
      <c r="S77" s="168">
        <f t="shared" ca="1" si="7"/>
        <v>2025</v>
      </c>
      <c r="T77" s="168">
        <f t="shared" ca="1" si="8"/>
        <v>365</v>
      </c>
    </row>
    <row r="78" spans="1:20" x14ac:dyDescent="0.35">
      <c r="A78" s="13">
        <f t="shared" si="9"/>
        <v>54</v>
      </c>
      <c r="B78" s="50">
        <f t="shared" ca="1" si="5"/>
        <v>46034</v>
      </c>
      <c r="C78" s="50">
        <f t="shared" ca="1" si="11"/>
        <v>46034</v>
      </c>
      <c r="D78" s="13">
        <f t="shared" ca="1" si="18"/>
        <v>31</v>
      </c>
      <c r="E78" s="15">
        <f t="shared" ca="1" si="23"/>
        <v>3644298.0598214883</v>
      </c>
      <c r="F78" s="15">
        <f ca="1">IF(AND(A77="",A79=""),"",IF(A78="",SUM($F$25:F77),IF(A78=$D$8,$E$24-SUM($F$25:F77),$F$13-G78)))</f>
        <v>7589.3536766573634</v>
      </c>
      <c r="G78" s="15">
        <f ca="1">IF(A77=$D$8,SUM($G$25:G77),IF(A77&gt;$D$8,"",E77*D78*$D$9/T77))</f>
        <v>30985.014057157281</v>
      </c>
      <c r="H78" s="15">
        <f ca="1">IF(A77=$D$8,SUM($H$25:H77),IF(A77="","",(G78+F78)))</f>
        <v>38574.367733814644</v>
      </c>
      <c r="I78" s="15" t="str">
        <f t="shared" si="19"/>
        <v/>
      </c>
      <c r="J78" s="15" t="str">
        <f t="shared" si="20"/>
        <v/>
      </c>
      <c r="K78" s="15"/>
      <c r="L78" s="15" t="str">
        <f t="shared" si="21"/>
        <v/>
      </c>
      <c r="M78" s="15" t="str">
        <f t="shared" si="22"/>
        <v/>
      </c>
      <c r="N78" s="144" t="str">
        <f t="shared" si="15"/>
        <v/>
      </c>
      <c r="O78" s="15"/>
      <c r="P78" s="52" t="str">
        <f>IF(A77=$D$8,XIRR(R$24:R77,C$24:C77),"")</f>
        <v/>
      </c>
      <c r="Q78" s="15" t="str">
        <f t="shared" si="10"/>
        <v/>
      </c>
      <c r="R78" s="144">
        <f t="shared" ca="1" si="6"/>
        <v>38574.367733814644</v>
      </c>
      <c r="S78" s="168">
        <f t="shared" ca="1" si="7"/>
        <v>2026</v>
      </c>
      <c r="T78" s="168">
        <f t="shared" ca="1" si="8"/>
        <v>365</v>
      </c>
    </row>
    <row r="79" spans="1:20" x14ac:dyDescent="0.35">
      <c r="A79" s="13">
        <f t="shared" si="9"/>
        <v>55</v>
      </c>
      <c r="B79" s="50">
        <f t="shared" ca="1" si="5"/>
        <v>46065</v>
      </c>
      <c r="C79" s="50">
        <f t="shared" ca="1" si="11"/>
        <v>46065</v>
      </c>
      <c r="D79" s="13">
        <f t="shared" ca="1" si="18"/>
        <v>31</v>
      </c>
      <c r="E79" s="15">
        <f t="shared" ca="1" si="23"/>
        <v>3636644.3130779783</v>
      </c>
      <c r="F79" s="15">
        <f ca="1">IF(AND(A78="",A80=""),"",IF(A79="",SUM($F$25:F78),IF(A79=$D$8,$E$24-SUM($F$25:F78),$F$13-G79)))</f>
        <v>7653.7467435100771</v>
      </c>
      <c r="G79" s="15">
        <f ca="1">IF(A78=$D$8,SUM($G$25:G78),IF(A78&gt;$D$8,"",E78*D79*$D$9/T78))</f>
        <v>30920.620990304567</v>
      </c>
      <c r="H79" s="15">
        <f ca="1">IF(A78=$D$8,SUM($H$25:H78),IF(A78="","",(G79+F79)))</f>
        <v>38574.367733814644</v>
      </c>
      <c r="I79" s="15" t="str">
        <f t="shared" si="19"/>
        <v/>
      </c>
      <c r="J79" s="15" t="str">
        <f t="shared" si="20"/>
        <v/>
      </c>
      <c r="K79" s="15"/>
      <c r="L79" s="15" t="str">
        <f t="shared" si="21"/>
        <v/>
      </c>
      <c r="M79" s="15" t="str">
        <f t="shared" si="22"/>
        <v/>
      </c>
      <c r="N79" s="144" t="str">
        <f t="shared" si="15"/>
        <v/>
      </c>
      <c r="O79" s="15"/>
      <c r="P79" s="52" t="str">
        <f>IF(A78=$D$8,XIRR(R$24:R78,C$24:C78),"")</f>
        <v/>
      </c>
      <c r="Q79" s="15" t="str">
        <f t="shared" si="10"/>
        <v/>
      </c>
      <c r="R79" s="144">
        <f t="shared" ca="1" si="6"/>
        <v>38574.367733814644</v>
      </c>
      <c r="S79" s="168">
        <f t="shared" ca="1" si="7"/>
        <v>2026</v>
      </c>
      <c r="T79" s="168">
        <f t="shared" ca="1" si="8"/>
        <v>365</v>
      </c>
    </row>
    <row r="80" spans="1:20" x14ac:dyDescent="0.35">
      <c r="A80" s="13">
        <f t="shared" si="9"/>
        <v>56</v>
      </c>
      <c r="B80" s="50">
        <f t="shared" ca="1" si="5"/>
        <v>46093</v>
      </c>
      <c r="C80" s="50">
        <f t="shared" ca="1" si="11"/>
        <v>46093</v>
      </c>
      <c r="D80" s="13">
        <f t="shared" ca="1" si="18"/>
        <v>28</v>
      </c>
      <c r="E80" s="15">
        <f t="shared" ca="1" si="23"/>
        <v>3625939.5932141412</v>
      </c>
      <c r="F80" s="15">
        <f ca="1">IF(AND(A79="",A81=""),"",IF(A80="",SUM($F$25:F79),IF(A80=$D$8,$E$24-SUM($F$25:F79),$F$13-G80)))</f>
        <v>10704.719863837327</v>
      </c>
      <c r="G80" s="15">
        <f ca="1">IF(A79=$D$8,SUM($G$25:G79),IF(A79&gt;$D$8,"",E79*D80*$D$9/T79))</f>
        <v>27869.647869977318</v>
      </c>
      <c r="H80" s="15">
        <f ca="1">IF(A79=$D$8,SUM($H$25:H79),IF(A79="","",(G80+F80)))</f>
        <v>38574.367733814644</v>
      </c>
      <c r="I80" s="15" t="str">
        <f t="shared" si="19"/>
        <v/>
      </c>
      <c r="J80" s="15" t="str">
        <f t="shared" si="20"/>
        <v/>
      </c>
      <c r="K80" s="15"/>
      <c r="L80" s="15" t="str">
        <f t="shared" si="21"/>
        <v/>
      </c>
      <c r="M80" s="15" t="str">
        <f t="shared" si="22"/>
        <v/>
      </c>
      <c r="N80" s="144" t="str">
        <f t="shared" si="15"/>
        <v/>
      </c>
      <c r="O80" s="15"/>
      <c r="P80" s="52" t="str">
        <f>IF(A79=$D$8,XIRR(R$24:R79,C$24:C79),"")</f>
        <v/>
      </c>
      <c r="Q80" s="15" t="str">
        <f t="shared" si="10"/>
        <v/>
      </c>
      <c r="R80" s="144">
        <f t="shared" ca="1" si="6"/>
        <v>38574.367733814644</v>
      </c>
      <c r="S80" s="168">
        <f t="shared" ca="1" si="7"/>
        <v>2026</v>
      </c>
      <c r="T80" s="168">
        <f t="shared" ca="1" si="8"/>
        <v>365</v>
      </c>
    </row>
    <row r="81" spans="1:21" x14ac:dyDescent="0.35">
      <c r="A81" s="13">
        <f t="shared" si="9"/>
        <v>57</v>
      </c>
      <c r="B81" s="50">
        <f t="shared" ca="1" si="5"/>
        <v>46124</v>
      </c>
      <c r="C81" s="50">
        <f t="shared" ca="1" si="11"/>
        <v>46124</v>
      </c>
      <c r="D81" s="13">
        <f t="shared" ca="1" si="18"/>
        <v>31</v>
      </c>
      <c r="E81" s="15">
        <f t="shared" ca="1" si="23"/>
        <v>3618130.0811686139</v>
      </c>
      <c r="F81" s="15">
        <f ca="1">IF(AND(A80="",A82=""),"",IF(A81="",SUM($F$25:F80),IF(A81=$D$8,$E$24-SUM($F$25:F80),$F$13-G81)))</f>
        <v>7809.5120455273172</v>
      </c>
      <c r="G81" s="15">
        <f ca="1">IF(A80=$D$8,SUM($G$25:G80),IF(A80&gt;$D$8,"",E80*D81*$D$9/T80))</f>
        <v>30764.855688287327</v>
      </c>
      <c r="H81" s="15">
        <f ca="1">IF(A80=$D$8,SUM($H$25:H80),IF(A80="","",(G81+F81)))</f>
        <v>38574.367733814644</v>
      </c>
      <c r="I81" s="15" t="str">
        <f t="shared" si="19"/>
        <v/>
      </c>
      <c r="J81" s="15" t="str">
        <f t="shared" si="20"/>
        <v/>
      </c>
      <c r="K81" s="15"/>
      <c r="L81" s="15" t="str">
        <f t="shared" si="21"/>
        <v/>
      </c>
      <c r="M81" s="15" t="str">
        <f t="shared" si="22"/>
        <v/>
      </c>
      <c r="N81" s="144" t="str">
        <f t="shared" si="15"/>
        <v/>
      </c>
      <c r="O81" s="15"/>
      <c r="P81" s="52" t="str">
        <f>IF(A80=$D$8,XIRR(R$24:R80,C$24:C80),"")</f>
        <v/>
      </c>
      <c r="Q81" s="15" t="str">
        <f t="shared" si="10"/>
        <v/>
      </c>
      <c r="R81" s="144">
        <f t="shared" ca="1" si="6"/>
        <v>38574.367733814644</v>
      </c>
      <c r="S81" s="168">
        <f t="shared" ca="1" si="7"/>
        <v>2026</v>
      </c>
      <c r="T81" s="168">
        <f t="shared" ca="1" si="8"/>
        <v>365</v>
      </c>
    </row>
    <row r="82" spans="1:21" x14ac:dyDescent="0.35">
      <c r="A82" s="13">
        <f t="shared" si="9"/>
        <v>58</v>
      </c>
      <c r="B82" s="50">
        <f t="shared" ca="1" si="5"/>
        <v>46154</v>
      </c>
      <c r="C82" s="50">
        <f t="shared" ca="1" si="11"/>
        <v>46154</v>
      </c>
      <c r="D82" s="13">
        <f t="shared" ca="1" si="18"/>
        <v>30</v>
      </c>
      <c r="E82" s="15">
        <f t="shared" ca="1" si="23"/>
        <v>3609264.0308409976</v>
      </c>
      <c r="F82" s="15">
        <f ca="1">IF(AND(A81="",A83=""),"",IF(A82="",SUM($F$25:F81),IF(A82=$D$8,$E$24-SUM($F$25:F81),$F$13-G82)))</f>
        <v>8866.0503276164673</v>
      </c>
      <c r="G82" s="15">
        <f ca="1">IF(A81=$D$8,SUM($G$25:G81),IF(A81&gt;$D$8,"",E81*D82*$D$9/T81))</f>
        <v>29708.317406198177</v>
      </c>
      <c r="H82" s="15">
        <f ca="1">IF(A81=$D$8,SUM($H$25:H81),IF(A81="","",(G82+F82)))</f>
        <v>38574.367733814644</v>
      </c>
      <c r="I82" s="15" t="str">
        <f t="shared" si="19"/>
        <v/>
      </c>
      <c r="J82" s="15" t="str">
        <f t="shared" si="20"/>
        <v/>
      </c>
      <c r="K82" s="15"/>
      <c r="L82" s="15" t="str">
        <f t="shared" si="21"/>
        <v/>
      </c>
      <c r="M82" s="15" t="str">
        <f t="shared" si="22"/>
        <v/>
      </c>
      <c r="N82" s="144" t="str">
        <f t="shared" si="15"/>
        <v/>
      </c>
      <c r="O82" s="15"/>
      <c r="P82" s="52" t="str">
        <f>IF(A81=$D$8,XIRR(R$24:R81,C$24:C81),"")</f>
        <v/>
      </c>
      <c r="Q82" s="15" t="str">
        <f t="shared" si="10"/>
        <v/>
      </c>
      <c r="R82" s="144">
        <f t="shared" ca="1" si="6"/>
        <v>38574.367733814644</v>
      </c>
      <c r="S82" s="168">
        <f t="shared" ca="1" si="7"/>
        <v>2026</v>
      </c>
      <c r="T82" s="168">
        <f t="shared" ca="1" si="8"/>
        <v>365</v>
      </c>
    </row>
    <row r="83" spans="1:21" x14ac:dyDescent="0.35">
      <c r="A83" s="13">
        <f t="shared" si="9"/>
        <v>59</v>
      </c>
      <c r="B83" s="50">
        <f t="shared" ca="1" si="5"/>
        <v>46185</v>
      </c>
      <c r="C83" s="50">
        <f t="shared" ca="1" si="11"/>
        <v>46185</v>
      </c>
      <c r="D83" s="13">
        <f t="shared" ca="1" si="18"/>
        <v>31</v>
      </c>
      <c r="E83" s="15">
        <f t="shared" ca="1" si="23"/>
        <v>3601313.0323595433</v>
      </c>
      <c r="F83" s="15">
        <f ca="1">IF(AND(A82="",A84=""),"",IF(A83="",SUM($F$25:F82),IF(A83=$D$8,$E$24-SUM($F$25:F82),$F$13-G83)))</f>
        <v>7950.9984814544114</v>
      </c>
      <c r="G83" s="15">
        <f ca="1">IF(A82=$D$8,SUM($G$25:G82),IF(A82&gt;$D$8,"",E82*D83*$D$9/T82))</f>
        <v>30623.369252360233</v>
      </c>
      <c r="H83" s="15">
        <f ca="1">IF(A82=$D$8,SUM($H$25:H82),IF(A82="","",(G83+F83)))</f>
        <v>38574.367733814644</v>
      </c>
      <c r="I83" s="15" t="str">
        <f t="shared" si="19"/>
        <v/>
      </c>
      <c r="J83" s="15" t="str">
        <f t="shared" si="20"/>
        <v/>
      </c>
      <c r="K83" s="15"/>
      <c r="L83" s="15" t="str">
        <f t="shared" si="21"/>
        <v/>
      </c>
      <c r="M83" s="15" t="str">
        <f t="shared" si="22"/>
        <v/>
      </c>
      <c r="N83" s="144" t="str">
        <f t="shared" si="15"/>
        <v/>
      </c>
      <c r="O83" s="15"/>
      <c r="P83" s="52" t="str">
        <f>IF(A82=$D$8,XIRR(R$24:R82,C$24:C82),"")</f>
        <v/>
      </c>
      <c r="Q83" s="15" t="str">
        <f t="shared" si="10"/>
        <v/>
      </c>
      <c r="R83" s="144">
        <f t="shared" ca="1" si="6"/>
        <v>38574.367733814644</v>
      </c>
      <c r="S83" s="168">
        <f t="shared" ca="1" si="7"/>
        <v>2026</v>
      </c>
      <c r="T83" s="168">
        <f t="shared" ca="1" si="8"/>
        <v>365</v>
      </c>
    </row>
    <row r="84" spans="1:21" x14ac:dyDescent="0.35">
      <c r="A84" s="13">
        <f t="shared" si="9"/>
        <v>60</v>
      </c>
      <c r="B84" s="50">
        <f t="shared" ca="1" si="5"/>
        <v>46215</v>
      </c>
      <c r="C84" s="50">
        <f t="shared" ca="1" si="11"/>
        <v>46215</v>
      </c>
      <c r="D84" s="13">
        <f t="shared" ca="1" si="18"/>
        <v>30</v>
      </c>
      <c r="E84" s="15">
        <f t="shared" ca="1" si="23"/>
        <v>3592308.8979352671</v>
      </c>
      <c r="F84" s="15">
        <f ca="1">IF(AND(A83="",A85=""),"",IF(A84="",SUM($F$25:F83),IF(A84=$D$8,$E$24-SUM($F$25:F83),$F$13-G84)))</f>
        <v>9004.1344242761443</v>
      </c>
      <c r="G84" s="15">
        <f ca="1">IF(A83=$D$8,SUM($G$25:G83),IF(A83&gt;$D$8,"",E83*D84*$D$9/T83))</f>
        <v>29570.2333095385</v>
      </c>
      <c r="H84" s="15">
        <f ca="1">IF(A83=$D$8,SUM($H$25:H83),IF(A83="","",(G84+F84)))</f>
        <v>38574.367733814644</v>
      </c>
      <c r="I84" s="15" t="str">
        <f t="shared" si="19"/>
        <v/>
      </c>
      <c r="J84" s="15" t="str">
        <f t="shared" si="20"/>
        <v/>
      </c>
      <c r="K84" s="15"/>
      <c r="L84" s="15" t="str">
        <f t="shared" si="21"/>
        <v/>
      </c>
      <c r="M84" s="15" t="str">
        <f t="shared" si="22"/>
        <v/>
      </c>
      <c r="N84" s="144" t="str">
        <f t="shared" si="15"/>
        <v/>
      </c>
      <c r="O84" s="15"/>
      <c r="P84" s="52" t="str">
        <f>IF(A83=$D$8,XIRR(R$24:R83,C$24:C83),"")</f>
        <v/>
      </c>
      <c r="Q84" s="15" t="str">
        <f t="shared" si="10"/>
        <v/>
      </c>
      <c r="R84" s="144">
        <f t="shared" ca="1" si="6"/>
        <v>38574.367733814644</v>
      </c>
      <c r="S84" s="168">
        <f t="shared" ca="1" si="7"/>
        <v>2026</v>
      </c>
      <c r="T84" s="168">
        <f t="shared" ca="1" si="8"/>
        <v>365</v>
      </c>
    </row>
    <row r="85" spans="1:21" x14ac:dyDescent="0.35">
      <c r="A85" s="13">
        <f t="shared" si="9"/>
        <v>61</v>
      </c>
      <c r="B85" s="50">
        <f t="shared" ca="1" si="5"/>
        <v>46246</v>
      </c>
      <c r="C85" s="50">
        <f t="shared" ca="1" si="11"/>
        <v>46246</v>
      </c>
      <c r="D85" s="13">
        <f t="shared" ca="1" si="18"/>
        <v>31</v>
      </c>
      <c r="E85" s="15">
        <f t="shared" ca="1" si="23"/>
        <v>3585119.0893934141</v>
      </c>
      <c r="F85" s="15">
        <f ca="1">IF(AND(A84="",A86=""),"",IF(A85="",SUM($F$25:F84),IF(A85=$D$8,$E$24-SUM($F$25:F84),$F$21-G85)))</f>
        <v>7189.8085418529809</v>
      </c>
      <c r="G85" s="15">
        <f ca="1">IF(A84=$D$8,SUM($G$25:G84),IF(A84&gt;$D$8,"",E84*D85*$F$18/T84))</f>
        <v>33866.123062452752</v>
      </c>
      <c r="H85" s="15">
        <f ca="1">IF(A84=$D$8,SUM($H$25:H84),IF(A84="","",(G85+F85)))</f>
        <v>41055.931604305733</v>
      </c>
      <c r="I85" s="210" t="str">
        <f t="shared" si="19"/>
        <v/>
      </c>
      <c r="J85" s="210" t="str">
        <f t="shared" si="20"/>
        <v/>
      </c>
      <c r="K85" s="15">
        <f>IF($F$8&gt;60,($O$8+$O$10),IF($A$84=$F$8,$K$37+$K$24+$K$49+$K$61+$K$73,""))</f>
        <v>17142.858</v>
      </c>
      <c r="L85" s="210" t="str">
        <f t="shared" si="21"/>
        <v/>
      </c>
      <c r="M85" s="210" t="str">
        <f t="shared" si="22"/>
        <v/>
      </c>
      <c r="N85" s="15">
        <f>IF($F$8&gt;60,($N$14),IF(A84=$F$8,N73+N61+N49+N37+N24,""))</f>
        <v>2500</v>
      </c>
      <c r="O85" s="210"/>
      <c r="P85" s="52" t="str">
        <f>IF(A84=$D$8,XIRR(R$24:R84,C$24:C84),"")</f>
        <v/>
      </c>
      <c r="Q85" s="210" t="str">
        <f t="shared" si="10"/>
        <v/>
      </c>
      <c r="R85" s="144">
        <f t="shared" ca="1" si="6"/>
        <v>60698.789604305734</v>
      </c>
      <c r="S85" s="168">
        <f t="shared" ca="1" si="7"/>
        <v>2026</v>
      </c>
      <c r="T85" s="168">
        <f t="shared" ca="1" si="8"/>
        <v>365</v>
      </c>
      <c r="U85" s="56"/>
    </row>
    <row r="86" spans="1:21" x14ac:dyDescent="0.35">
      <c r="A86" s="13">
        <f t="shared" si="9"/>
        <v>62</v>
      </c>
      <c r="B86" s="50">
        <f t="shared" ca="1" si="5"/>
        <v>46277</v>
      </c>
      <c r="C86" s="50">
        <f t="shared" ca="1" si="11"/>
        <v>46277</v>
      </c>
      <c r="D86" s="13">
        <f t="shared" ca="1" si="18"/>
        <v>31</v>
      </c>
      <c r="E86" s="15">
        <f t="shared" ca="1" si="23"/>
        <v>3577861.4996702117</v>
      </c>
      <c r="F86" s="15">
        <f ca="1">IF(AND(A85="",A87=""),"",IF(A86="",SUM($F$25:F85),IF(A86=$D$8,$E$24-SUM($F$25:F85),$F$21-G86)))</f>
        <v>7257.5897232023417</v>
      </c>
      <c r="G86" s="15">
        <f ca="1">IF(A85=$D$8,SUM($G$25:G85),IF(A85&gt;$D$8,"",E85*D86*$F$18/T85))</f>
        <v>33798.341881103392</v>
      </c>
      <c r="H86" s="15">
        <f ca="1">IF(A85=$D$8,SUM($H$25:H85),IF(A85="","",(G86+F86)))</f>
        <v>41055.931604305733</v>
      </c>
      <c r="I86" s="15" t="str">
        <f t="shared" si="19"/>
        <v/>
      </c>
      <c r="J86" s="15" t="str">
        <f t="shared" si="20"/>
        <v/>
      </c>
      <c r="K86" s="15"/>
      <c r="L86" s="15" t="str">
        <f t="shared" si="21"/>
        <v/>
      </c>
      <c r="M86" s="15" t="str">
        <f t="shared" si="22"/>
        <v/>
      </c>
      <c r="N86" s="144" t="str">
        <f t="shared" si="15"/>
        <v/>
      </c>
      <c r="O86" s="15"/>
      <c r="P86" s="52" t="str">
        <f>IF(A85=$D$8,XIRR(R$24:R85,C$24:C85),"")</f>
        <v/>
      </c>
      <c r="Q86" s="15" t="str">
        <f t="shared" si="10"/>
        <v/>
      </c>
      <c r="R86" s="144">
        <f t="shared" ca="1" si="6"/>
        <v>41055.931604305733</v>
      </c>
      <c r="S86" s="168">
        <f t="shared" ca="1" si="7"/>
        <v>2026</v>
      </c>
      <c r="T86" s="168">
        <f t="shared" ca="1" si="8"/>
        <v>365</v>
      </c>
    </row>
    <row r="87" spans="1:21" x14ac:dyDescent="0.35">
      <c r="A87" s="13">
        <f t="shared" si="9"/>
        <v>63</v>
      </c>
      <c r="B87" s="50">
        <f t="shared" ca="1" si="5"/>
        <v>46307</v>
      </c>
      <c r="C87" s="50">
        <f t="shared" ca="1" si="11"/>
        <v>46307</v>
      </c>
      <c r="D87" s="13">
        <f t="shared" ca="1" si="18"/>
        <v>30</v>
      </c>
      <c r="E87" s="15">
        <f t="shared" ca="1" si="23"/>
        <v>3569447.4277752261</v>
      </c>
      <c r="F87" s="15">
        <f ca="1">IF(AND(A86="",A88=""),"",IF(A87="",SUM($F$25:F86),IF(A87=$D$8,$E$24-SUM($F$25:F86),$F$21-G87)))</f>
        <v>8414.0718949857219</v>
      </c>
      <c r="G87" s="15">
        <f ca="1">IF(A86=$D$8,SUM($G$25:G86),IF(A86&gt;$D$8,"",E86*D87*$F$18/T86))</f>
        <v>32641.859709320011</v>
      </c>
      <c r="H87" s="15">
        <f ca="1">IF(A86=$D$8,SUM($H$25:H86),IF(A86="","",(G87+F87)))</f>
        <v>41055.931604305733</v>
      </c>
      <c r="I87" s="15" t="str">
        <f t="shared" si="19"/>
        <v/>
      </c>
      <c r="J87" s="15" t="str">
        <f t="shared" si="20"/>
        <v/>
      </c>
      <c r="K87" s="15"/>
      <c r="L87" s="15" t="str">
        <f t="shared" si="21"/>
        <v/>
      </c>
      <c r="M87" s="15" t="str">
        <f t="shared" si="22"/>
        <v/>
      </c>
      <c r="N87" s="144" t="str">
        <f t="shared" si="15"/>
        <v/>
      </c>
      <c r="O87" s="15"/>
      <c r="P87" s="52" t="str">
        <f>IF(A86=$D$8,XIRR(R$24:R86,C$24:C86),"")</f>
        <v/>
      </c>
      <c r="Q87" s="15" t="str">
        <f t="shared" si="10"/>
        <v/>
      </c>
      <c r="R87" s="144">
        <f t="shared" ca="1" si="6"/>
        <v>41055.931604305733</v>
      </c>
      <c r="S87" s="168">
        <f t="shared" ca="1" si="7"/>
        <v>2026</v>
      </c>
      <c r="T87" s="168">
        <f t="shared" ca="1" si="8"/>
        <v>365</v>
      </c>
    </row>
    <row r="88" spans="1:21" x14ac:dyDescent="0.35">
      <c r="A88" s="13">
        <f t="shared" si="9"/>
        <v>64</v>
      </c>
      <c r="B88" s="50">
        <f t="shared" ca="1" si="5"/>
        <v>46338</v>
      </c>
      <c r="C88" s="50">
        <f t="shared" ca="1" si="11"/>
        <v>46338</v>
      </c>
      <c r="D88" s="13">
        <f t="shared" ca="1" si="18"/>
        <v>31</v>
      </c>
      <c r="E88" s="15">
        <f t="shared" ca="1" si="23"/>
        <v>3562042.0950722205</v>
      </c>
      <c r="F88" s="15">
        <f ca="1">IF(AND(A87="",A89=""),"",IF(A88="",SUM($F$25:F87),IF(A88=$D$8,$E$24-SUM($F$25:F87),$F$21-G88)))</f>
        <v>7405.332703005588</v>
      </c>
      <c r="G88" s="15">
        <f ca="1">IF(A87=$D$8,SUM($G$25:G87),IF(A87&gt;$D$8,"",E87*D88*$F$18/T87))</f>
        <v>33650.598901300145</v>
      </c>
      <c r="H88" s="15">
        <f ca="1">IF(A87=$D$8,SUM($H$25:H87),IF(A87="","",(G88+F88)))</f>
        <v>41055.931604305733</v>
      </c>
      <c r="I88" s="15" t="str">
        <f t="shared" si="19"/>
        <v/>
      </c>
      <c r="J88" s="15" t="str">
        <f t="shared" si="20"/>
        <v/>
      </c>
      <c r="K88" s="15"/>
      <c r="L88" s="15" t="str">
        <f t="shared" si="21"/>
        <v/>
      </c>
      <c r="M88" s="15" t="str">
        <f t="shared" si="22"/>
        <v/>
      </c>
      <c r="N88" s="144" t="str">
        <f t="shared" si="15"/>
        <v/>
      </c>
      <c r="O88" s="15"/>
      <c r="P88" s="52" t="str">
        <f>IF(A87=$D$8,XIRR(R$24:R87,C$24:C87),"")</f>
        <v/>
      </c>
      <c r="Q88" s="15" t="str">
        <f t="shared" si="10"/>
        <v/>
      </c>
      <c r="R88" s="144">
        <f t="shared" ca="1" si="6"/>
        <v>41055.931604305733</v>
      </c>
      <c r="S88" s="168">
        <f t="shared" ca="1" si="7"/>
        <v>2026</v>
      </c>
      <c r="T88" s="168">
        <f t="shared" ca="1" si="8"/>
        <v>365</v>
      </c>
    </row>
    <row r="89" spans="1:21" x14ac:dyDescent="0.35">
      <c r="A89" s="13">
        <f t="shared" si="9"/>
        <v>65</v>
      </c>
      <c r="B89" s="50">
        <f t="shared" ca="1" si="5"/>
        <v>46368</v>
      </c>
      <c r="C89" s="50">
        <f t="shared" ca="1" si="11"/>
        <v>46368</v>
      </c>
      <c r="D89" s="13">
        <f t="shared" ca="1" si="18"/>
        <v>30</v>
      </c>
      <c r="E89" s="15">
        <f t="shared" ca="1" si="23"/>
        <v>3553483.6981982999</v>
      </c>
      <c r="F89" s="15">
        <f ca="1">IF(AND(A88="",A90=""),"",IF(A89="",SUM($F$25:F88),IF(A89=$D$8,$E$24-SUM($F$25:F88),$F$21-G89)))</f>
        <v>8558.3968739208176</v>
      </c>
      <c r="G89" s="15">
        <f ca="1">IF(A88=$D$8,SUM($G$25:G88),IF(A88&gt;$D$8,"",E88*D89*$F$18/T88))</f>
        <v>32497.534730384916</v>
      </c>
      <c r="H89" s="15">
        <f ca="1">IF(A88=$D$8,SUM($H$25:H88),IF(A88="","",(G89+F89)))</f>
        <v>41055.931604305733</v>
      </c>
      <c r="I89" s="15" t="str">
        <f t="shared" si="19"/>
        <v/>
      </c>
      <c r="J89" s="15" t="str">
        <f t="shared" si="20"/>
        <v/>
      </c>
      <c r="K89" s="15"/>
      <c r="L89" s="15" t="str">
        <f t="shared" si="21"/>
        <v/>
      </c>
      <c r="M89" s="15" t="str">
        <f t="shared" si="22"/>
        <v/>
      </c>
      <c r="N89" s="144" t="str">
        <f t="shared" si="15"/>
        <v/>
      </c>
      <c r="O89" s="15"/>
      <c r="P89" s="52" t="str">
        <f>IF(A88=$D$8,XIRR(R$24:R88,C$24:C88),"")</f>
        <v/>
      </c>
      <c r="Q89" s="15" t="str">
        <f t="shared" si="10"/>
        <v/>
      </c>
      <c r="R89" s="144">
        <f t="shared" ca="1" si="6"/>
        <v>41055.931604305733</v>
      </c>
      <c r="S89" s="168">
        <f t="shared" ca="1" si="7"/>
        <v>2026</v>
      </c>
      <c r="T89" s="168">
        <f t="shared" ca="1" si="8"/>
        <v>365</v>
      </c>
    </row>
    <row r="90" spans="1:21" x14ac:dyDescent="0.35">
      <c r="A90" s="13">
        <f t="shared" si="9"/>
        <v>66</v>
      </c>
      <c r="B90" s="50">
        <f t="shared" ref="B90:B108" ca="1" si="24">EDATE($B$24,A90)</f>
        <v>46399</v>
      </c>
      <c r="C90" s="50">
        <f t="shared" ca="1" si="11"/>
        <v>46399</v>
      </c>
      <c r="D90" s="13">
        <f t="shared" ca="1" si="18"/>
        <v>31</v>
      </c>
      <c r="E90" s="15">
        <f t="shared" ca="1" si="23"/>
        <v>3545927.8690748168</v>
      </c>
      <c r="F90" s="15">
        <f ca="1">IF(AND(A89="",A91=""),"",IF(A90="",SUM($F$25:F89),IF(A90=$D$8,$E$24-SUM($F$25:F89),$F$21-G90)))</f>
        <v>7555.8291234828575</v>
      </c>
      <c r="G90" s="15">
        <f ca="1">IF(A89=$D$8,SUM($G$25:G89),IF(A89&gt;$D$8,"",E89*D90*$F$18/T89))</f>
        <v>33500.102480822876</v>
      </c>
      <c r="H90" s="15">
        <f ca="1">IF(A89=$D$8,SUM($H$25:H89),IF(A89="","",(G90+F90)))</f>
        <v>41055.931604305733</v>
      </c>
      <c r="I90" s="15" t="str">
        <f t="shared" si="19"/>
        <v/>
      </c>
      <c r="J90" s="15" t="str">
        <f t="shared" si="20"/>
        <v/>
      </c>
      <c r="K90" s="15"/>
      <c r="L90" s="15" t="str">
        <f t="shared" si="21"/>
        <v/>
      </c>
      <c r="M90" s="15" t="str">
        <f t="shared" si="22"/>
        <v/>
      </c>
      <c r="N90" s="144" t="str">
        <f t="shared" si="15"/>
        <v/>
      </c>
      <c r="O90" s="15"/>
      <c r="P90" s="52" t="str">
        <f>IF(A89=$D$8,XIRR(R$24:R89,C$24:C89),"")</f>
        <v/>
      </c>
      <c r="Q90" s="15" t="str">
        <f t="shared" si="10"/>
        <v/>
      </c>
      <c r="R90" s="144">
        <f t="shared" ref="R90:R153" ca="1" si="25">SUM(H90:Q90)</f>
        <v>41055.931604305733</v>
      </c>
      <c r="S90" s="168">
        <f t="shared" ref="S90:S153" ca="1" si="26">IF(C90="","",YEAR(C90))</f>
        <v>2027</v>
      </c>
      <c r="T90" s="168">
        <f t="shared" ref="T90:T153" ca="1" si="27">IF(OR(S90=2024,S90=2028,S90=2016,S90=2020,S90=2024,S90=2028,S90=2032,S90=2036,S90=2040),366,365)</f>
        <v>365</v>
      </c>
    </row>
    <row r="91" spans="1:21" x14ac:dyDescent="0.35">
      <c r="A91" s="13">
        <f t="shared" ref="A91:A154" si="28">IF(A90&lt;$D$8,A90+1,"")</f>
        <v>67</v>
      </c>
      <c r="B91" s="50">
        <f t="shared" ca="1" si="24"/>
        <v>46430</v>
      </c>
      <c r="C91" s="50">
        <f t="shared" ca="1" si="11"/>
        <v>46430</v>
      </c>
      <c r="D91" s="13">
        <f t="shared" ca="1" si="18"/>
        <v>31</v>
      </c>
      <c r="E91" s="15">
        <f t="shared" ca="1" si="23"/>
        <v>3538300.8081485559</v>
      </c>
      <c r="F91" s="15">
        <f ca="1">IF(AND(A90="",A92=""),"",IF(A91="",SUM($F$25:F90),IF(A91=$D$8,$E$24-SUM($F$25:F90),$F$21-G91)))</f>
        <v>7627.0609262606813</v>
      </c>
      <c r="G91" s="15">
        <f ca="1">IF(A90=$D$8,SUM($G$25:G90),IF(A90&gt;$D$8,"",E90*D91*$F$18/T90))</f>
        <v>33428.870678045052</v>
      </c>
      <c r="H91" s="15">
        <f ca="1">IF(A90=$D$8,SUM($H$25:H90),IF(A90="","",(G91+F91)))</f>
        <v>41055.931604305733</v>
      </c>
      <c r="I91" s="15" t="str">
        <f t="shared" si="19"/>
        <v/>
      </c>
      <c r="J91" s="15" t="str">
        <f t="shared" si="20"/>
        <v/>
      </c>
      <c r="K91" s="15"/>
      <c r="L91" s="15" t="str">
        <f t="shared" si="21"/>
        <v/>
      </c>
      <c r="M91" s="15" t="str">
        <f t="shared" si="22"/>
        <v/>
      </c>
      <c r="N91" s="144" t="str">
        <f t="shared" si="15"/>
        <v/>
      </c>
      <c r="O91" s="15"/>
      <c r="P91" s="52" t="str">
        <f>IF(A90=$D$8,XIRR(R$24:R90,C$24:C90),"")</f>
        <v/>
      </c>
      <c r="Q91" s="15" t="str">
        <f t="shared" si="10"/>
        <v/>
      </c>
      <c r="R91" s="144">
        <f t="shared" ca="1" si="25"/>
        <v>41055.931604305733</v>
      </c>
      <c r="S91" s="168">
        <f t="shared" ca="1" si="26"/>
        <v>2027</v>
      </c>
      <c r="T91" s="168">
        <f t="shared" ca="1" si="27"/>
        <v>365</v>
      </c>
    </row>
    <row r="92" spans="1:21" x14ac:dyDescent="0.35">
      <c r="A92" s="13">
        <f t="shared" si="28"/>
        <v>68</v>
      </c>
      <c r="B92" s="50">
        <f t="shared" ca="1" si="24"/>
        <v>46458</v>
      </c>
      <c r="C92" s="50">
        <f t="shared" ca="1" si="11"/>
        <v>46458</v>
      </c>
      <c r="D92" s="13">
        <f t="shared" ca="1" si="18"/>
        <v>28</v>
      </c>
      <c r="E92" s="15">
        <f t="shared" ca="1" si="23"/>
        <v>3527373.7502750056</v>
      </c>
      <c r="F92" s="15">
        <f ca="1">IF(AND(A91="",A93=""),"",IF(A92="",SUM($F$25:F91),IF(A92=$D$8,$E$24-SUM($F$25:F91),$F$21-G92)))</f>
        <v>10927.057873550355</v>
      </c>
      <c r="G92" s="15">
        <f ca="1">IF(A91=$D$8,SUM($G$25:G91),IF(A91&gt;$D$8,"",E91*D92*$F$18/T91))</f>
        <v>30128.873730755378</v>
      </c>
      <c r="H92" s="15">
        <f ca="1">IF(A91=$D$8,SUM($H$25:H91),IF(A91="","",(G92+F92)))</f>
        <v>41055.931604305733</v>
      </c>
      <c r="I92" s="15" t="str">
        <f t="shared" si="19"/>
        <v/>
      </c>
      <c r="J92" s="15" t="str">
        <f t="shared" si="20"/>
        <v/>
      </c>
      <c r="K92" s="15"/>
      <c r="L92" s="15" t="str">
        <f t="shared" si="21"/>
        <v/>
      </c>
      <c r="M92" s="15" t="str">
        <f t="shared" si="22"/>
        <v/>
      </c>
      <c r="N92" s="144" t="str">
        <f t="shared" si="15"/>
        <v/>
      </c>
      <c r="O92" s="15"/>
      <c r="P92" s="52" t="str">
        <f>IF(A91=$D$8,XIRR(R$24:R91,C$24:C91),"")</f>
        <v/>
      </c>
      <c r="Q92" s="15" t="str">
        <f t="shared" ref="Q92:Q155" si="29">IF(A91=$D$8,G92+M92+F92+I92+J92+K92+L92+N92+O92,"")</f>
        <v/>
      </c>
      <c r="R92" s="144">
        <f t="shared" ca="1" si="25"/>
        <v>41055.931604305733</v>
      </c>
      <c r="S92" s="168">
        <f t="shared" ca="1" si="26"/>
        <v>2027</v>
      </c>
      <c r="T92" s="168">
        <f t="shared" ca="1" si="27"/>
        <v>365</v>
      </c>
    </row>
    <row r="93" spans="1:21" x14ac:dyDescent="0.35">
      <c r="A93" s="13">
        <f t="shared" si="28"/>
        <v>69</v>
      </c>
      <c r="B93" s="50">
        <f t="shared" ca="1" si="24"/>
        <v>46489</v>
      </c>
      <c r="C93" s="50">
        <f t="shared" ref="C93:C156" ca="1" si="30">IF(B93&gt;$E$20,"",IF(B93=$E$20,B93-1,B93))</f>
        <v>46489</v>
      </c>
      <c r="D93" s="13">
        <f t="shared" ca="1" si="18"/>
        <v>31</v>
      </c>
      <c r="E93" s="15">
        <f t="shared" ca="1" si="23"/>
        <v>3519571.772300005</v>
      </c>
      <c r="F93" s="15">
        <f ca="1">IF(AND(A92="",A94=""),"",IF(A93="",SUM($F$25:F92),IF(A93=$D$8,$E$24-SUM($F$25:F92),$F$21-G93)))</f>
        <v>7801.9779750008165</v>
      </c>
      <c r="G93" s="15">
        <f ca="1">IF(A92=$D$8,SUM($G$25:G92),IF(A92&gt;$D$8,"",E92*D93*$F$18/T92))</f>
        <v>33253.953629304917</v>
      </c>
      <c r="H93" s="15">
        <f ca="1">IF(A92=$D$8,SUM($H$25:H92),IF(A92="","",(G93+F93)))</f>
        <v>41055.931604305733</v>
      </c>
      <c r="I93" s="15" t="str">
        <f t="shared" si="19"/>
        <v/>
      </c>
      <c r="J93" s="15" t="str">
        <f t="shared" si="20"/>
        <v/>
      </c>
      <c r="K93" s="15"/>
      <c r="L93" s="15" t="str">
        <f t="shared" si="21"/>
        <v/>
      </c>
      <c r="M93" s="15" t="str">
        <f t="shared" si="22"/>
        <v/>
      </c>
      <c r="N93" s="144" t="str">
        <f t="shared" si="15"/>
        <v/>
      </c>
      <c r="O93" s="15"/>
      <c r="P93" s="52" t="str">
        <f>IF(A92=$D$8,XIRR(R$24:R92,C$24:C92),"")</f>
        <v/>
      </c>
      <c r="Q93" s="15" t="str">
        <f t="shared" si="29"/>
        <v/>
      </c>
      <c r="R93" s="144">
        <f t="shared" ca="1" si="25"/>
        <v>41055.931604305733</v>
      </c>
      <c r="S93" s="168">
        <f t="shared" ca="1" si="26"/>
        <v>2027</v>
      </c>
      <c r="T93" s="168">
        <f t="shared" ca="1" si="27"/>
        <v>365</v>
      </c>
    </row>
    <row r="94" spans="1:21" x14ac:dyDescent="0.35">
      <c r="A94" s="13">
        <f t="shared" si="28"/>
        <v>70</v>
      </c>
      <c r="B94" s="50">
        <f t="shared" ca="1" si="24"/>
        <v>46519</v>
      </c>
      <c r="C94" s="50">
        <f t="shared" ca="1" si="30"/>
        <v>46519</v>
      </c>
      <c r="D94" s="13">
        <f t="shared" ca="1" si="18"/>
        <v>30</v>
      </c>
      <c r="E94" s="15">
        <f t="shared" ca="1" si="23"/>
        <v>3510625.9064539429</v>
      </c>
      <c r="F94" s="15">
        <f ca="1">IF(AND(A93="",A95=""),"",IF(A94="",SUM($F$25:F93),IF(A94=$D$8,$E$24-SUM($F$25:F93),$F$21-G94)))</f>
        <v>8945.8658460618499</v>
      </c>
      <c r="G94" s="15">
        <f ca="1">IF(A93=$D$8,SUM($G$25:G93),IF(A93&gt;$D$8,"",E93*D94*$F$18/T93))</f>
        <v>32110.065758243883</v>
      </c>
      <c r="H94" s="15">
        <f ca="1">IF(A93=$D$8,SUM($H$25:H93),IF(A93="","",(G94+F94)))</f>
        <v>41055.931604305733</v>
      </c>
      <c r="I94" s="15" t="str">
        <f t="shared" si="19"/>
        <v/>
      </c>
      <c r="J94" s="15" t="str">
        <f t="shared" si="20"/>
        <v/>
      </c>
      <c r="K94" s="15"/>
      <c r="L94" s="15" t="str">
        <f t="shared" si="21"/>
        <v/>
      </c>
      <c r="M94" s="15" t="str">
        <f t="shared" si="22"/>
        <v/>
      </c>
      <c r="N94" s="144" t="str">
        <f t="shared" ref="N94:N156" si="31">IF(A93=$D$8,$N$24,"")</f>
        <v/>
      </c>
      <c r="O94" s="15"/>
      <c r="P94" s="52" t="str">
        <f>IF(A93=$D$8,XIRR(R$24:R93,C$24:C93),"")</f>
        <v/>
      </c>
      <c r="Q94" s="15" t="str">
        <f t="shared" si="29"/>
        <v/>
      </c>
      <c r="R94" s="144">
        <f t="shared" ca="1" si="25"/>
        <v>41055.931604305733</v>
      </c>
      <c r="S94" s="168">
        <f t="shared" ca="1" si="26"/>
        <v>2027</v>
      </c>
      <c r="T94" s="168">
        <f t="shared" ca="1" si="27"/>
        <v>365</v>
      </c>
    </row>
    <row r="95" spans="1:21" x14ac:dyDescent="0.35">
      <c r="A95" s="13">
        <f t="shared" si="28"/>
        <v>71</v>
      </c>
      <c r="B95" s="50">
        <f t="shared" ca="1" si="24"/>
        <v>46550</v>
      </c>
      <c r="C95" s="50">
        <f t="shared" ca="1" si="30"/>
        <v>46550</v>
      </c>
      <c r="D95" s="13">
        <f t="shared" ca="1" si="18"/>
        <v>31</v>
      </c>
      <c r="E95" s="15">
        <f t="shared" ca="1" si="23"/>
        <v>3502666.0399019876</v>
      </c>
      <c r="F95" s="15">
        <f ca="1">IF(AND(A94="",A96=""),"",IF(A95="",SUM($F$25:F94),IF(A95=$D$8,$E$24-SUM($F$25:F94),$F$21-G95)))</f>
        <v>7959.8665519549977</v>
      </c>
      <c r="G95" s="15">
        <f ca="1">IF(A94=$D$8,SUM($G$25:G94),IF(A94&gt;$D$8,"",E94*D95*$F$18/T94))</f>
        <v>33096.065052350736</v>
      </c>
      <c r="H95" s="15">
        <f ca="1">IF(A94=$D$8,SUM($H$25:H94),IF(A94="","",(G95+F95)))</f>
        <v>41055.931604305733</v>
      </c>
      <c r="I95" s="15" t="str">
        <f t="shared" si="19"/>
        <v/>
      </c>
      <c r="J95" s="15" t="str">
        <f t="shared" si="20"/>
        <v/>
      </c>
      <c r="K95" s="15"/>
      <c r="L95" s="15" t="str">
        <f t="shared" si="21"/>
        <v/>
      </c>
      <c r="M95" s="15" t="str">
        <f t="shared" si="22"/>
        <v/>
      </c>
      <c r="N95" s="144" t="str">
        <f t="shared" si="31"/>
        <v/>
      </c>
      <c r="O95" s="15"/>
      <c r="P95" s="52" t="str">
        <f>IF(A94=$D$8,XIRR(R$24:R94,C$24:C94),"")</f>
        <v/>
      </c>
      <c r="Q95" s="15" t="str">
        <f t="shared" si="29"/>
        <v/>
      </c>
      <c r="R95" s="144">
        <f t="shared" ca="1" si="25"/>
        <v>41055.931604305733</v>
      </c>
      <c r="S95" s="168">
        <f t="shared" ca="1" si="26"/>
        <v>2027</v>
      </c>
      <c r="T95" s="168">
        <f t="shared" ca="1" si="27"/>
        <v>365</v>
      </c>
    </row>
    <row r="96" spans="1:21" x14ac:dyDescent="0.35">
      <c r="A96" s="13">
        <f t="shared" si="28"/>
        <v>72</v>
      </c>
      <c r="B96" s="50">
        <f t="shared" ca="1" si="24"/>
        <v>46580</v>
      </c>
      <c r="C96" s="50">
        <f t="shared" ca="1" si="30"/>
        <v>46580</v>
      </c>
      <c r="D96" s="13">
        <f t="shared" ca="1" si="18"/>
        <v>30</v>
      </c>
      <c r="E96" s="15">
        <f t="shared" ca="1" si="23"/>
        <v>3493565.9381959657</v>
      </c>
      <c r="F96" s="15">
        <f ca="1">IF(AND(A95="",A97=""),"",IF(A96="",SUM($F$25:F95),IF(A96=$D$8,$E$24-SUM($F$25:F95),$F$21-G96)))</f>
        <v>9100.1017060218473</v>
      </c>
      <c r="G96" s="15">
        <f ca="1">IF(A95=$D$8,SUM($G$25:G95),IF(A95&gt;$D$8,"",E95*D96*$F$18/T95))</f>
        <v>31955.829898283886</v>
      </c>
      <c r="H96" s="15">
        <f ca="1">IF(A95=$D$8,SUM($H$25:H95),IF(A95="","",(G96+F96)))</f>
        <v>41055.931604305733</v>
      </c>
      <c r="I96" s="15" t="str">
        <f t="shared" si="19"/>
        <v/>
      </c>
      <c r="J96" s="15" t="str">
        <f t="shared" si="20"/>
        <v/>
      </c>
      <c r="K96" s="15"/>
      <c r="L96" s="15" t="str">
        <f t="shared" si="21"/>
        <v/>
      </c>
      <c r="M96" s="15" t="str">
        <f t="shared" si="22"/>
        <v/>
      </c>
      <c r="N96" s="144" t="str">
        <f t="shared" si="31"/>
        <v/>
      </c>
      <c r="O96" s="15"/>
      <c r="P96" s="52" t="str">
        <f>IF(A95=$D$8,XIRR(R$24:R95,C$24:C95),"")</f>
        <v/>
      </c>
      <c r="Q96" s="15" t="str">
        <f t="shared" si="29"/>
        <v/>
      </c>
      <c r="R96" s="144">
        <f t="shared" ca="1" si="25"/>
        <v>41055.931604305733</v>
      </c>
      <c r="S96" s="168">
        <f t="shared" ca="1" si="26"/>
        <v>2027</v>
      </c>
      <c r="T96" s="168">
        <f t="shared" ca="1" si="27"/>
        <v>365</v>
      </c>
    </row>
    <row r="97" spans="1:20" x14ac:dyDescent="0.35">
      <c r="A97" s="13">
        <f t="shared" si="28"/>
        <v>73</v>
      </c>
      <c r="B97" s="50">
        <f t="shared" ca="1" si="24"/>
        <v>46611</v>
      </c>
      <c r="C97" s="50">
        <f t="shared" ca="1" si="30"/>
        <v>46611</v>
      </c>
      <c r="D97" s="13">
        <f t="shared" ca="1" si="18"/>
        <v>31</v>
      </c>
      <c r="E97" s="15">
        <f t="shared" ca="1" si="23"/>
        <v>3485445.2405459951</v>
      </c>
      <c r="F97" s="15">
        <f ca="1">IF(AND(A96="",A98=""),"",IF(A97="",SUM($F$25:F96),IF(A97=$D$8,$E$24-SUM($F$25:F96),$F$21-G97)))</f>
        <v>8120.6976499706143</v>
      </c>
      <c r="G97" s="15">
        <f ca="1">IF(A96=$D$8,SUM($G$25:G96),IF(A96&gt;$D$8,"",E96*D97*$F$18/T96))</f>
        <v>32935.233954335119</v>
      </c>
      <c r="H97" s="15">
        <f ca="1">IF(A96=$D$8,SUM($H$25:H96),IF(A96="","",(G97+F97)))</f>
        <v>41055.931604305733</v>
      </c>
      <c r="I97" s="15" t="str">
        <f t="shared" si="19"/>
        <v/>
      </c>
      <c r="J97" s="15" t="str">
        <f t="shared" si="20"/>
        <v/>
      </c>
      <c r="K97" s="15">
        <f>IF($F$8&gt;72,($O$8+$O$10),IF($A$96=$F$8,$K$37+$K$24+$K$49+$K$61+$K$73+$K$85,""))</f>
        <v>17142.858</v>
      </c>
      <c r="L97" s="15" t="str">
        <f t="shared" si="21"/>
        <v/>
      </c>
      <c r="M97" s="15" t="str">
        <f t="shared" si="22"/>
        <v/>
      </c>
      <c r="N97" s="15">
        <f>IF($F$8&gt;72,($N$14),IF(A96=$F$8,N85+N73+N61+N49+N37+N24,""))</f>
        <v>2500</v>
      </c>
      <c r="O97" s="15"/>
      <c r="P97" s="52" t="str">
        <f>IF(A96=$D$8,XIRR(R$24:R96,C$24:C96),"")</f>
        <v/>
      </c>
      <c r="Q97" s="15" t="str">
        <f t="shared" si="29"/>
        <v/>
      </c>
      <c r="R97" s="144">
        <f t="shared" ca="1" si="25"/>
        <v>60698.789604305734</v>
      </c>
      <c r="S97" s="168">
        <f t="shared" ca="1" si="26"/>
        <v>2027</v>
      </c>
      <c r="T97" s="168">
        <f t="shared" ca="1" si="27"/>
        <v>365</v>
      </c>
    </row>
    <row r="98" spans="1:20" x14ac:dyDescent="0.35">
      <c r="A98" s="13">
        <f t="shared" si="28"/>
        <v>74</v>
      </c>
      <c r="B98" s="50">
        <f t="shared" ca="1" si="24"/>
        <v>46642</v>
      </c>
      <c r="C98" s="50">
        <f t="shared" ca="1" si="30"/>
        <v>46642</v>
      </c>
      <c r="D98" s="13">
        <f t="shared" ca="1" si="18"/>
        <v>31</v>
      </c>
      <c r="E98" s="15">
        <f t="shared" ca="1" si="23"/>
        <v>3477247.9858532478</v>
      </c>
      <c r="F98" s="15">
        <f ca="1">IF(AND(A97="",A99=""),"",IF(A98="",SUM($F$25:F97),IF(A98=$D$8,$E$24-SUM($F$25:F97),$F$21-G98)))</f>
        <v>8197.2546927474614</v>
      </c>
      <c r="G98" s="15">
        <f ca="1">IF(A97=$D$8,SUM($G$25:G97),IF(A97&gt;$D$8,"",E97*D98*$F$18/T97))</f>
        <v>32858.676911558272</v>
      </c>
      <c r="H98" s="15">
        <f ca="1">IF(A97=$D$8,SUM($H$25:H97),IF(A97="","",(G98+F98)))</f>
        <v>41055.931604305733</v>
      </c>
      <c r="I98" s="15" t="str">
        <f t="shared" si="19"/>
        <v/>
      </c>
      <c r="J98" s="15" t="str">
        <f t="shared" si="20"/>
        <v/>
      </c>
      <c r="K98" s="15"/>
      <c r="L98" s="15" t="str">
        <f t="shared" si="21"/>
        <v/>
      </c>
      <c r="M98" s="15" t="str">
        <f t="shared" si="22"/>
        <v/>
      </c>
      <c r="N98" s="144" t="str">
        <f t="shared" si="31"/>
        <v/>
      </c>
      <c r="O98" s="15"/>
      <c r="P98" s="52" t="str">
        <f>IF(A97=$D$8,XIRR(R$24:R97,C$24:C97),"")</f>
        <v/>
      </c>
      <c r="Q98" s="15" t="str">
        <f t="shared" si="29"/>
        <v/>
      </c>
      <c r="R98" s="144">
        <f t="shared" ca="1" si="25"/>
        <v>41055.931604305733</v>
      </c>
      <c r="S98" s="168">
        <f t="shared" ca="1" si="26"/>
        <v>2027</v>
      </c>
      <c r="T98" s="168">
        <f t="shared" ca="1" si="27"/>
        <v>365</v>
      </c>
    </row>
    <row r="99" spans="1:20" x14ac:dyDescent="0.35">
      <c r="A99" s="13">
        <f t="shared" si="28"/>
        <v>75</v>
      </c>
      <c r="B99" s="50">
        <f t="shared" ca="1" si="24"/>
        <v>46672</v>
      </c>
      <c r="C99" s="50">
        <f t="shared" ca="1" si="30"/>
        <v>46672</v>
      </c>
      <c r="D99" s="13">
        <f t="shared" ca="1" si="18"/>
        <v>30</v>
      </c>
      <c r="E99" s="15">
        <f t="shared" ca="1" si="23"/>
        <v>3467915.9879280962</v>
      </c>
      <c r="F99" s="15">
        <f ca="1">IF(AND(A98="",A100=""),"",IF(A99="",SUM($F$25:F98),IF(A99=$D$8,$E$24-SUM($F$25:F98),$F$21-G99)))</f>
        <v>9331.9979251514414</v>
      </c>
      <c r="G99" s="15">
        <f ca="1">IF(A98=$D$8,SUM($G$25:G98),IF(A98&gt;$D$8,"",E98*D99*$F$18/T98))</f>
        <v>31723.933679154292</v>
      </c>
      <c r="H99" s="15">
        <f ca="1">IF(A98=$D$8,SUM($H$25:H98),IF(A98="","",(G99+F99)))</f>
        <v>41055.931604305733</v>
      </c>
      <c r="I99" s="15" t="str">
        <f t="shared" si="19"/>
        <v/>
      </c>
      <c r="J99" s="15" t="str">
        <f t="shared" si="20"/>
        <v/>
      </c>
      <c r="K99" s="15"/>
      <c r="L99" s="15" t="str">
        <f t="shared" si="21"/>
        <v/>
      </c>
      <c r="M99" s="15" t="str">
        <f t="shared" si="22"/>
        <v/>
      </c>
      <c r="N99" s="144" t="str">
        <f t="shared" si="31"/>
        <v/>
      </c>
      <c r="O99" s="15"/>
      <c r="P99" s="52" t="str">
        <f>IF(A98=$D$8,XIRR(R$24:R98,C$24:C98),"")</f>
        <v/>
      </c>
      <c r="Q99" s="15" t="str">
        <f t="shared" si="29"/>
        <v/>
      </c>
      <c r="R99" s="144">
        <f t="shared" ca="1" si="25"/>
        <v>41055.931604305733</v>
      </c>
      <c r="S99" s="168">
        <f t="shared" ca="1" si="26"/>
        <v>2027</v>
      </c>
      <c r="T99" s="168">
        <f t="shared" ca="1" si="27"/>
        <v>365</v>
      </c>
    </row>
    <row r="100" spans="1:20" x14ac:dyDescent="0.35">
      <c r="A100" s="13">
        <f t="shared" si="28"/>
        <v>76</v>
      </c>
      <c r="B100" s="50">
        <f t="shared" ca="1" si="24"/>
        <v>46703</v>
      </c>
      <c r="C100" s="50">
        <f t="shared" ca="1" si="30"/>
        <v>46703</v>
      </c>
      <c r="D100" s="13">
        <f t="shared" ca="1" si="18"/>
        <v>31</v>
      </c>
      <c r="E100" s="15">
        <f t="shared" ca="1" si="23"/>
        <v>3459553.4780072439</v>
      </c>
      <c r="F100" s="15">
        <f ca="1">IF(AND(A99="",A101=""),"",IF(A100="",SUM($F$25:F99),IF(A100=$D$8,$E$24-SUM($F$25:F99),$F$21-G100)))</f>
        <v>8362.5099208520915</v>
      </c>
      <c r="G100" s="15">
        <f ca="1">IF(A99=$D$8,SUM($G$25:G99),IF(A99&gt;$D$8,"",E99*D100*$F$18/T99))</f>
        <v>32693.421683453642</v>
      </c>
      <c r="H100" s="15">
        <f ca="1">IF(A99=$D$8,SUM($H$25:H99),IF(A99="","",(G100+F100)))</f>
        <v>41055.931604305733</v>
      </c>
      <c r="I100" s="15" t="str">
        <f t="shared" si="19"/>
        <v/>
      </c>
      <c r="J100" s="15" t="str">
        <f t="shared" si="20"/>
        <v/>
      </c>
      <c r="K100" s="15"/>
      <c r="L100" s="15" t="str">
        <f t="shared" si="21"/>
        <v/>
      </c>
      <c r="M100" s="15" t="str">
        <f t="shared" si="22"/>
        <v/>
      </c>
      <c r="N100" s="144" t="str">
        <f t="shared" si="31"/>
        <v/>
      </c>
      <c r="O100" s="15"/>
      <c r="P100" s="52" t="str">
        <f>IF(A99=$D$8,XIRR(R$24:R99,C$24:C99),"")</f>
        <v/>
      </c>
      <c r="Q100" s="15" t="str">
        <f t="shared" si="29"/>
        <v/>
      </c>
      <c r="R100" s="144">
        <f t="shared" ca="1" si="25"/>
        <v>41055.931604305733</v>
      </c>
      <c r="S100" s="168">
        <f t="shared" ca="1" si="26"/>
        <v>2027</v>
      </c>
      <c r="T100" s="168">
        <f t="shared" ca="1" si="27"/>
        <v>365</v>
      </c>
    </row>
    <row r="101" spans="1:20" x14ac:dyDescent="0.35">
      <c r="A101" s="13">
        <f t="shared" si="28"/>
        <v>77</v>
      </c>
      <c r="B101" s="50">
        <f t="shared" ca="1" si="24"/>
        <v>46733</v>
      </c>
      <c r="C101" s="50">
        <f t="shared" ca="1" si="30"/>
        <v>46733</v>
      </c>
      <c r="D101" s="13">
        <f t="shared" ca="1" si="18"/>
        <v>30</v>
      </c>
      <c r="E101" s="15">
        <f t="shared" ref="E101:E164" ca="1" si="32">IF(A101&gt;$D$8,"",E100-F101)</f>
        <v>3450060.0479968125</v>
      </c>
      <c r="F101" s="15">
        <f ca="1">IF(AND(A100="",A102=""),"",IF(A101="",SUM($F$25:F100),IF(A101=$D$8,$E$24-SUM($F$25:F100),$F$21-G101)))</f>
        <v>9493.4300104314243</v>
      </c>
      <c r="G101" s="15">
        <f ca="1">IF(A100=$D$8,SUM($G$25:G100),IF(A100&gt;$D$8,"",E100*D101*$F$18/T100))</f>
        <v>31562.501593874309</v>
      </c>
      <c r="H101" s="15">
        <f ca="1">IF(A100=$D$8,SUM($H$25:H100),IF(A100="","",(G101+F101)))</f>
        <v>41055.931604305733</v>
      </c>
      <c r="I101" s="15" t="str">
        <f t="shared" si="19"/>
        <v/>
      </c>
      <c r="J101" s="15" t="str">
        <f t="shared" si="20"/>
        <v/>
      </c>
      <c r="K101" s="15"/>
      <c r="L101" s="15" t="str">
        <f t="shared" si="21"/>
        <v/>
      </c>
      <c r="M101" s="15" t="str">
        <f t="shared" si="22"/>
        <v/>
      </c>
      <c r="N101" s="144" t="str">
        <f t="shared" si="31"/>
        <v/>
      </c>
      <c r="O101" s="15"/>
      <c r="P101" s="52" t="str">
        <f>IF(A100=$D$8,XIRR(R$24:R100,C$24:C100),"")</f>
        <v/>
      </c>
      <c r="Q101" s="15" t="str">
        <f t="shared" si="29"/>
        <v/>
      </c>
      <c r="R101" s="144">
        <f t="shared" ca="1" si="25"/>
        <v>41055.931604305733</v>
      </c>
      <c r="S101" s="168">
        <f t="shared" ca="1" si="26"/>
        <v>2027</v>
      </c>
      <c r="T101" s="168">
        <f t="shared" ca="1" si="27"/>
        <v>365</v>
      </c>
    </row>
    <row r="102" spans="1:20" x14ac:dyDescent="0.35">
      <c r="A102" s="13">
        <f t="shared" si="28"/>
        <v>78</v>
      </c>
      <c r="B102" s="50">
        <f t="shared" ca="1" si="24"/>
        <v>46764</v>
      </c>
      <c r="C102" s="50">
        <f t="shared" ca="1" si="30"/>
        <v>46764</v>
      </c>
      <c r="D102" s="13">
        <f t="shared" ref="D102:D165" ca="1" si="33">IF(A102&gt;$D$8,"",C102-C101)</f>
        <v>31</v>
      </c>
      <c r="E102" s="15">
        <f t="shared" ca="1" si="32"/>
        <v>3441529.2030367726</v>
      </c>
      <c r="F102" s="15">
        <f ca="1">IF(AND(A101="",A103=""),"",IF(A102="",SUM($F$25:F101),IF(A102=$D$8,$E$24-SUM($F$25:F101),$F$21-G102)))</f>
        <v>8530.8449600398926</v>
      </c>
      <c r="G102" s="15">
        <f ca="1">IF(A101=$D$8,SUM($G$25:G101),IF(A101&gt;$D$8,"",E101*D102*$F$18/T101))</f>
        <v>32525.086644265841</v>
      </c>
      <c r="H102" s="15">
        <f ca="1">IF(A101=$D$8,SUM($H$25:H101),IF(A101="","",(G102+F102)))</f>
        <v>41055.931604305733</v>
      </c>
      <c r="I102" s="15" t="str">
        <f t="shared" ref="I102:I165" si="34">IF(A101=$F$8,$I$24,"")</f>
        <v/>
      </c>
      <c r="J102" s="15" t="str">
        <f t="shared" ref="J102:J165" si="35">IF(A101=$F$8,$J$24,"")</f>
        <v/>
      </c>
      <c r="K102" s="15"/>
      <c r="L102" s="15" t="str">
        <f t="shared" ref="L102:L165" si="36">IF(A101=$F$8,$L$24,"")</f>
        <v/>
      </c>
      <c r="M102" s="15" t="str">
        <f t="shared" ref="M102:M165" si="37">IF(A101=$F$8,$M$24,"")</f>
        <v/>
      </c>
      <c r="N102" s="144" t="str">
        <f t="shared" si="31"/>
        <v/>
      </c>
      <c r="O102" s="15"/>
      <c r="P102" s="52" t="str">
        <f>IF(A101=$D$8,XIRR(R$24:R101,C$24:C101),"")</f>
        <v/>
      </c>
      <c r="Q102" s="15" t="str">
        <f t="shared" si="29"/>
        <v/>
      </c>
      <c r="R102" s="144">
        <f t="shared" ca="1" si="25"/>
        <v>41055.931604305733</v>
      </c>
      <c r="S102" s="168">
        <f t="shared" ca="1" si="26"/>
        <v>2028</v>
      </c>
      <c r="T102" s="168">
        <f t="shared" ca="1" si="27"/>
        <v>366</v>
      </c>
    </row>
    <row r="103" spans="1:20" x14ac:dyDescent="0.35">
      <c r="A103" s="13">
        <f t="shared" si="28"/>
        <v>79</v>
      </c>
      <c r="B103" s="50">
        <f t="shared" ca="1" si="24"/>
        <v>46795</v>
      </c>
      <c r="C103" s="50">
        <f t="shared" ca="1" si="30"/>
        <v>46795</v>
      </c>
      <c r="D103" s="13">
        <f t="shared" ca="1" si="33"/>
        <v>31</v>
      </c>
      <c r="E103" s="15">
        <f t="shared" ca="1" si="32"/>
        <v>3432829.2877921648</v>
      </c>
      <c r="F103" s="15">
        <f ca="1">IF(AND(A102="",A104=""),"",IF(A103="",SUM($F$25:F102),IF(A103=$D$8,$E$24-SUM($F$25:F102),$F$21-G103)))</f>
        <v>8699.9152446075532</v>
      </c>
      <c r="G103" s="15">
        <f ca="1">IF(A102=$D$8,SUM($G$25:G102),IF(A102&gt;$D$8,"",E102*D103*$F$18/T102))</f>
        <v>32356.01635969818</v>
      </c>
      <c r="H103" s="15">
        <f ca="1">IF(A102=$D$8,SUM($H$25:H102),IF(A102="","",(G103+F103)))</f>
        <v>41055.931604305733</v>
      </c>
      <c r="I103" s="15" t="str">
        <f t="shared" si="34"/>
        <v/>
      </c>
      <c r="J103" s="15" t="str">
        <f t="shared" si="35"/>
        <v/>
      </c>
      <c r="K103" s="15"/>
      <c r="L103" s="15" t="str">
        <f t="shared" si="36"/>
        <v/>
      </c>
      <c r="M103" s="15" t="str">
        <f t="shared" si="37"/>
        <v/>
      </c>
      <c r="N103" s="144" t="str">
        <f t="shared" si="31"/>
        <v/>
      </c>
      <c r="O103" s="15"/>
      <c r="P103" s="52" t="str">
        <f>IF(A102=$D$8,XIRR(R$24:R102,C$24:C102),"")</f>
        <v/>
      </c>
      <c r="Q103" s="15" t="str">
        <f t="shared" si="29"/>
        <v/>
      </c>
      <c r="R103" s="144">
        <f t="shared" ca="1" si="25"/>
        <v>41055.931604305733</v>
      </c>
      <c r="S103" s="168">
        <f t="shared" ca="1" si="26"/>
        <v>2028</v>
      </c>
      <c r="T103" s="168">
        <f t="shared" ca="1" si="27"/>
        <v>366</v>
      </c>
    </row>
    <row r="104" spans="1:20" x14ac:dyDescent="0.35">
      <c r="A104" s="13">
        <f t="shared" si="28"/>
        <v>80</v>
      </c>
      <c r="B104" s="50">
        <f t="shared" ca="1" si="24"/>
        <v>46824</v>
      </c>
      <c r="C104" s="50">
        <f t="shared" ca="1" si="30"/>
        <v>46824</v>
      </c>
      <c r="D104" s="13">
        <f t="shared" ca="1" si="33"/>
        <v>29</v>
      </c>
      <c r="E104" s="15">
        <f t="shared" ca="1" si="32"/>
        <v>3421965.3711534408</v>
      </c>
      <c r="F104" s="15">
        <f ca="1">IF(AND(A103="",A105=""),"",IF(A104="",SUM($F$25:F103),IF(A104=$D$8,$E$24-SUM($F$25:F103),$F$21-G104)))</f>
        <v>10863.916638723826</v>
      </c>
      <c r="G104" s="15">
        <f ca="1">IF(A103=$D$8,SUM($G$25:G103),IF(A103&gt;$D$8,"",E103*D104*$F$18/T103))</f>
        <v>30192.014965581908</v>
      </c>
      <c r="H104" s="15">
        <f ca="1">IF(A103=$D$8,SUM($H$25:H103),IF(A103="","",(G104+F104)))</f>
        <v>41055.931604305733</v>
      </c>
      <c r="I104" s="15" t="str">
        <f t="shared" si="34"/>
        <v/>
      </c>
      <c r="J104" s="15" t="str">
        <f t="shared" si="35"/>
        <v/>
      </c>
      <c r="K104" s="15"/>
      <c r="L104" s="15" t="str">
        <f t="shared" si="36"/>
        <v/>
      </c>
      <c r="M104" s="15" t="str">
        <f t="shared" si="37"/>
        <v/>
      </c>
      <c r="N104" s="144" t="str">
        <f t="shared" si="31"/>
        <v/>
      </c>
      <c r="O104" s="15"/>
      <c r="P104" s="52" t="str">
        <f>IF(A103=$D$8,XIRR(R$24:R103,C$24:C103),"")</f>
        <v/>
      </c>
      <c r="Q104" s="15" t="str">
        <f t="shared" si="29"/>
        <v/>
      </c>
      <c r="R104" s="144">
        <f t="shared" ca="1" si="25"/>
        <v>41055.931604305733</v>
      </c>
      <c r="S104" s="168">
        <f t="shared" ca="1" si="26"/>
        <v>2028</v>
      </c>
      <c r="T104" s="168">
        <f t="shared" ca="1" si="27"/>
        <v>366</v>
      </c>
    </row>
    <row r="105" spans="1:20" x14ac:dyDescent="0.35">
      <c r="A105" s="13">
        <f t="shared" si="28"/>
        <v>81</v>
      </c>
      <c r="B105" s="50">
        <f t="shared" ca="1" si="24"/>
        <v>46855</v>
      </c>
      <c r="C105" s="50">
        <f t="shared" ca="1" si="30"/>
        <v>46855</v>
      </c>
      <c r="D105" s="13">
        <f t="shared" ca="1" si="33"/>
        <v>31</v>
      </c>
      <c r="E105" s="15">
        <f t="shared" ca="1" si="32"/>
        <v>3413081.5238172743</v>
      </c>
      <c r="F105" s="15">
        <f ca="1">IF(AND(A104="",A106=""),"",IF(A105="",SUM($F$25:F104),IF(A105=$D$8,$E$24-SUM($F$25:F104),$F$21-G105)))</f>
        <v>8883.8473361664182</v>
      </c>
      <c r="G105" s="15">
        <f ca="1">IF(A104=$D$8,SUM($G$25:G104),IF(A104&gt;$D$8,"",E104*D105*$F$18/T104))</f>
        <v>32172.084268139315</v>
      </c>
      <c r="H105" s="15">
        <f ca="1">IF(A104=$D$8,SUM($H$25:H104),IF(A104="","",(G105+F105)))</f>
        <v>41055.931604305733</v>
      </c>
      <c r="I105" s="15" t="str">
        <f t="shared" si="34"/>
        <v/>
      </c>
      <c r="J105" s="15" t="str">
        <f t="shared" si="35"/>
        <v/>
      </c>
      <c r="K105" s="15"/>
      <c r="L105" s="15" t="str">
        <f t="shared" si="36"/>
        <v/>
      </c>
      <c r="M105" s="15" t="str">
        <f t="shared" si="37"/>
        <v/>
      </c>
      <c r="N105" s="144" t="str">
        <f t="shared" si="31"/>
        <v/>
      </c>
      <c r="O105" s="15"/>
      <c r="P105" s="52" t="str">
        <f>IF(A104=$D$8,XIRR(R$24:R104,C$24:C104),"")</f>
        <v/>
      </c>
      <c r="Q105" s="15" t="str">
        <f t="shared" si="29"/>
        <v/>
      </c>
      <c r="R105" s="144">
        <f t="shared" ca="1" si="25"/>
        <v>41055.931604305733</v>
      </c>
      <c r="S105" s="168">
        <f t="shared" ca="1" si="26"/>
        <v>2028</v>
      </c>
      <c r="T105" s="168">
        <f t="shared" ca="1" si="27"/>
        <v>366</v>
      </c>
    </row>
    <row r="106" spans="1:20" x14ac:dyDescent="0.35">
      <c r="A106" s="13">
        <f t="shared" si="28"/>
        <v>82</v>
      </c>
      <c r="B106" s="50">
        <f t="shared" ca="1" si="24"/>
        <v>46885</v>
      </c>
      <c r="C106" s="50">
        <f t="shared" ca="1" si="30"/>
        <v>46885</v>
      </c>
      <c r="D106" s="13">
        <f t="shared" ca="1" si="33"/>
        <v>30</v>
      </c>
      <c r="E106" s="15">
        <f t="shared" ca="1" si="32"/>
        <v>3403079.0388640929</v>
      </c>
      <c r="F106" s="15">
        <f ca="1">IF(AND(A105="",A107=""),"",IF(A106="",SUM($F$25:F105),IF(A106=$D$8,$E$24-SUM($F$25:F105),$F$21-G106)))</f>
        <v>10002.484953181349</v>
      </c>
      <c r="G106" s="15">
        <f ca="1">IF(A105=$D$8,SUM($G$25:G105),IF(A105&gt;$D$8,"",E105*D106*$F$18/T105))</f>
        <v>31053.446651124385</v>
      </c>
      <c r="H106" s="15">
        <f ca="1">IF(A105=$D$8,SUM($H$25:H105),IF(A105="","",(G106+F106)))</f>
        <v>41055.931604305733</v>
      </c>
      <c r="I106" s="15" t="str">
        <f t="shared" si="34"/>
        <v/>
      </c>
      <c r="J106" s="15" t="str">
        <f t="shared" si="35"/>
        <v/>
      </c>
      <c r="K106" s="15"/>
      <c r="L106" s="15" t="str">
        <f t="shared" si="36"/>
        <v/>
      </c>
      <c r="M106" s="15" t="str">
        <f t="shared" si="37"/>
        <v/>
      </c>
      <c r="N106" s="144" t="str">
        <f t="shared" si="31"/>
        <v/>
      </c>
      <c r="O106" s="15"/>
      <c r="P106" s="52" t="str">
        <f>IF(A105=$D$8,XIRR(R$24:R105,C$24:C105),"")</f>
        <v/>
      </c>
      <c r="Q106" s="15" t="str">
        <f t="shared" si="29"/>
        <v/>
      </c>
      <c r="R106" s="144">
        <f t="shared" ca="1" si="25"/>
        <v>41055.931604305733</v>
      </c>
      <c r="S106" s="168">
        <f t="shared" ca="1" si="26"/>
        <v>2028</v>
      </c>
      <c r="T106" s="168">
        <f t="shared" ca="1" si="27"/>
        <v>366</v>
      </c>
    </row>
    <row r="107" spans="1:20" x14ac:dyDescent="0.35">
      <c r="A107" s="13">
        <f t="shared" si="28"/>
        <v>83</v>
      </c>
      <c r="B107" s="50">
        <f t="shared" ca="1" si="24"/>
        <v>46916</v>
      </c>
      <c r="C107" s="50">
        <f t="shared" ca="1" si="30"/>
        <v>46916</v>
      </c>
      <c r="D107" s="13">
        <f t="shared" ca="1" si="33"/>
        <v>31</v>
      </c>
      <c r="E107" s="15">
        <f t="shared" ca="1" si="32"/>
        <v>3394017.6290432061</v>
      </c>
      <c r="F107" s="15">
        <f ca="1">IF(AND(A106="",A108=""),"",IF(A107="",SUM($F$25:F106),IF(A107=$D$8,$E$24-SUM($F$25:F106),$F$21-G107)))</f>
        <v>9061.4098208867581</v>
      </c>
      <c r="G107" s="15">
        <f ca="1">IF(A106=$D$8,SUM($G$25:G106),IF(A106&gt;$D$8,"",E106*D107*$F$18/T106))</f>
        <v>31994.521783418975</v>
      </c>
      <c r="H107" s="15">
        <f ca="1">IF(A106=$D$8,SUM($H$25:H106),IF(A106="","",(G107+F107)))</f>
        <v>41055.931604305733</v>
      </c>
      <c r="I107" s="15" t="str">
        <f t="shared" si="34"/>
        <v/>
      </c>
      <c r="J107" s="15" t="str">
        <f t="shared" si="35"/>
        <v/>
      </c>
      <c r="K107" s="15"/>
      <c r="L107" s="15" t="str">
        <f t="shared" si="36"/>
        <v/>
      </c>
      <c r="M107" s="15" t="str">
        <f t="shared" si="37"/>
        <v/>
      </c>
      <c r="N107" s="144" t="str">
        <f t="shared" si="31"/>
        <v/>
      </c>
      <c r="O107" s="15"/>
      <c r="P107" s="52" t="str">
        <f>IF(A106=$D$8,XIRR(R$24:R106,C$24:C106),"")</f>
        <v/>
      </c>
      <c r="Q107" s="15" t="str">
        <f t="shared" si="29"/>
        <v/>
      </c>
      <c r="R107" s="144">
        <f t="shared" ca="1" si="25"/>
        <v>41055.931604305733</v>
      </c>
      <c r="S107" s="168">
        <f t="shared" ca="1" si="26"/>
        <v>2028</v>
      </c>
      <c r="T107" s="168">
        <f t="shared" ca="1" si="27"/>
        <v>366</v>
      </c>
    </row>
    <row r="108" spans="1:20" x14ac:dyDescent="0.35">
      <c r="A108" s="13">
        <f t="shared" si="28"/>
        <v>84</v>
      </c>
      <c r="B108" s="50">
        <f t="shared" ca="1" si="24"/>
        <v>46946</v>
      </c>
      <c r="C108" s="50">
        <f t="shared" ca="1" si="30"/>
        <v>46946</v>
      </c>
      <c r="D108" s="13">
        <f t="shared" ca="1" si="33"/>
        <v>30</v>
      </c>
      <c r="E108" s="15">
        <f t="shared" ca="1" si="32"/>
        <v>3383841.6938998671</v>
      </c>
      <c r="F108" s="15">
        <f ca="1">IF(AND(A107="",A109=""),"",IF(A108="",SUM($F$25:F107),IF(A108=$D$8,$E$24-SUM($F$25:F107),$F$21-G108)))</f>
        <v>10175.935143338855</v>
      </c>
      <c r="G108" s="15">
        <f ca="1">IF(A107=$D$8,SUM($G$25:G107),IF(A107&gt;$D$8,"",E107*D108*$F$18/T107))</f>
        <v>30879.996460966879</v>
      </c>
      <c r="H108" s="15">
        <f ca="1">IF(A107=$D$8,SUM($H$25:H107),IF(A107="","",(G108+F108)))</f>
        <v>41055.931604305733</v>
      </c>
      <c r="I108" s="15" t="str">
        <f t="shared" si="34"/>
        <v/>
      </c>
      <c r="J108" s="15" t="str">
        <f t="shared" si="35"/>
        <v/>
      </c>
      <c r="K108" s="15"/>
      <c r="L108" s="15" t="str">
        <f t="shared" si="36"/>
        <v/>
      </c>
      <c r="M108" s="15" t="str">
        <f t="shared" si="37"/>
        <v/>
      </c>
      <c r="N108" s="144" t="str">
        <f t="shared" si="31"/>
        <v/>
      </c>
      <c r="O108" s="15"/>
      <c r="P108" s="52" t="str">
        <f>IF(A107=$D$8,XIRR(R$24:R107,C$24:C107),"")</f>
        <v/>
      </c>
      <c r="Q108" s="15" t="str">
        <f t="shared" si="29"/>
        <v/>
      </c>
      <c r="R108" s="144">
        <f t="shared" ca="1" si="25"/>
        <v>41055.931604305733</v>
      </c>
      <c r="S108" s="168">
        <f t="shared" ca="1" si="26"/>
        <v>2028</v>
      </c>
      <c r="T108" s="168">
        <f t="shared" ca="1" si="27"/>
        <v>366</v>
      </c>
    </row>
    <row r="109" spans="1:20" x14ac:dyDescent="0.35">
      <c r="A109" s="13">
        <f t="shared" si="28"/>
        <v>85</v>
      </c>
      <c r="B109" s="50">
        <f ca="1">EDATE($B$24,A109)</f>
        <v>46977</v>
      </c>
      <c r="C109" s="50">
        <f t="shared" ca="1" si="30"/>
        <v>46977</v>
      </c>
      <c r="D109" s="13">
        <f t="shared" ca="1" si="33"/>
        <v>31</v>
      </c>
      <c r="E109" s="15">
        <f t="shared" ca="1" si="32"/>
        <v>3374599.4214996854</v>
      </c>
      <c r="F109" s="15">
        <f ca="1">IF(AND(A108="",A110=""),"",IF(A109="",SUM($F$25:F108),IF(A109=$D$8,$E$24-SUM($F$25:F108),$F$21-G109)))</f>
        <v>9242.2724001815695</v>
      </c>
      <c r="G109" s="15">
        <f ca="1">IF(A108=$D$8,SUM($G$25:G108),IF(A108&gt;$D$8,"",E108*D109*$F$18/T108))</f>
        <v>31813.659204124164</v>
      </c>
      <c r="H109" s="15">
        <f ca="1">IF(A108=$D$8,SUM($H$25:H108),IF(A108="","",(G109+F109)))</f>
        <v>41055.931604305733</v>
      </c>
      <c r="I109" s="15" t="str">
        <f t="shared" si="34"/>
        <v/>
      </c>
      <c r="J109" s="15" t="str">
        <f t="shared" si="35"/>
        <v/>
      </c>
      <c r="K109" s="15">
        <f>IF($F$8&gt;84,($O$8+$O$10),IF($A$108=$F$8,$K$37+$K$24+$K$49+$K$61+$K$73+$K$85+$K$97,""))</f>
        <v>17142.858</v>
      </c>
      <c r="L109" s="15" t="str">
        <f t="shared" si="36"/>
        <v/>
      </c>
      <c r="M109" s="15" t="str">
        <f t="shared" si="37"/>
        <v/>
      </c>
      <c r="N109" s="15">
        <f>IF($F$8&gt;84,($N$14),IF(A108=$F$8,N97+N85+N73+N61+N49+N37+N24,""))</f>
        <v>2500</v>
      </c>
      <c r="O109" s="15"/>
      <c r="P109" s="52" t="str">
        <f>IF(A108=$D$8,XIRR(R$24:R108,C$24:C108),"")</f>
        <v/>
      </c>
      <c r="Q109" s="15" t="str">
        <f t="shared" si="29"/>
        <v/>
      </c>
      <c r="R109" s="144">
        <f t="shared" ca="1" si="25"/>
        <v>60698.789604305734</v>
      </c>
      <c r="S109" s="168">
        <f t="shared" ca="1" si="26"/>
        <v>2028</v>
      </c>
      <c r="T109" s="168">
        <f t="shared" ca="1" si="27"/>
        <v>366</v>
      </c>
    </row>
    <row r="110" spans="1:20" x14ac:dyDescent="0.35">
      <c r="A110" s="13">
        <f t="shared" si="28"/>
        <v>86</v>
      </c>
      <c r="B110" s="50">
        <f t="shared" ref="B110:B173" ca="1" si="38">EDATE($B$24,A110)</f>
        <v>47008</v>
      </c>
      <c r="C110" s="50">
        <f t="shared" ca="1" si="30"/>
        <v>47008</v>
      </c>
      <c r="D110" s="13">
        <f t="shared" ca="1" si="33"/>
        <v>31</v>
      </c>
      <c r="E110" s="15">
        <f t="shared" ca="1" si="32"/>
        <v>3365270.2565876758</v>
      </c>
      <c r="F110" s="15">
        <f ca="1">IF(AND(A109="",A111=""),"",IF(A110="",SUM($F$25:F109),IF(A110=$D$8,$E$24-SUM($F$25:F109),$F$21-G110)))</f>
        <v>9329.1649120095099</v>
      </c>
      <c r="G110" s="15">
        <f ca="1">IF(A109=$D$8,SUM($G$25:G109),IF(A109&gt;$D$8,"",E109*D110*$F$18/T109))</f>
        <v>31726.766692296223</v>
      </c>
      <c r="H110" s="15">
        <f ca="1">IF(A109=$D$8,SUM($H$25:H109),IF(A109="","",(G110+F110)))</f>
        <v>41055.931604305733</v>
      </c>
      <c r="I110" s="15" t="str">
        <f t="shared" si="34"/>
        <v/>
      </c>
      <c r="J110" s="15" t="str">
        <f t="shared" si="35"/>
        <v/>
      </c>
      <c r="K110" s="15"/>
      <c r="L110" s="15" t="str">
        <f t="shared" si="36"/>
        <v/>
      </c>
      <c r="M110" s="15" t="str">
        <f t="shared" si="37"/>
        <v/>
      </c>
      <c r="N110" s="144" t="str">
        <f t="shared" si="31"/>
        <v/>
      </c>
      <c r="O110" s="15"/>
      <c r="P110" s="52" t="str">
        <f>IF(A109=$D$8,XIRR(R$24:R109,C$24:C109),"")</f>
        <v/>
      </c>
      <c r="Q110" s="15" t="str">
        <f t="shared" si="29"/>
        <v/>
      </c>
      <c r="R110" s="144">
        <f t="shared" ca="1" si="25"/>
        <v>41055.931604305733</v>
      </c>
      <c r="S110" s="168">
        <f t="shared" ca="1" si="26"/>
        <v>2028</v>
      </c>
      <c r="T110" s="168">
        <f t="shared" ca="1" si="27"/>
        <v>366</v>
      </c>
    </row>
    <row r="111" spans="1:20" x14ac:dyDescent="0.35">
      <c r="A111" s="13">
        <f t="shared" si="28"/>
        <v>87</v>
      </c>
      <c r="B111" s="50">
        <f t="shared" ca="1" si="38"/>
        <v>47038</v>
      </c>
      <c r="C111" s="50">
        <f t="shared" ca="1" si="30"/>
        <v>47038</v>
      </c>
      <c r="D111" s="13">
        <f t="shared" ca="1" si="33"/>
        <v>30</v>
      </c>
      <c r="E111" s="15">
        <f t="shared" ca="1" si="32"/>
        <v>3354832.7674818318</v>
      </c>
      <c r="F111" s="15">
        <f ca="1">IF(AND(A110="",A112=""),"",IF(A111="",SUM($F$25:F110),IF(A111=$D$8,$E$24-SUM($F$25:F110),$F$21-G111)))</f>
        <v>10437.489105844095</v>
      </c>
      <c r="G111" s="15">
        <f ca="1">IF(A110=$D$8,SUM($G$25:G110),IF(A110&gt;$D$8,"",E110*D111*$F$18/T110))</f>
        <v>30618.442498461638</v>
      </c>
      <c r="H111" s="15">
        <f ca="1">IF(A110=$D$8,SUM($H$25:H110),IF(A110="","",(G111+F111)))</f>
        <v>41055.931604305733</v>
      </c>
      <c r="I111" s="15" t="str">
        <f t="shared" si="34"/>
        <v/>
      </c>
      <c r="J111" s="15" t="str">
        <f t="shared" si="35"/>
        <v/>
      </c>
      <c r="K111" s="15"/>
      <c r="L111" s="15" t="str">
        <f t="shared" si="36"/>
        <v/>
      </c>
      <c r="M111" s="15" t="str">
        <f t="shared" si="37"/>
        <v/>
      </c>
      <c r="N111" s="144" t="str">
        <f t="shared" si="31"/>
        <v/>
      </c>
      <c r="O111" s="15"/>
      <c r="P111" s="52" t="str">
        <f>IF(A110=$D$8,XIRR(R$24:R110,C$24:C110),"")</f>
        <v/>
      </c>
      <c r="Q111" s="15" t="str">
        <f t="shared" si="29"/>
        <v/>
      </c>
      <c r="R111" s="144">
        <f t="shared" ca="1" si="25"/>
        <v>41055.931604305733</v>
      </c>
      <c r="S111" s="168">
        <f t="shared" ca="1" si="26"/>
        <v>2028</v>
      </c>
      <c r="T111" s="168">
        <f t="shared" ca="1" si="27"/>
        <v>366</v>
      </c>
    </row>
    <row r="112" spans="1:20" x14ac:dyDescent="0.35">
      <c r="A112" s="13">
        <f t="shared" si="28"/>
        <v>88</v>
      </c>
      <c r="B112" s="50">
        <f t="shared" ca="1" si="38"/>
        <v>47069</v>
      </c>
      <c r="C112" s="50">
        <f t="shared" ca="1" si="30"/>
        <v>47069</v>
      </c>
      <c r="D112" s="13">
        <f t="shared" ca="1" si="33"/>
        <v>31</v>
      </c>
      <c r="E112" s="15">
        <f t="shared" ca="1" si="32"/>
        <v>3345317.7636177037</v>
      </c>
      <c r="F112" s="15">
        <f ca="1">IF(AND(A111="",A113=""),"",IF(A112="",SUM($F$25:F111),IF(A112=$D$8,$E$24-SUM($F$25:F111),$F$21-G112)))</f>
        <v>9515.0038641281826</v>
      </c>
      <c r="G112" s="15">
        <f ca="1">IF(A111=$D$8,SUM($G$25:G111),IF(A111&gt;$D$8,"",E111*D112*$F$18/T111))</f>
        <v>31540.927740177551</v>
      </c>
      <c r="H112" s="15">
        <f ca="1">IF(A111=$D$8,SUM($H$25:H111),IF(A111="","",(G112+F112)))</f>
        <v>41055.931604305733</v>
      </c>
      <c r="I112" s="15" t="str">
        <f t="shared" si="34"/>
        <v/>
      </c>
      <c r="J112" s="15" t="str">
        <f t="shared" si="35"/>
        <v/>
      </c>
      <c r="K112" s="15"/>
      <c r="L112" s="15" t="str">
        <f t="shared" si="36"/>
        <v/>
      </c>
      <c r="M112" s="15" t="str">
        <f t="shared" si="37"/>
        <v/>
      </c>
      <c r="N112" s="144" t="str">
        <f t="shared" si="31"/>
        <v/>
      </c>
      <c r="O112" s="15"/>
      <c r="P112" s="52" t="str">
        <f>IF(A111=$D$8,XIRR(R$24:R111,C$24:C111),"")</f>
        <v/>
      </c>
      <c r="Q112" s="15" t="str">
        <f t="shared" si="29"/>
        <v/>
      </c>
      <c r="R112" s="144">
        <f t="shared" ca="1" si="25"/>
        <v>41055.931604305733</v>
      </c>
      <c r="S112" s="168">
        <f t="shared" ca="1" si="26"/>
        <v>2028</v>
      </c>
      <c r="T112" s="168">
        <f t="shared" ca="1" si="27"/>
        <v>366</v>
      </c>
    </row>
    <row r="113" spans="1:20" x14ac:dyDescent="0.35">
      <c r="A113" s="13">
        <f t="shared" si="28"/>
        <v>89</v>
      </c>
      <c r="B113" s="50">
        <f t="shared" ca="1" si="38"/>
        <v>47099</v>
      </c>
      <c r="C113" s="50">
        <f t="shared" ca="1" si="30"/>
        <v>47099</v>
      </c>
      <c r="D113" s="13">
        <f t="shared" ca="1" si="33"/>
        <v>30</v>
      </c>
      <c r="E113" s="15">
        <f t="shared" ca="1" si="32"/>
        <v>3334698.7395348377</v>
      </c>
      <c r="F113" s="15">
        <f ca="1">IF(AND(A112="",A114=""),"",IF(A113="",SUM($F$25:F112),IF(A113=$D$8,$E$24-SUM($F$25:F112),$F$21-G113)))</f>
        <v>10619.024082865966</v>
      </c>
      <c r="G113" s="15">
        <f ca="1">IF(A112=$D$8,SUM($G$25:G112),IF(A112&gt;$D$8,"",E112*D113*$F$18/T112))</f>
        <v>30436.907521439767</v>
      </c>
      <c r="H113" s="15">
        <f ca="1">IF(A112=$D$8,SUM($H$25:H112),IF(A112="","",(G113+F113)))</f>
        <v>41055.931604305733</v>
      </c>
      <c r="I113" s="15" t="str">
        <f t="shared" si="34"/>
        <v/>
      </c>
      <c r="J113" s="15" t="str">
        <f t="shared" si="35"/>
        <v/>
      </c>
      <c r="K113" s="15"/>
      <c r="L113" s="15" t="str">
        <f t="shared" si="36"/>
        <v/>
      </c>
      <c r="M113" s="15" t="str">
        <f t="shared" si="37"/>
        <v/>
      </c>
      <c r="N113" s="144" t="str">
        <f t="shared" si="31"/>
        <v/>
      </c>
      <c r="O113" s="15"/>
      <c r="P113" s="52" t="str">
        <f>IF(A112=$D$8,XIRR(R$24:R112,C$24:C112),"")</f>
        <v/>
      </c>
      <c r="Q113" s="15" t="str">
        <f t="shared" si="29"/>
        <v/>
      </c>
      <c r="R113" s="144">
        <f t="shared" ca="1" si="25"/>
        <v>41055.931604305733</v>
      </c>
      <c r="S113" s="168">
        <f t="shared" ca="1" si="26"/>
        <v>2028</v>
      </c>
      <c r="T113" s="168">
        <f t="shared" ca="1" si="27"/>
        <v>366</v>
      </c>
    </row>
    <row r="114" spans="1:20" x14ac:dyDescent="0.35">
      <c r="A114" s="13">
        <f t="shared" si="28"/>
        <v>90</v>
      </c>
      <c r="B114" s="50">
        <f t="shared" ca="1" si="38"/>
        <v>47130</v>
      </c>
      <c r="C114" s="50">
        <f t="shared" ca="1" si="30"/>
        <v>47130</v>
      </c>
      <c r="D114" s="13">
        <f t="shared" ca="1" si="33"/>
        <v>31</v>
      </c>
      <c r="E114" s="15">
        <f t="shared" ca="1" si="32"/>
        <v>3324994.4428014047</v>
      </c>
      <c r="F114" s="15">
        <f ca="1">IF(AND(A113="",A115=""),"",IF(A114="",SUM($F$25:F113),IF(A114=$D$8,$E$24-SUM($F$25:F113),$F$21-G114)))</f>
        <v>9704.2967334331188</v>
      </c>
      <c r="G114" s="15">
        <f ca="1">IF(A113=$D$8,SUM($G$25:G113),IF(A113&gt;$D$8,"",E113*D114*$F$18/T113))</f>
        <v>31351.634870872615</v>
      </c>
      <c r="H114" s="15">
        <f ca="1">IF(A113=$D$8,SUM($H$25:H113),IF(A113="","",(G114+F114)))</f>
        <v>41055.931604305733</v>
      </c>
      <c r="I114" s="15" t="str">
        <f t="shared" si="34"/>
        <v/>
      </c>
      <c r="J114" s="15" t="str">
        <f t="shared" si="35"/>
        <v/>
      </c>
      <c r="K114" s="15"/>
      <c r="L114" s="15" t="str">
        <f t="shared" si="36"/>
        <v/>
      </c>
      <c r="M114" s="15" t="str">
        <f t="shared" si="37"/>
        <v/>
      </c>
      <c r="N114" s="144" t="str">
        <f t="shared" si="31"/>
        <v/>
      </c>
      <c r="O114" s="15"/>
      <c r="P114" s="52" t="str">
        <f>IF(A113=$D$8,XIRR(R$24:R113,C$24:C113),"")</f>
        <v/>
      </c>
      <c r="Q114" s="15" t="str">
        <f t="shared" si="29"/>
        <v/>
      </c>
      <c r="R114" s="144">
        <f t="shared" ca="1" si="25"/>
        <v>41055.931604305733</v>
      </c>
      <c r="S114" s="168">
        <f t="shared" ca="1" si="26"/>
        <v>2029</v>
      </c>
      <c r="T114" s="168">
        <f t="shared" ca="1" si="27"/>
        <v>365</v>
      </c>
    </row>
    <row r="115" spans="1:20" x14ac:dyDescent="0.35">
      <c r="A115" s="13">
        <f t="shared" si="28"/>
        <v>91</v>
      </c>
      <c r="B115" s="50">
        <f t="shared" ca="1" si="38"/>
        <v>47161</v>
      </c>
      <c r="C115" s="50">
        <f t="shared" ca="1" si="30"/>
        <v>47161</v>
      </c>
      <c r="D115" s="13">
        <f t="shared" ca="1" si="33"/>
        <v>31</v>
      </c>
      <c r="E115" s="15">
        <f t="shared" ca="1" si="32"/>
        <v>3315284.5546975913</v>
      </c>
      <c r="F115" s="15">
        <f ca="1">IF(AND(A114="",A116=""),"",IF(A115="",SUM($F$25:F114),IF(A115=$D$8,$E$24-SUM($F$25:F114),$F$21-G115)))</f>
        <v>9709.8881038135842</v>
      </c>
      <c r="G115" s="15">
        <f ca="1">IF(A114=$D$8,SUM($G$25:G114),IF(A114&gt;$D$8,"",E114*D115*$F$18/T114))</f>
        <v>31346.043500492149</v>
      </c>
      <c r="H115" s="15">
        <f ca="1">IF(A114=$D$8,SUM($H$25:H114),IF(A114="","",(G115+F115)))</f>
        <v>41055.931604305733</v>
      </c>
      <c r="I115" s="15" t="str">
        <f t="shared" si="34"/>
        <v/>
      </c>
      <c r="J115" s="15" t="str">
        <f t="shared" si="35"/>
        <v/>
      </c>
      <c r="K115" s="15"/>
      <c r="L115" s="15" t="str">
        <f t="shared" si="36"/>
        <v/>
      </c>
      <c r="M115" s="15" t="str">
        <f t="shared" si="37"/>
        <v/>
      </c>
      <c r="N115" s="144" t="str">
        <f t="shared" si="31"/>
        <v/>
      </c>
      <c r="O115" s="15"/>
      <c r="P115" s="52" t="str">
        <f>IF(A114=$D$8,XIRR(R$24:R114,C$24:C114),"")</f>
        <v/>
      </c>
      <c r="Q115" s="15" t="str">
        <f t="shared" si="29"/>
        <v/>
      </c>
      <c r="R115" s="144">
        <f t="shared" ca="1" si="25"/>
        <v>41055.931604305733</v>
      </c>
      <c r="S115" s="168">
        <f t="shared" ca="1" si="26"/>
        <v>2029</v>
      </c>
      <c r="T115" s="168">
        <f t="shared" ca="1" si="27"/>
        <v>365</v>
      </c>
    </row>
    <row r="116" spans="1:20" x14ac:dyDescent="0.35">
      <c r="A116" s="13">
        <f t="shared" si="28"/>
        <v>92</v>
      </c>
      <c r="B116" s="50">
        <f t="shared" ca="1" si="38"/>
        <v>47189</v>
      </c>
      <c r="C116" s="50">
        <f t="shared" ca="1" si="30"/>
        <v>47189</v>
      </c>
      <c r="D116" s="13">
        <f t="shared" ca="1" si="33"/>
        <v>28</v>
      </c>
      <c r="E116" s="15">
        <f t="shared" ca="1" si="32"/>
        <v>3302458.4981508204</v>
      </c>
      <c r="F116" s="15">
        <f ca="1">IF(AND(A115="",A117=""),"",IF(A116="",SUM($F$25:F115),IF(A116=$D$8,$E$24-SUM($F$25:F115),$F$21-G116)))</f>
        <v>12826.056546771175</v>
      </c>
      <c r="G116" s="15">
        <f ca="1">IF(A115=$D$8,SUM($G$25:G115),IF(A115&gt;$D$8,"",E115*D116*$F$18/T115))</f>
        <v>28229.875057534558</v>
      </c>
      <c r="H116" s="15">
        <f ca="1">IF(A115=$D$8,SUM($H$25:H115),IF(A115="","",(G116+F116)))</f>
        <v>41055.931604305733</v>
      </c>
      <c r="I116" s="15" t="str">
        <f t="shared" si="34"/>
        <v/>
      </c>
      <c r="J116" s="15" t="str">
        <f t="shared" si="35"/>
        <v/>
      </c>
      <c r="K116" s="15"/>
      <c r="L116" s="15" t="str">
        <f t="shared" si="36"/>
        <v/>
      </c>
      <c r="M116" s="15" t="str">
        <f t="shared" si="37"/>
        <v/>
      </c>
      <c r="N116" s="144" t="str">
        <f t="shared" si="31"/>
        <v/>
      </c>
      <c r="O116" s="15"/>
      <c r="P116" s="52" t="str">
        <f>IF(A115=$D$8,XIRR(R$24:R115,C$24:C115),"")</f>
        <v/>
      </c>
      <c r="Q116" s="15" t="str">
        <f t="shared" si="29"/>
        <v/>
      </c>
      <c r="R116" s="144">
        <f t="shared" ca="1" si="25"/>
        <v>41055.931604305733</v>
      </c>
      <c r="S116" s="168">
        <f t="shared" ca="1" si="26"/>
        <v>2029</v>
      </c>
      <c r="T116" s="168">
        <f t="shared" ca="1" si="27"/>
        <v>365</v>
      </c>
    </row>
    <row r="117" spans="1:20" x14ac:dyDescent="0.35">
      <c r="A117" s="13">
        <f t="shared" si="28"/>
        <v>93</v>
      </c>
      <c r="B117" s="50">
        <f t="shared" ca="1" si="38"/>
        <v>47220</v>
      </c>
      <c r="C117" s="50">
        <f t="shared" ca="1" si="30"/>
        <v>47220</v>
      </c>
      <c r="D117" s="13">
        <f t="shared" ca="1" si="33"/>
        <v>31</v>
      </c>
      <c r="E117" s="15">
        <f t="shared" ca="1" si="32"/>
        <v>3292536.1547441501</v>
      </c>
      <c r="F117" s="15">
        <f ca="1">IF(AND(A116="",A118=""),"",IF(A117="",SUM($F$25:F116),IF(A117=$D$8,$E$24-SUM($F$25:F116),$F$21-G117)))</f>
        <v>9922.3434066701921</v>
      </c>
      <c r="G117" s="15">
        <f ca="1">IF(A116=$D$8,SUM($G$25:G116),IF(A116&gt;$D$8,"",E116*D117*$F$18/T116))</f>
        <v>31133.588197635541</v>
      </c>
      <c r="H117" s="15">
        <f ca="1">IF(A116=$D$8,SUM($H$25:H116),IF(A116="","",(G117+F117)))</f>
        <v>41055.931604305733</v>
      </c>
      <c r="I117" s="15" t="str">
        <f t="shared" si="34"/>
        <v/>
      </c>
      <c r="J117" s="15" t="str">
        <f t="shared" si="35"/>
        <v/>
      </c>
      <c r="K117" s="15"/>
      <c r="L117" s="15" t="str">
        <f t="shared" si="36"/>
        <v/>
      </c>
      <c r="M117" s="15" t="str">
        <f t="shared" si="37"/>
        <v/>
      </c>
      <c r="N117" s="144" t="str">
        <f t="shared" si="31"/>
        <v/>
      </c>
      <c r="O117" s="15"/>
      <c r="P117" s="52" t="str">
        <f>IF(A116=$D$8,XIRR(R$24:R116,C$24:C116),"")</f>
        <v/>
      </c>
      <c r="Q117" s="15" t="str">
        <f t="shared" si="29"/>
        <v/>
      </c>
      <c r="R117" s="144">
        <f t="shared" ca="1" si="25"/>
        <v>41055.931604305733</v>
      </c>
      <c r="S117" s="168">
        <f t="shared" ca="1" si="26"/>
        <v>2029</v>
      </c>
      <c r="T117" s="168">
        <f t="shared" ca="1" si="27"/>
        <v>365</v>
      </c>
    </row>
    <row r="118" spans="1:20" x14ac:dyDescent="0.35">
      <c r="A118" s="13">
        <f t="shared" si="28"/>
        <v>94</v>
      </c>
      <c r="B118" s="50">
        <f t="shared" ca="1" si="38"/>
        <v>47250</v>
      </c>
      <c r="C118" s="50">
        <f t="shared" ca="1" si="30"/>
        <v>47250</v>
      </c>
      <c r="D118" s="13">
        <f t="shared" ca="1" si="33"/>
        <v>30</v>
      </c>
      <c r="E118" s="15">
        <f t="shared" ca="1" si="32"/>
        <v>3281518.9776475104</v>
      </c>
      <c r="F118" s="15">
        <f ca="1">IF(AND(A117="",A119=""),"",IF(A118="",SUM($F$25:F117),IF(A118=$D$8,$E$24-SUM($F$25:F117),$F$21-G118)))</f>
        <v>11017.177096639924</v>
      </c>
      <c r="G118" s="15">
        <f ca="1">IF(A117=$D$8,SUM($G$25:G117),IF(A117&gt;$D$8,"",E117*D118*$F$18/T117))</f>
        <v>30038.75450766581</v>
      </c>
      <c r="H118" s="15">
        <f ca="1">IF(A117=$D$8,SUM($H$25:H117),IF(A117="","",(G118+F118)))</f>
        <v>41055.931604305733</v>
      </c>
      <c r="I118" s="15" t="str">
        <f t="shared" si="34"/>
        <v/>
      </c>
      <c r="J118" s="15" t="str">
        <f t="shared" si="35"/>
        <v/>
      </c>
      <c r="K118" s="15"/>
      <c r="L118" s="15" t="str">
        <f t="shared" si="36"/>
        <v/>
      </c>
      <c r="M118" s="15" t="str">
        <f t="shared" si="37"/>
        <v/>
      </c>
      <c r="N118" s="144" t="str">
        <f t="shared" si="31"/>
        <v/>
      </c>
      <c r="O118" s="15"/>
      <c r="P118" s="52" t="str">
        <f>IF(A117=$D$8,XIRR(R$24:R117,C$24:C117),"")</f>
        <v/>
      </c>
      <c r="Q118" s="15" t="str">
        <f t="shared" si="29"/>
        <v/>
      </c>
      <c r="R118" s="144">
        <f t="shared" ca="1" si="25"/>
        <v>41055.931604305733</v>
      </c>
      <c r="S118" s="168">
        <f t="shared" ca="1" si="26"/>
        <v>2029</v>
      </c>
      <c r="T118" s="168">
        <f t="shared" ca="1" si="27"/>
        <v>365</v>
      </c>
    </row>
    <row r="119" spans="1:20" x14ac:dyDescent="0.35">
      <c r="A119" s="13">
        <f t="shared" si="28"/>
        <v>95</v>
      </c>
      <c r="B119" s="50">
        <f t="shared" ca="1" si="38"/>
        <v>47281</v>
      </c>
      <c r="C119" s="50">
        <f t="shared" ca="1" si="30"/>
        <v>47281</v>
      </c>
      <c r="D119" s="13">
        <f t="shared" ca="1" si="33"/>
        <v>31</v>
      </c>
      <c r="E119" s="15">
        <f t="shared" ca="1" si="32"/>
        <v>3271399.2290626159</v>
      </c>
      <c r="F119" s="15">
        <f ca="1">IF(AND(A118="",A120=""),"",IF(A119="",SUM($F$25:F118),IF(A119=$D$8,$E$24-SUM($F$25:F118),$F$21-G119)))</f>
        <v>10119.748584894547</v>
      </c>
      <c r="G119" s="15">
        <f ca="1">IF(A118=$D$8,SUM($G$25:G118),IF(A118&gt;$D$8,"",E118*D119*$F$18/T118))</f>
        <v>30936.183019411186</v>
      </c>
      <c r="H119" s="15">
        <f ca="1">IF(A118=$D$8,SUM($H$25:H118),IF(A118="","",(G119+F119)))</f>
        <v>41055.931604305733</v>
      </c>
      <c r="I119" s="15" t="str">
        <f t="shared" si="34"/>
        <v/>
      </c>
      <c r="J119" s="15" t="str">
        <f t="shared" si="35"/>
        <v/>
      </c>
      <c r="K119" s="15"/>
      <c r="L119" s="15" t="str">
        <f t="shared" si="36"/>
        <v/>
      </c>
      <c r="M119" s="15" t="str">
        <f t="shared" si="37"/>
        <v/>
      </c>
      <c r="N119" s="144" t="str">
        <f t="shared" si="31"/>
        <v/>
      </c>
      <c r="O119" s="15"/>
      <c r="P119" s="52" t="str">
        <f>IF(A118=$D$8,XIRR(R$24:R118,C$24:C118),"")</f>
        <v/>
      </c>
      <c r="Q119" s="15" t="str">
        <f t="shared" si="29"/>
        <v/>
      </c>
      <c r="R119" s="144">
        <f t="shared" ca="1" si="25"/>
        <v>41055.931604305733</v>
      </c>
      <c r="S119" s="168">
        <f t="shared" ca="1" si="26"/>
        <v>2029</v>
      </c>
      <c r="T119" s="168">
        <f t="shared" ca="1" si="27"/>
        <v>365</v>
      </c>
    </row>
    <row r="120" spans="1:20" x14ac:dyDescent="0.35">
      <c r="A120" s="13">
        <f t="shared" si="28"/>
        <v>96</v>
      </c>
      <c r="B120" s="50">
        <f t="shared" ca="1" si="38"/>
        <v>47311</v>
      </c>
      <c r="C120" s="50">
        <f t="shared" ca="1" si="30"/>
        <v>47311</v>
      </c>
      <c r="D120" s="13">
        <f t="shared" ca="1" si="33"/>
        <v>30</v>
      </c>
      <c r="E120" s="15">
        <f t="shared" ca="1" si="32"/>
        <v>3260189.2137124981</v>
      </c>
      <c r="F120" s="15">
        <f ca="1">IF(AND(A119="",A121=""),"",IF(A120="",SUM($F$25:F119),IF(A120=$D$8,$E$24-SUM($F$25:F119),$F$21-G120)))</f>
        <v>11210.015350118032</v>
      </c>
      <c r="G120" s="15">
        <f ca="1">IF(A119=$D$8,SUM($G$25:G119),IF(A119&gt;$D$8,"",E119*D120*$F$18/T119))</f>
        <v>29845.916254187701</v>
      </c>
      <c r="H120" s="15">
        <f ca="1">IF(A119=$D$8,SUM($H$25:H119),IF(A119="","",(G120+F120)))</f>
        <v>41055.931604305733</v>
      </c>
      <c r="I120" s="15" t="str">
        <f t="shared" si="34"/>
        <v/>
      </c>
      <c r="J120" s="15" t="str">
        <f t="shared" si="35"/>
        <v/>
      </c>
      <c r="K120" s="15"/>
      <c r="L120" s="15" t="str">
        <f t="shared" si="36"/>
        <v/>
      </c>
      <c r="M120" s="15" t="str">
        <f t="shared" si="37"/>
        <v/>
      </c>
      <c r="N120" s="144" t="str">
        <f t="shared" si="31"/>
        <v/>
      </c>
      <c r="O120" s="15"/>
      <c r="P120" s="52" t="str">
        <f>IF(A119=$D$8,XIRR(R$24:R119,C$24:C119),"")</f>
        <v/>
      </c>
      <c r="Q120" s="15" t="str">
        <f t="shared" si="29"/>
        <v/>
      </c>
      <c r="R120" s="144">
        <f t="shared" ca="1" si="25"/>
        <v>41055.931604305733</v>
      </c>
      <c r="S120" s="168">
        <f t="shared" ca="1" si="26"/>
        <v>2029</v>
      </c>
      <c r="T120" s="168">
        <f t="shared" ca="1" si="27"/>
        <v>365</v>
      </c>
    </row>
    <row r="121" spans="1:20" x14ac:dyDescent="0.35">
      <c r="A121" s="13">
        <f t="shared" si="28"/>
        <v>97</v>
      </c>
      <c r="B121" s="50">
        <f t="shared" ca="1" si="38"/>
        <v>47342</v>
      </c>
      <c r="C121" s="50">
        <f t="shared" ca="1" si="30"/>
        <v>47342</v>
      </c>
      <c r="D121" s="13">
        <f t="shared" ca="1" si="33"/>
        <v>31</v>
      </c>
      <c r="E121" s="15">
        <f t="shared" ca="1" si="32"/>
        <v>3249868.3809695202</v>
      </c>
      <c r="F121" s="15">
        <f ca="1">IF(AND(A120="",A122=""),"",IF(A121="",SUM($F$25:F120),IF(A121=$D$8,$E$24-SUM($F$25:F120),$F$21-G121)))</f>
        <v>10320.832742977771</v>
      </c>
      <c r="G121" s="15">
        <f ca="1">IF(A120=$D$8,SUM($G$25:G120),IF(A120&gt;$D$8,"",E120*D121*$F$18/T120))</f>
        <v>30735.098861327962</v>
      </c>
      <c r="H121" s="15">
        <f ca="1">IF(A120=$D$8,SUM($H$25:H120),IF(A120="","",(G121+F121)))</f>
        <v>41055.931604305733</v>
      </c>
      <c r="I121" s="15" t="str">
        <f t="shared" si="34"/>
        <v/>
      </c>
      <c r="J121" s="15" t="str">
        <f t="shared" si="35"/>
        <v/>
      </c>
      <c r="K121" s="15">
        <f>IF($F$8&gt;96,($O$8+$O$10),IF($A$120=$F$8,$K$24*$G$8,""))</f>
        <v>17142.858</v>
      </c>
      <c r="L121" s="15" t="str">
        <f t="shared" si="36"/>
        <v/>
      </c>
      <c r="M121" s="15" t="str">
        <f t="shared" si="37"/>
        <v/>
      </c>
      <c r="N121" s="15">
        <f>IF($F$8&gt;96,($N$14),IF(A120=$F$8,N109+N97+N85+N73+N61+N49+N37+N24,""))</f>
        <v>2500</v>
      </c>
      <c r="O121" s="15"/>
      <c r="P121" s="52" t="str">
        <f>IF(A120=$D$8,XIRR(R$24:R120,C$24:C120),"")</f>
        <v/>
      </c>
      <c r="Q121" s="15" t="str">
        <f t="shared" si="29"/>
        <v/>
      </c>
      <c r="R121" s="144">
        <f t="shared" ca="1" si="25"/>
        <v>60698.789604305734</v>
      </c>
      <c r="S121" s="168">
        <f t="shared" ca="1" si="26"/>
        <v>2029</v>
      </c>
      <c r="T121" s="168">
        <f t="shared" ca="1" si="27"/>
        <v>365</v>
      </c>
    </row>
    <row r="122" spans="1:20" x14ac:dyDescent="0.35">
      <c r="A122" s="13">
        <f t="shared" si="28"/>
        <v>98</v>
      </c>
      <c r="B122" s="50">
        <f t="shared" ca="1" si="38"/>
        <v>47373</v>
      </c>
      <c r="C122" s="50">
        <f t="shared" ca="1" si="30"/>
        <v>47373</v>
      </c>
      <c r="D122" s="13">
        <f t="shared" ca="1" si="33"/>
        <v>31</v>
      </c>
      <c r="E122" s="15">
        <f t="shared" ca="1" si="32"/>
        <v>3239450.2496362175</v>
      </c>
      <c r="F122" s="15">
        <f ca="1">IF(AND(A121="",A123=""),"",IF(A122="",SUM($F$25:F121),IF(A122=$D$8,$E$24-SUM($F$25:F121),$F$21-G122)))</f>
        <v>10418.131333302666</v>
      </c>
      <c r="G122" s="15">
        <f ca="1">IF(A121=$D$8,SUM($G$25:G121),IF(A121&gt;$D$8,"",E121*D122*$F$18/T121))</f>
        <v>30637.800271003067</v>
      </c>
      <c r="H122" s="15">
        <f ca="1">IF(A121=$D$8,SUM($H$25:H121),IF(A121="","",(G122+F122)))</f>
        <v>41055.931604305733</v>
      </c>
      <c r="I122" s="15" t="str">
        <f t="shared" si="34"/>
        <v/>
      </c>
      <c r="J122" s="15" t="str">
        <f t="shared" si="35"/>
        <v/>
      </c>
      <c r="K122" s="15"/>
      <c r="L122" s="15" t="str">
        <f t="shared" si="36"/>
        <v/>
      </c>
      <c r="M122" s="15" t="str">
        <f t="shared" si="37"/>
        <v/>
      </c>
      <c r="N122" s="144" t="str">
        <f t="shared" si="31"/>
        <v/>
      </c>
      <c r="O122" s="15"/>
      <c r="P122" s="52" t="str">
        <f>IF(A121=$D$8,XIRR(R$24:R121,C$24:C121),"")</f>
        <v/>
      </c>
      <c r="Q122" s="15" t="str">
        <f t="shared" si="29"/>
        <v/>
      </c>
      <c r="R122" s="144">
        <f t="shared" ca="1" si="25"/>
        <v>41055.931604305733</v>
      </c>
      <c r="S122" s="168">
        <f t="shared" ca="1" si="26"/>
        <v>2029</v>
      </c>
      <c r="T122" s="168">
        <f t="shared" ca="1" si="27"/>
        <v>365</v>
      </c>
    </row>
    <row r="123" spans="1:20" x14ac:dyDescent="0.35">
      <c r="A123" s="13">
        <f t="shared" si="28"/>
        <v>99</v>
      </c>
      <c r="B123" s="50">
        <f t="shared" ca="1" si="38"/>
        <v>47403</v>
      </c>
      <c r="C123" s="50">
        <f t="shared" ca="1" si="30"/>
        <v>47403</v>
      </c>
      <c r="D123" s="13">
        <f t="shared" ca="1" si="33"/>
        <v>30</v>
      </c>
      <c r="E123" s="15">
        <f t="shared" ca="1" si="32"/>
        <v>3227948.75455599</v>
      </c>
      <c r="F123" s="15">
        <f ca="1">IF(AND(A122="",A124=""),"",IF(A123="",SUM($F$25:F122),IF(A123=$D$8,$E$24-SUM($F$25:F122),$F$21-G123)))</f>
        <v>11501.495080227367</v>
      </c>
      <c r="G123" s="15">
        <f ca="1">IF(A122=$D$8,SUM($G$25:G122),IF(A122&gt;$D$8,"",E122*D123*$F$18/T122))</f>
        <v>29554.436524078366</v>
      </c>
      <c r="H123" s="15">
        <f ca="1">IF(A122=$D$8,SUM($H$25:H122),IF(A122="","",(G123+F123)))</f>
        <v>41055.931604305733</v>
      </c>
      <c r="I123" s="15" t="str">
        <f t="shared" si="34"/>
        <v/>
      </c>
      <c r="J123" s="15" t="str">
        <f t="shared" si="35"/>
        <v/>
      </c>
      <c r="K123" s="15"/>
      <c r="L123" s="15" t="str">
        <f t="shared" si="36"/>
        <v/>
      </c>
      <c r="M123" s="15" t="str">
        <f t="shared" si="37"/>
        <v/>
      </c>
      <c r="N123" s="144" t="str">
        <f t="shared" si="31"/>
        <v/>
      </c>
      <c r="O123" s="15"/>
      <c r="P123" s="52" t="str">
        <f>IF(A122=$D$8,XIRR(R$24:R122,C$24:C122),"")</f>
        <v/>
      </c>
      <c r="Q123" s="15" t="str">
        <f t="shared" si="29"/>
        <v/>
      </c>
      <c r="R123" s="144">
        <f t="shared" ca="1" si="25"/>
        <v>41055.931604305733</v>
      </c>
      <c r="S123" s="168">
        <f t="shared" ca="1" si="26"/>
        <v>2029</v>
      </c>
      <c r="T123" s="168">
        <f t="shared" ca="1" si="27"/>
        <v>365</v>
      </c>
    </row>
    <row r="124" spans="1:20" x14ac:dyDescent="0.35">
      <c r="A124" s="13">
        <f t="shared" si="28"/>
        <v>100</v>
      </c>
      <c r="B124" s="50">
        <f t="shared" ca="1" si="38"/>
        <v>47434</v>
      </c>
      <c r="C124" s="50">
        <f t="shared" ca="1" si="30"/>
        <v>47434</v>
      </c>
      <c r="D124" s="13">
        <f t="shared" ca="1" si="33"/>
        <v>31</v>
      </c>
      <c r="E124" s="15">
        <f t="shared" ca="1" si="32"/>
        <v>3217323.9781966903</v>
      </c>
      <c r="F124" s="15">
        <f ca="1">IF(AND(A123="",A125=""),"",IF(A124="",SUM($F$25:F123),IF(A124=$D$8,$E$24-SUM($F$25:F123),$F$21-G124)))</f>
        <v>10624.776359299805</v>
      </c>
      <c r="G124" s="15">
        <f ca="1">IF(A123=$D$8,SUM($G$25:G123),IF(A123&gt;$D$8,"",E123*D124*$F$18/T123))</f>
        <v>30431.155245005928</v>
      </c>
      <c r="H124" s="15">
        <f ca="1">IF(A123=$D$8,SUM($H$25:H123),IF(A123="","",(G124+F124)))</f>
        <v>41055.931604305733</v>
      </c>
      <c r="I124" s="15" t="str">
        <f t="shared" si="34"/>
        <v/>
      </c>
      <c r="J124" s="15" t="str">
        <f t="shared" si="35"/>
        <v/>
      </c>
      <c r="K124" s="15"/>
      <c r="L124" s="15" t="str">
        <f t="shared" si="36"/>
        <v/>
      </c>
      <c r="M124" s="15" t="str">
        <f t="shared" si="37"/>
        <v/>
      </c>
      <c r="N124" s="144" t="str">
        <f t="shared" si="31"/>
        <v/>
      </c>
      <c r="O124" s="15"/>
      <c r="P124" s="52" t="str">
        <f>IF(A123=$D$8,XIRR(R$24:R123,C$24:C123),"")</f>
        <v/>
      </c>
      <c r="Q124" s="15" t="str">
        <f t="shared" si="29"/>
        <v/>
      </c>
      <c r="R124" s="144">
        <f t="shared" ca="1" si="25"/>
        <v>41055.931604305733</v>
      </c>
      <c r="S124" s="168">
        <f t="shared" ca="1" si="26"/>
        <v>2029</v>
      </c>
      <c r="T124" s="168">
        <f t="shared" ca="1" si="27"/>
        <v>365</v>
      </c>
    </row>
    <row r="125" spans="1:20" x14ac:dyDescent="0.35">
      <c r="A125" s="13">
        <f t="shared" si="28"/>
        <v>101</v>
      </c>
      <c r="B125" s="50">
        <f t="shared" ca="1" si="38"/>
        <v>47464</v>
      </c>
      <c r="C125" s="50">
        <f t="shared" ca="1" si="30"/>
        <v>47464</v>
      </c>
      <c r="D125" s="13">
        <f t="shared" ca="1" si="33"/>
        <v>30</v>
      </c>
      <c r="E125" s="15">
        <f t="shared" ca="1" si="32"/>
        <v>3205620.6187770283</v>
      </c>
      <c r="F125" s="15">
        <f ca="1">IF(AND(A124="",A126=""),"",IF(A125="",SUM($F$25:F124),IF(A125=$D$8,$E$24-SUM($F$25:F124),$F$21-G125)))</f>
        <v>11703.359419661956</v>
      </c>
      <c r="G125" s="15">
        <f ca="1">IF(A124=$D$8,SUM($G$25:G124),IF(A124&gt;$D$8,"",E124*D125*$F$18/T124))</f>
        <v>29352.572184643777</v>
      </c>
      <c r="H125" s="15">
        <f ca="1">IF(A124=$D$8,SUM($H$25:H124),IF(A124="","",(G125+F125)))</f>
        <v>41055.931604305733</v>
      </c>
      <c r="I125" s="15" t="str">
        <f t="shared" si="34"/>
        <v/>
      </c>
      <c r="J125" s="15" t="str">
        <f t="shared" si="35"/>
        <v/>
      </c>
      <c r="K125" s="15"/>
      <c r="L125" s="15" t="str">
        <f t="shared" si="36"/>
        <v/>
      </c>
      <c r="M125" s="15" t="str">
        <f t="shared" si="37"/>
        <v/>
      </c>
      <c r="N125" s="144" t="str">
        <f t="shared" si="31"/>
        <v/>
      </c>
      <c r="O125" s="15"/>
      <c r="P125" s="52" t="str">
        <f>IF(A124=$D$8,XIRR(R$24:R124,C$24:C124),"")</f>
        <v/>
      </c>
      <c r="Q125" s="15" t="str">
        <f t="shared" si="29"/>
        <v/>
      </c>
      <c r="R125" s="144">
        <f t="shared" ca="1" si="25"/>
        <v>41055.931604305733</v>
      </c>
      <c r="S125" s="168">
        <f t="shared" ca="1" si="26"/>
        <v>2029</v>
      </c>
      <c r="T125" s="168">
        <f t="shared" ca="1" si="27"/>
        <v>365</v>
      </c>
    </row>
    <row r="126" spans="1:20" x14ac:dyDescent="0.35">
      <c r="A126" s="13">
        <f t="shared" si="28"/>
        <v>102</v>
      </c>
      <c r="B126" s="50">
        <f t="shared" ca="1" si="38"/>
        <v>47495</v>
      </c>
      <c r="C126" s="50">
        <f t="shared" ca="1" si="30"/>
        <v>47495</v>
      </c>
      <c r="D126" s="13">
        <f t="shared" ca="1" si="33"/>
        <v>31</v>
      </c>
      <c r="E126" s="15">
        <f t="shared" ca="1" si="32"/>
        <v>3194785.3462116588</v>
      </c>
      <c r="F126" s="15">
        <f ca="1">IF(AND(A125="",A127=""),"",IF(A126="",SUM($F$25:F125),IF(A126=$D$8,$E$24-SUM($F$25:F125),$F$21-G126)))</f>
        <v>10835.272565369418</v>
      </c>
      <c r="G126" s="15">
        <f ca="1">IF(A125=$D$8,SUM($G$25:G125),IF(A125&gt;$D$8,"",E125*D126*$F$18/T125))</f>
        <v>30220.659038936315</v>
      </c>
      <c r="H126" s="15">
        <f ca="1">IF(A125=$D$8,SUM($H$25:H125),IF(A125="","",(G126+F126)))</f>
        <v>41055.931604305733</v>
      </c>
      <c r="I126" s="15" t="str">
        <f t="shared" si="34"/>
        <v/>
      </c>
      <c r="J126" s="15" t="str">
        <f t="shared" si="35"/>
        <v/>
      </c>
      <c r="K126" s="15"/>
      <c r="L126" s="15" t="str">
        <f t="shared" si="36"/>
        <v/>
      </c>
      <c r="M126" s="15" t="str">
        <f t="shared" si="37"/>
        <v/>
      </c>
      <c r="N126" s="144" t="str">
        <f t="shared" si="31"/>
        <v/>
      </c>
      <c r="O126" s="15"/>
      <c r="P126" s="52" t="str">
        <f>IF(A125=$D$8,XIRR(R$24:R125,C$24:C125),"")</f>
        <v/>
      </c>
      <c r="Q126" s="15" t="str">
        <f t="shared" si="29"/>
        <v/>
      </c>
      <c r="R126" s="144">
        <f t="shared" ca="1" si="25"/>
        <v>41055.931604305733</v>
      </c>
      <c r="S126" s="168">
        <f t="shared" ca="1" si="26"/>
        <v>2030</v>
      </c>
      <c r="T126" s="168">
        <f t="shared" ca="1" si="27"/>
        <v>365</v>
      </c>
    </row>
    <row r="127" spans="1:20" x14ac:dyDescent="0.35">
      <c r="A127" s="13">
        <f t="shared" si="28"/>
        <v>103</v>
      </c>
      <c r="B127" s="50">
        <f t="shared" ca="1" si="38"/>
        <v>47526</v>
      </c>
      <c r="C127" s="50">
        <f t="shared" ca="1" si="30"/>
        <v>47526</v>
      </c>
      <c r="D127" s="13">
        <f t="shared" ca="1" si="33"/>
        <v>31</v>
      </c>
      <c r="E127" s="15">
        <f t="shared" ca="1" si="32"/>
        <v>3183847.9252273925</v>
      </c>
      <c r="F127" s="15">
        <f ca="1">IF(AND(A126="",A128=""),"",IF(A127="",SUM($F$25:F126),IF(A127=$D$8,$E$24-SUM($F$25:F126),$F$21-G127)))</f>
        <v>10937.420984266508</v>
      </c>
      <c r="G127" s="15">
        <f ca="1">IF(A126=$D$8,SUM($G$25:G126),IF(A126&gt;$D$8,"",E126*D127*$F$18/T126))</f>
        <v>30118.510620039226</v>
      </c>
      <c r="H127" s="15">
        <f ca="1">IF(A126=$D$8,SUM($H$25:H126),IF(A126="","",(G127+F127)))</f>
        <v>41055.931604305733</v>
      </c>
      <c r="I127" s="15" t="str">
        <f t="shared" si="34"/>
        <v/>
      </c>
      <c r="J127" s="15" t="str">
        <f t="shared" si="35"/>
        <v/>
      </c>
      <c r="K127" s="15"/>
      <c r="L127" s="15" t="str">
        <f t="shared" si="36"/>
        <v/>
      </c>
      <c r="M127" s="15" t="str">
        <f t="shared" si="37"/>
        <v/>
      </c>
      <c r="N127" s="144" t="str">
        <f t="shared" si="31"/>
        <v/>
      </c>
      <c r="O127" s="15"/>
      <c r="P127" s="52" t="str">
        <f>IF(A126=$D$8,XIRR(R$24:R126,C$24:C126),"")</f>
        <v/>
      </c>
      <c r="Q127" s="15" t="str">
        <f t="shared" si="29"/>
        <v/>
      </c>
      <c r="R127" s="144">
        <f t="shared" ca="1" si="25"/>
        <v>41055.931604305733</v>
      </c>
      <c r="S127" s="168">
        <f t="shared" ca="1" si="26"/>
        <v>2030</v>
      </c>
      <c r="T127" s="168">
        <f t="shared" ca="1" si="27"/>
        <v>365</v>
      </c>
    </row>
    <row r="128" spans="1:20" x14ac:dyDescent="0.35">
      <c r="A128" s="13">
        <f t="shared" si="28"/>
        <v>104</v>
      </c>
      <c r="B128" s="50">
        <f t="shared" ca="1" si="38"/>
        <v>47554</v>
      </c>
      <c r="C128" s="50">
        <f t="shared" ca="1" si="30"/>
        <v>47554</v>
      </c>
      <c r="D128" s="13">
        <f t="shared" ca="1" si="33"/>
        <v>28</v>
      </c>
      <c r="E128" s="15">
        <f t="shared" ca="1" si="32"/>
        <v>3169902.6767781735</v>
      </c>
      <c r="F128" s="15">
        <f ca="1">IF(AND(A127="",A129=""),"",IF(A128="",SUM($F$25:F127),IF(A128=$D$8,$E$24-SUM($F$25:F127),$F$21-G128)))</f>
        <v>13945.248449218787</v>
      </c>
      <c r="G128" s="15">
        <f ca="1">IF(A127=$D$8,SUM($G$25:G127),IF(A127&gt;$D$8,"",E127*D128*$F$18/T127))</f>
        <v>27110.683155086946</v>
      </c>
      <c r="H128" s="15">
        <f ca="1">IF(A127=$D$8,SUM($H$25:H127),IF(A127="","",(G128+F128)))</f>
        <v>41055.931604305733</v>
      </c>
      <c r="I128" s="15" t="str">
        <f t="shared" si="34"/>
        <v/>
      </c>
      <c r="J128" s="15" t="str">
        <f t="shared" si="35"/>
        <v/>
      </c>
      <c r="K128" s="15"/>
      <c r="L128" s="15" t="str">
        <f t="shared" si="36"/>
        <v/>
      </c>
      <c r="M128" s="15" t="str">
        <f t="shared" si="37"/>
        <v/>
      </c>
      <c r="N128" s="144" t="str">
        <f t="shared" si="31"/>
        <v/>
      </c>
      <c r="O128" s="15"/>
      <c r="P128" s="52" t="str">
        <f>IF(A127=$D$8,XIRR(R$24:R127,C$24:C127),"")</f>
        <v/>
      </c>
      <c r="Q128" s="15" t="str">
        <f t="shared" si="29"/>
        <v/>
      </c>
      <c r="R128" s="144">
        <f t="shared" ca="1" si="25"/>
        <v>41055.931604305733</v>
      </c>
      <c r="S128" s="168">
        <f t="shared" ca="1" si="26"/>
        <v>2030</v>
      </c>
      <c r="T128" s="168">
        <f t="shared" ca="1" si="27"/>
        <v>365</v>
      </c>
    </row>
    <row r="129" spans="1:20" x14ac:dyDescent="0.35">
      <c r="A129" s="13">
        <f t="shared" si="28"/>
        <v>105</v>
      </c>
      <c r="B129" s="50">
        <f t="shared" ca="1" si="38"/>
        <v>47585</v>
      </c>
      <c r="C129" s="50">
        <f t="shared" ca="1" si="30"/>
        <v>47585</v>
      </c>
      <c r="D129" s="13">
        <f t="shared" ca="1" si="33"/>
        <v>31</v>
      </c>
      <c r="E129" s="15">
        <f t="shared" ca="1" si="32"/>
        <v>3158730.6769842617</v>
      </c>
      <c r="F129" s="15">
        <f ca="1">IF(AND(A128="",A130=""),"",IF(A129="",SUM($F$25:F128),IF(A129=$D$8,$E$24-SUM($F$25:F128),$F$21-G129)))</f>
        <v>11171.999793912044</v>
      </c>
      <c r="G129" s="15">
        <f ca="1">IF(A128=$D$8,SUM($G$25:G128),IF(A128&gt;$D$8,"",E128*D129*$F$18/T128))</f>
        <v>29883.931810393689</v>
      </c>
      <c r="H129" s="15">
        <f ca="1">IF(A128=$D$8,SUM($H$25:H128),IF(A128="","",(G129+F129)))</f>
        <v>41055.931604305733</v>
      </c>
      <c r="I129" s="15" t="str">
        <f t="shared" si="34"/>
        <v/>
      </c>
      <c r="J129" s="15" t="str">
        <f t="shared" si="35"/>
        <v/>
      </c>
      <c r="K129" s="15"/>
      <c r="L129" s="15" t="str">
        <f t="shared" si="36"/>
        <v/>
      </c>
      <c r="M129" s="15" t="str">
        <f t="shared" si="37"/>
        <v/>
      </c>
      <c r="N129" s="144" t="str">
        <f t="shared" si="31"/>
        <v/>
      </c>
      <c r="O129" s="15"/>
      <c r="P129" s="52" t="str">
        <f>IF(A128=$D$8,XIRR(R$24:R128,C$24:C128),"")</f>
        <v/>
      </c>
      <c r="Q129" s="15" t="str">
        <f t="shared" si="29"/>
        <v/>
      </c>
      <c r="R129" s="144">
        <f t="shared" ca="1" si="25"/>
        <v>41055.931604305733</v>
      </c>
      <c r="S129" s="168">
        <f t="shared" ca="1" si="26"/>
        <v>2030</v>
      </c>
      <c r="T129" s="168">
        <f t="shared" ca="1" si="27"/>
        <v>365</v>
      </c>
    </row>
    <row r="130" spans="1:20" x14ac:dyDescent="0.35">
      <c r="A130" s="13">
        <f t="shared" si="28"/>
        <v>106</v>
      </c>
      <c r="B130" s="50">
        <f t="shared" ca="1" si="38"/>
        <v>47615</v>
      </c>
      <c r="C130" s="50">
        <f t="shared" ca="1" si="30"/>
        <v>47615</v>
      </c>
      <c r="D130" s="13">
        <f t="shared" ca="1" si="33"/>
        <v>30</v>
      </c>
      <c r="E130" s="15">
        <f t="shared" ca="1" si="32"/>
        <v>3146492.7540220316</v>
      </c>
      <c r="F130" s="15">
        <f ca="1">IF(AND(A129="",A131=""),"",IF(A130="",SUM($F$25:F129),IF(A130=$D$8,$E$24-SUM($F$25:F129),$F$21-G130)))</f>
        <v>12237.922962230139</v>
      </c>
      <c r="G130" s="15">
        <f ca="1">IF(A129=$D$8,SUM($G$25:G129),IF(A129&gt;$D$8,"",E129*D130*$F$18/T129))</f>
        <v>28818.008642075594</v>
      </c>
      <c r="H130" s="15">
        <f ca="1">IF(A129=$D$8,SUM($H$25:H129),IF(A129="","",(G130+F130)))</f>
        <v>41055.931604305733</v>
      </c>
      <c r="I130" s="15" t="str">
        <f t="shared" si="34"/>
        <v/>
      </c>
      <c r="J130" s="15" t="str">
        <f t="shared" si="35"/>
        <v/>
      </c>
      <c r="K130" s="15"/>
      <c r="L130" s="15" t="str">
        <f t="shared" si="36"/>
        <v/>
      </c>
      <c r="M130" s="15" t="str">
        <f t="shared" si="37"/>
        <v/>
      </c>
      <c r="N130" s="144" t="str">
        <f t="shared" si="31"/>
        <v/>
      </c>
      <c r="O130" s="15"/>
      <c r="P130" s="52" t="str">
        <f>IF(A129=$D$8,XIRR(R$24:R129,C$24:C129),"")</f>
        <v/>
      </c>
      <c r="Q130" s="15" t="str">
        <f t="shared" si="29"/>
        <v/>
      </c>
      <c r="R130" s="144">
        <f t="shared" ca="1" si="25"/>
        <v>41055.931604305733</v>
      </c>
      <c r="S130" s="168">
        <f t="shared" ca="1" si="26"/>
        <v>2030</v>
      </c>
      <c r="T130" s="168">
        <f t="shared" ca="1" si="27"/>
        <v>365</v>
      </c>
    </row>
    <row r="131" spans="1:20" x14ac:dyDescent="0.35">
      <c r="A131" s="13">
        <f t="shared" si="28"/>
        <v>107</v>
      </c>
      <c r="B131" s="50">
        <f t="shared" ca="1" si="38"/>
        <v>47646</v>
      </c>
      <c r="C131" s="50">
        <f t="shared" ca="1" si="30"/>
        <v>47646</v>
      </c>
      <c r="D131" s="13">
        <f t="shared" ca="1" si="33"/>
        <v>31</v>
      </c>
      <c r="E131" s="15">
        <f t="shared" ca="1" si="32"/>
        <v>3135100.0595864649</v>
      </c>
      <c r="F131" s="15">
        <f ca="1">IF(AND(A130="",A132=""),"",IF(A131="",SUM($F$25:F130),IF(A131=$D$8,$E$24-SUM($F$25:F130),$F$21-G131)))</f>
        <v>11392.694435566529</v>
      </c>
      <c r="G131" s="15">
        <f ca="1">IF(A130=$D$8,SUM($G$25:G130),IF(A130&gt;$D$8,"",E130*D131*$F$18/T130))</f>
        <v>29663.237168739204</v>
      </c>
      <c r="H131" s="15">
        <f ca="1">IF(A130=$D$8,SUM($H$25:H130),IF(A130="","",(G131+F131)))</f>
        <v>41055.931604305733</v>
      </c>
      <c r="I131" s="15" t="str">
        <f t="shared" si="34"/>
        <v/>
      </c>
      <c r="J131" s="15" t="str">
        <f t="shared" si="35"/>
        <v/>
      </c>
      <c r="K131" s="15"/>
      <c r="L131" s="15" t="str">
        <f t="shared" si="36"/>
        <v/>
      </c>
      <c r="M131" s="15" t="str">
        <f t="shared" si="37"/>
        <v/>
      </c>
      <c r="N131" s="144" t="str">
        <f t="shared" si="31"/>
        <v/>
      </c>
      <c r="O131" s="15"/>
      <c r="P131" s="52" t="str">
        <f>IF(A130=$D$8,XIRR(R$24:R130,C$24:C130),"")</f>
        <v/>
      </c>
      <c r="Q131" s="15" t="str">
        <f t="shared" si="29"/>
        <v/>
      </c>
      <c r="R131" s="144">
        <f t="shared" ca="1" si="25"/>
        <v>41055.931604305733</v>
      </c>
      <c r="S131" s="168">
        <f t="shared" ca="1" si="26"/>
        <v>2030</v>
      </c>
      <c r="T131" s="168">
        <f t="shared" ca="1" si="27"/>
        <v>365</v>
      </c>
    </row>
    <row r="132" spans="1:20" x14ac:dyDescent="0.35">
      <c r="A132" s="13">
        <f t="shared" si="28"/>
        <v>108</v>
      </c>
      <c r="B132" s="50">
        <f t="shared" ca="1" si="38"/>
        <v>47676</v>
      </c>
      <c r="C132" s="50">
        <f t="shared" ca="1" si="30"/>
        <v>47676</v>
      </c>
      <c r="D132" s="13">
        <f t="shared" ca="1" si="33"/>
        <v>30</v>
      </c>
      <c r="E132" s="15">
        <f t="shared" ca="1" si="32"/>
        <v>3122646.5477038659</v>
      </c>
      <c r="F132" s="15">
        <f ca="1">IF(AND(A131="",A133=""),"",IF(A132="",SUM($F$25:F131),IF(A132=$D$8,$E$24-SUM($F$25:F131),$F$21-G132)))</f>
        <v>12453.511882599083</v>
      </c>
      <c r="G132" s="15">
        <f ca="1">IF(A131=$D$8,SUM($G$25:G131),IF(A131&gt;$D$8,"",E131*D132*$F$18/T131))</f>
        <v>28602.41972170665</v>
      </c>
      <c r="H132" s="15">
        <f ca="1">IF(A131=$D$8,SUM($H$25:H131),IF(A131="","",(G132+F132)))</f>
        <v>41055.931604305733</v>
      </c>
      <c r="I132" s="15" t="str">
        <f t="shared" si="34"/>
        <v/>
      </c>
      <c r="J132" s="15" t="str">
        <f t="shared" si="35"/>
        <v/>
      </c>
      <c r="K132" s="15"/>
      <c r="L132" s="15" t="str">
        <f t="shared" si="36"/>
        <v/>
      </c>
      <c r="M132" s="15" t="str">
        <f t="shared" si="37"/>
        <v/>
      </c>
      <c r="N132" s="144" t="str">
        <f t="shared" si="31"/>
        <v/>
      </c>
      <c r="O132" s="15"/>
      <c r="P132" s="52" t="str">
        <f>IF(A131=$D$8,XIRR(R$24:R131,C$24:C131),"")</f>
        <v/>
      </c>
      <c r="Q132" s="15" t="str">
        <f t="shared" si="29"/>
        <v/>
      </c>
      <c r="R132" s="144">
        <f t="shared" ca="1" si="25"/>
        <v>41055.931604305733</v>
      </c>
      <c r="S132" s="168">
        <f t="shared" ca="1" si="26"/>
        <v>2030</v>
      </c>
      <c r="T132" s="168">
        <f t="shared" ca="1" si="27"/>
        <v>365</v>
      </c>
    </row>
    <row r="133" spans="1:20" x14ac:dyDescent="0.35">
      <c r="A133" s="13">
        <f t="shared" si="28"/>
        <v>109</v>
      </c>
      <c r="B133" s="50">
        <f t="shared" ca="1" si="38"/>
        <v>47707</v>
      </c>
      <c r="C133" s="50">
        <f t="shared" ca="1" si="30"/>
        <v>47707</v>
      </c>
      <c r="D133" s="13">
        <f t="shared" ca="1" si="33"/>
        <v>31</v>
      </c>
      <c r="E133" s="15">
        <f t="shared" ca="1" si="32"/>
        <v>3111029.0456081876</v>
      </c>
      <c r="F133" s="15">
        <f ca="1">IF(AND(A132="",A134=""),"",IF(A133="",SUM($F$25:F132),IF(A133=$D$8,$E$24-SUM($F$25:F132),$F$21-G133)))</f>
        <v>11617.502095678326</v>
      </c>
      <c r="G133" s="15">
        <f ca="1">IF(A132=$D$8,SUM($G$25:G132),IF(A132&gt;$D$8,"",E132*D133*$F$18/T132))</f>
        <v>29438.429508627407</v>
      </c>
      <c r="H133" s="15">
        <f ca="1">IF(A132=$D$8,SUM($H$25:H132),IF(A132="","",(G133+F133)))</f>
        <v>41055.931604305733</v>
      </c>
      <c r="I133" s="15" t="str">
        <f t="shared" si="34"/>
        <v/>
      </c>
      <c r="J133" s="15" t="str">
        <f t="shared" si="35"/>
        <v/>
      </c>
      <c r="K133" s="15">
        <f>IF($F$8&gt;108,($O$8+$O$10),IF($A$132=$F$8,$K$24*$G$8,""))</f>
        <v>17142.858</v>
      </c>
      <c r="L133" s="15" t="str">
        <f t="shared" si="36"/>
        <v/>
      </c>
      <c r="M133" s="15" t="str">
        <f t="shared" si="37"/>
        <v/>
      </c>
      <c r="N133" s="15">
        <f>IF($F$8&gt;108,($N$14),IF(A132=$F$8,N121+N109+N97+N85+N73+N61+N49+N37+N24,""))</f>
        <v>2500</v>
      </c>
      <c r="O133" s="15"/>
      <c r="P133" s="52" t="str">
        <f>IF(A132=$D$8,XIRR(R$24:R132,C$24:C132),"")</f>
        <v/>
      </c>
      <c r="Q133" s="15" t="str">
        <f t="shared" si="29"/>
        <v/>
      </c>
      <c r="R133" s="144">
        <f t="shared" ca="1" si="25"/>
        <v>60698.789604305734</v>
      </c>
      <c r="S133" s="168">
        <f t="shared" ca="1" si="26"/>
        <v>2030</v>
      </c>
      <c r="T133" s="168">
        <f t="shared" ca="1" si="27"/>
        <v>365</v>
      </c>
    </row>
    <row r="134" spans="1:20" x14ac:dyDescent="0.35">
      <c r="A134" s="13">
        <f t="shared" si="28"/>
        <v>110</v>
      </c>
      <c r="B134" s="50">
        <f t="shared" ca="1" si="38"/>
        <v>47738</v>
      </c>
      <c r="C134" s="50">
        <f t="shared" ca="1" si="30"/>
        <v>47738</v>
      </c>
      <c r="D134" s="13">
        <f t="shared" ca="1" si="33"/>
        <v>31</v>
      </c>
      <c r="E134" s="15">
        <f t="shared" ca="1" si="32"/>
        <v>3099302.0207050811</v>
      </c>
      <c r="F134" s="15">
        <f ca="1">IF(AND(A133="",A135=""),"",IF(A134="",SUM($F$25:F133),IF(A134=$D$8,$E$24-SUM($F$25:F133),$F$21-G134)))</f>
        <v>11727.024903106354</v>
      </c>
      <c r="G134" s="15">
        <f ca="1">IF(A133=$D$8,SUM($G$25:G133),IF(A133&gt;$D$8,"",E133*D134*$F$18/T133))</f>
        <v>29328.906701199379</v>
      </c>
      <c r="H134" s="15">
        <f ca="1">IF(A133=$D$8,SUM($H$25:H133),IF(A133="","",(G134+F134)))</f>
        <v>41055.931604305733</v>
      </c>
      <c r="I134" s="15" t="str">
        <f t="shared" si="34"/>
        <v/>
      </c>
      <c r="J134" s="15" t="str">
        <f t="shared" si="35"/>
        <v/>
      </c>
      <c r="K134" s="15"/>
      <c r="L134" s="15" t="str">
        <f t="shared" si="36"/>
        <v/>
      </c>
      <c r="M134" s="15" t="str">
        <f t="shared" si="37"/>
        <v/>
      </c>
      <c r="N134" s="144" t="str">
        <f t="shared" si="31"/>
        <v/>
      </c>
      <c r="O134" s="15"/>
      <c r="P134" s="52" t="str">
        <f>IF(A133=$D$8,XIRR(R$24:R133,C$24:C133),"")</f>
        <v/>
      </c>
      <c r="Q134" s="15" t="str">
        <f t="shared" si="29"/>
        <v/>
      </c>
      <c r="R134" s="144">
        <f t="shared" ca="1" si="25"/>
        <v>41055.931604305733</v>
      </c>
      <c r="S134" s="168">
        <f t="shared" ca="1" si="26"/>
        <v>2030</v>
      </c>
      <c r="T134" s="168">
        <f t="shared" ca="1" si="27"/>
        <v>365</v>
      </c>
    </row>
    <row r="135" spans="1:20" x14ac:dyDescent="0.35">
      <c r="A135" s="13">
        <f t="shared" si="28"/>
        <v>111</v>
      </c>
      <c r="B135" s="50">
        <f t="shared" ca="1" si="38"/>
        <v>47768</v>
      </c>
      <c r="C135" s="50">
        <f t="shared" ca="1" si="30"/>
        <v>47768</v>
      </c>
      <c r="D135" s="13">
        <f t="shared" ca="1" si="33"/>
        <v>30</v>
      </c>
      <c r="E135" s="15">
        <f t="shared" ca="1" si="32"/>
        <v>3086521.9130157013</v>
      </c>
      <c r="F135" s="15">
        <f ca="1">IF(AND(A134="",A136=""),"",IF(A135="",SUM($F$25:F134),IF(A135=$D$8,$E$24-SUM($F$25:F134),$F$21-G135)))</f>
        <v>12780.107689379922</v>
      </c>
      <c r="G135" s="15">
        <f ca="1">IF(A134=$D$8,SUM($G$25:G134),IF(A134&gt;$D$8,"",E134*D135*$F$18/T134))</f>
        <v>28275.823914925812</v>
      </c>
      <c r="H135" s="15">
        <f ca="1">IF(A134=$D$8,SUM($H$25:H134),IF(A134="","",(G135+F135)))</f>
        <v>41055.931604305733</v>
      </c>
      <c r="I135" s="15" t="str">
        <f t="shared" si="34"/>
        <v/>
      </c>
      <c r="J135" s="15" t="str">
        <f t="shared" si="35"/>
        <v/>
      </c>
      <c r="K135" s="15"/>
      <c r="L135" s="15" t="str">
        <f t="shared" si="36"/>
        <v/>
      </c>
      <c r="M135" s="15" t="str">
        <f t="shared" si="37"/>
        <v/>
      </c>
      <c r="N135" s="144" t="str">
        <f t="shared" si="31"/>
        <v/>
      </c>
      <c r="O135" s="15"/>
      <c r="P135" s="52" t="str">
        <f>IF(A134=$D$8,XIRR(R$24:R134,C$24:C134),"")</f>
        <v/>
      </c>
      <c r="Q135" s="15" t="str">
        <f t="shared" si="29"/>
        <v/>
      </c>
      <c r="R135" s="144">
        <f t="shared" ca="1" si="25"/>
        <v>41055.931604305733</v>
      </c>
      <c r="S135" s="168">
        <f t="shared" ca="1" si="26"/>
        <v>2030</v>
      </c>
      <c r="T135" s="168">
        <f t="shared" ca="1" si="27"/>
        <v>365</v>
      </c>
    </row>
    <row r="136" spans="1:20" x14ac:dyDescent="0.35">
      <c r="A136" s="13">
        <f t="shared" si="28"/>
        <v>112</v>
      </c>
      <c r="B136" s="50">
        <f t="shared" ca="1" si="38"/>
        <v>47799</v>
      </c>
      <c r="C136" s="50">
        <f t="shared" ca="1" si="30"/>
        <v>47799</v>
      </c>
      <c r="D136" s="13">
        <f t="shared" ca="1" si="33"/>
        <v>31</v>
      </c>
      <c r="E136" s="15">
        <f t="shared" ca="1" si="32"/>
        <v>3074563.8496379354</v>
      </c>
      <c r="F136" s="15">
        <f ca="1">IF(AND(A135="",A137=""),"",IF(A136="",SUM($F$25:F135),IF(A136=$D$8,$E$24-SUM($F$25:F135),$F$21-G136)))</f>
        <v>11958.063377765931</v>
      </c>
      <c r="G136" s="15">
        <f ca="1">IF(A135=$D$8,SUM($G$25:G135),IF(A135&gt;$D$8,"",E135*D136*$F$18/T135))</f>
        <v>29097.868226539802</v>
      </c>
      <c r="H136" s="15">
        <f ca="1">IF(A135=$D$8,SUM($H$25:H135),IF(A135="","",(G136+F136)))</f>
        <v>41055.931604305733</v>
      </c>
      <c r="I136" s="15" t="str">
        <f t="shared" si="34"/>
        <v/>
      </c>
      <c r="J136" s="15" t="str">
        <f t="shared" si="35"/>
        <v/>
      </c>
      <c r="K136" s="15"/>
      <c r="L136" s="15" t="str">
        <f t="shared" si="36"/>
        <v/>
      </c>
      <c r="M136" s="15" t="str">
        <f t="shared" si="37"/>
        <v/>
      </c>
      <c r="N136" s="144" t="str">
        <f t="shared" si="31"/>
        <v/>
      </c>
      <c r="O136" s="15"/>
      <c r="P136" s="52" t="str">
        <f>IF(A135=$D$8,XIRR(R$24:R135,C$24:C135),"")</f>
        <v/>
      </c>
      <c r="Q136" s="15" t="str">
        <f t="shared" si="29"/>
        <v/>
      </c>
      <c r="R136" s="144">
        <f t="shared" ca="1" si="25"/>
        <v>41055.931604305733</v>
      </c>
      <c r="S136" s="168">
        <f t="shared" ca="1" si="26"/>
        <v>2030</v>
      </c>
      <c r="T136" s="168">
        <f t="shared" ca="1" si="27"/>
        <v>365</v>
      </c>
    </row>
    <row r="137" spans="1:20" x14ac:dyDescent="0.35">
      <c r="A137" s="13">
        <f t="shared" si="28"/>
        <v>113</v>
      </c>
      <c r="B137" s="50">
        <f t="shared" ca="1" si="38"/>
        <v>47829</v>
      </c>
      <c r="C137" s="50">
        <f t="shared" ca="1" si="30"/>
        <v>47829</v>
      </c>
      <c r="D137" s="13">
        <f t="shared" ca="1" si="33"/>
        <v>30</v>
      </c>
      <c r="E137" s="15">
        <f t="shared" ca="1" si="32"/>
        <v>3061558.0484974496</v>
      </c>
      <c r="F137" s="15">
        <f ca="1">IF(AND(A136="",A138=""),"",IF(A137="",SUM($F$25:F136),IF(A137=$D$8,$E$24-SUM($F$25:F136),$F$21-G137)))</f>
        <v>13005.801140485666</v>
      </c>
      <c r="G137" s="15">
        <f ca="1">IF(A136=$D$8,SUM($G$25:G136),IF(A136&gt;$D$8,"",E136*D137*$F$18/T136))</f>
        <v>28050.130463820067</v>
      </c>
      <c r="H137" s="15">
        <f ca="1">IF(A136=$D$8,SUM($H$25:H136),IF(A136="","",(G137+F137)))</f>
        <v>41055.931604305733</v>
      </c>
      <c r="I137" s="15" t="str">
        <f t="shared" si="34"/>
        <v/>
      </c>
      <c r="J137" s="15" t="str">
        <f t="shared" si="35"/>
        <v/>
      </c>
      <c r="K137" s="15"/>
      <c r="L137" s="15" t="str">
        <f t="shared" si="36"/>
        <v/>
      </c>
      <c r="M137" s="15" t="str">
        <f t="shared" si="37"/>
        <v/>
      </c>
      <c r="N137" s="144" t="str">
        <f t="shared" si="31"/>
        <v/>
      </c>
      <c r="O137" s="15"/>
      <c r="P137" s="52" t="str">
        <f>IF(A136=$D$8,XIRR(R$24:R136,C$24:C136),"")</f>
        <v/>
      </c>
      <c r="Q137" s="15" t="str">
        <f t="shared" si="29"/>
        <v/>
      </c>
      <c r="R137" s="144">
        <f t="shared" ca="1" si="25"/>
        <v>41055.931604305733</v>
      </c>
      <c r="S137" s="168">
        <f t="shared" ca="1" si="26"/>
        <v>2030</v>
      </c>
      <c r="T137" s="168">
        <f t="shared" ca="1" si="27"/>
        <v>365</v>
      </c>
    </row>
    <row r="138" spans="1:20" x14ac:dyDescent="0.35">
      <c r="A138" s="13">
        <f t="shared" si="28"/>
        <v>114</v>
      </c>
      <c r="B138" s="50">
        <f t="shared" ca="1" si="38"/>
        <v>47860</v>
      </c>
      <c r="C138" s="50">
        <f t="shared" ca="1" si="30"/>
        <v>47860</v>
      </c>
      <c r="D138" s="13">
        <f t="shared" ca="1" si="33"/>
        <v>31</v>
      </c>
      <c r="E138" s="15">
        <f t="shared" ca="1" si="32"/>
        <v>3049364.6408517184</v>
      </c>
      <c r="F138" s="15">
        <f ca="1">IF(AND(A137="",A139=""),"",IF(A138="",SUM($F$25:F137),IF(A138=$D$8,$E$24-SUM($F$25:F137),$F$21-G138)))</f>
        <v>12193.407645731146</v>
      </c>
      <c r="G138" s="15">
        <f ca="1">IF(A137=$D$8,SUM($G$25:G137),IF(A137&gt;$D$8,"",E137*D138*$F$18/T137))</f>
        <v>28862.523958574588</v>
      </c>
      <c r="H138" s="15">
        <f ca="1">IF(A137=$D$8,SUM($H$25:H137),IF(A137="","",(G138+F138)))</f>
        <v>41055.931604305733</v>
      </c>
      <c r="I138" s="15" t="str">
        <f t="shared" si="34"/>
        <v/>
      </c>
      <c r="J138" s="15" t="str">
        <f t="shared" si="35"/>
        <v/>
      </c>
      <c r="K138" s="15"/>
      <c r="L138" s="15" t="str">
        <f t="shared" si="36"/>
        <v/>
      </c>
      <c r="M138" s="15" t="str">
        <f t="shared" si="37"/>
        <v/>
      </c>
      <c r="N138" s="144" t="str">
        <f t="shared" si="31"/>
        <v/>
      </c>
      <c r="O138" s="15"/>
      <c r="P138" s="52" t="str">
        <f>IF(A137=$D$8,XIRR(R$24:R137,C$24:C137),"")</f>
        <v/>
      </c>
      <c r="Q138" s="15" t="str">
        <f t="shared" si="29"/>
        <v/>
      </c>
      <c r="R138" s="144">
        <f t="shared" ca="1" si="25"/>
        <v>41055.931604305733</v>
      </c>
      <c r="S138" s="168">
        <f t="shared" ca="1" si="26"/>
        <v>2031</v>
      </c>
      <c r="T138" s="168">
        <f t="shared" ca="1" si="27"/>
        <v>365</v>
      </c>
    </row>
    <row r="139" spans="1:20" x14ac:dyDescent="0.35">
      <c r="A139" s="13">
        <f t="shared" si="28"/>
        <v>115</v>
      </c>
      <c r="B139" s="50">
        <f t="shared" ca="1" si="38"/>
        <v>47891</v>
      </c>
      <c r="C139" s="50">
        <f t="shared" ca="1" si="30"/>
        <v>47891</v>
      </c>
      <c r="D139" s="13">
        <f t="shared" ca="1" si="33"/>
        <v>31</v>
      </c>
      <c r="E139" s="15">
        <f t="shared" ca="1" si="32"/>
        <v>3037056.2811081544</v>
      </c>
      <c r="F139" s="15">
        <f ca="1">IF(AND(A138="",A140=""),"",IF(A139="",SUM($F$25:F138),IF(A139=$D$8,$E$24-SUM($F$25:F138),$F$21-G139)))</f>
        <v>12308.35974356392</v>
      </c>
      <c r="G139" s="15">
        <f ca="1">IF(A138=$D$8,SUM($G$25:G138),IF(A138&gt;$D$8,"",E138*D139*$F$18/T138))</f>
        <v>28747.571860741813</v>
      </c>
      <c r="H139" s="15">
        <f ca="1">IF(A138=$D$8,SUM($H$25:H138),IF(A138="","",(G139+F139)))</f>
        <v>41055.931604305733</v>
      </c>
      <c r="I139" s="15" t="str">
        <f t="shared" si="34"/>
        <v/>
      </c>
      <c r="J139" s="15" t="str">
        <f t="shared" si="35"/>
        <v/>
      </c>
      <c r="K139" s="15"/>
      <c r="L139" s="15" t="str">
        <f t="shared" si="36"/>
        <v/>
      </c>
      <c r="M139" s="15" t="str">
        <f t="shared" si="37"/>
        <v/>
      </c>
      <c r="N139" s="144" t="str">
        <f t="shared" si="31"/>
        <v/>
      </c>
      <c r="O139" s="15"/>
      <c r="P139" s="52" t="str">
        <f>IF(A138=$D$8,XIRR(R$24:R138,C$24:C138),"")</f>
        <v/>
      </c>
      <c r="Q139" s="15" t="str">
        <f t="shared" si="29"/>
        <v/>
      </c>
      <c r="R139" s="144">
        <f t="shared" ca="1" si="25"/>
        <v>41055.931604305733</v>
      </c>
      <c r="S139" s="168">
        <f t="shared" ca="1" si="26"/>
        <v>2031</v>
      </c>
      <c r="T139" s="168">
        <f t="shared" ca="1" si="27"/>
        <v>365</v>
      </c>
    </row>
    <row r="140" spans="1:20" x14ac:dyDescent="0.35">
      <c r="A140" s="13">
        <f t="shared" si="28"/>
        <v>116</v>
      </c>
      <c r="B140" s="50">
        <f t="shared" ca="1" si="38"/>
        <v>47919</v>
      </c>
      <c r="C140" s="50">
        <f t="shared" ca="1" si="30"/>
        <v>47919</v>
      </c>
      <c r="D140" s="13">
        <f t="shared" ca="1" si="33"/>
        <v>28</v>
      </c>
      <c r="E140" s="15">
        <f t="shared" ca="1" si="32"/>
        <v>3021861.0917550381</v>
      </c>
      <c r="F140" s="15">
        <f ca="1">IF(AND(A139="",A141=""),"",IF(A140="",SUM($F$25:F139),IF(A140=$D$8,$E$24-SUM($F$25:F139),$F$21-G140)))</f>
        <v>15195.189353116297</v>
      </c>
      <c r="G140" s="15">
        <f ca="1">IF(A139=$D$8,SUM($G$25:G139),IF(A139&gt;$D$8,"",E139*D140*$F$18/T139))</f>
        <v>25860.742251189437</v>
      </c>
      <c r="H140" s="15">
        <f ca="1">IF(A139=$D$8,SUM($H$25:H139),IF(A139="","",(G140+F140)))</f>
        <v>41055.931604305733</v>
      </c>
      <c r="I140" s="15" t="str">
        <f t="shared" si="34"/>
        <v/>
      </c>
      <c r="J140" s="15" t="str">
        <f t="shared" si="35"/>
        <v/>
      </c>
      <c r="K140" s="15"/>
      <c r="L140" s="15" t="str">
        <f t="shared" si="36"/>
        <v/>
      </c>
      <c r="M140" s="15" t="str">
        <f t="shared" si="37"/>
        <v/>
      </c>
      <c r="N140" s="144" t="str">
        <f t="shared" si="31"/>
        <v/>
      </c>
      <c r="O140" s="15"/>
      <c r="P140" s="52" t="str">
        <f>IF(A139=$D$8,XIRR(R$24:R139,C$24:C139),"")</f>
        <v/>
      </c>
      <c r="Q140" s="15" t="str">
        <f t="shared" si="29"/>
        <v/>
      </c>
      <c r="R140" s="144">
        <f t="shared" ca="1" si="25"/>
        <v>41055.931604305733</v>
      </c>
      <c r="S140" s="168">
        <f t="shared" ca="1" si="26"/>
        <v>2031</v>
      </c>
      <c r="T140" s="168">
        <f t="shared" ca="1" si="27"/>
        <v>365</v>
      </c>
    </row>
    <row r="141" spans="1:20" x14ac:dyDescent="0.35">
      <c r="A141" s="13">
        <f t="shared" si="28"/>
        <v>117</v>
      </c>
      <c r="B141" s="50">
        <f t="shared" ca="1" si="38"/>
        <v>47950</v>
      </c>
      <c r="C141" s="50">
        <f t="shared" ca="1" si="30"/>
        <v>47950</v>
      </c>
      <c r="D141" s="13">
        <f t="shared" ca="1" si="33"/>
        <v>31</v>
      </c>
      <c r="E141" s="15">
        <f t="shared" ca="1" si="32"/>
        <v>3009293.4451280725</v>
      </c>
      <c r="F141" s="15">
        <f ca="1">IF(AND(A140="",A142=""),"",IF(A141="",SUM($F$25:F140),IF(A141=$D$8,$E$24-SUM($F$25:F140),$F$21-G141)))</f>
        <v>12567.646626965769</v>
      </c>
      <c r="G141" s="15">
        <f ca="1">IF(A140=$D$8,SUM($G$25:G140),IF(A140&gt;$D$8,"",E140*D141*$F$18/T140))</f>
        <v>28488.284977339965</v>
      </c>
      <c r="H141" s="15">
        <f ca="1">IF(A140=$D$8,SUM($H$25:H140),IF(A140="","",(G141+F141)))</f>
        <v>41055.931604305733</v>
      </c>
      <c r="I141" s="15" t="str">
        <f t="shared" si="34"/>
        <v/>
      </c>
      <c r="J141" s="15" t="str">
        <f t="shared" si="35"/>
        <v/>
      </c>
      <c r="K141" s="15"/>
      <c r="L141" s="15" t="str">
        <f t="shared" si="36"/>
        <v/>
      </c>
      <c r="M141" s="15" t="str">
        <f t="shared" si="37"/>
        <v/>
      </c>
      <c r="N141" s="144" t="str">
        <f t="shared" si="31"/>
        <v/>
      </c>
      <c r="O141" s="15"/>
      <c r="P141" s="52" t="str">
        <f>IF(A140=$D$8,XIRR(R$24:R140,C$24:C140),"")</f>
        <v/>
      </c>
      <c r="Q141" s="15" t="str">
        <f t="shared" si="29"/>
        <v/>
      </c>
      <c r="R141" s="144">
        <f t="shared" ca="1" si="25"/>
        <v>41055.931604305733</v>
      </c>
      <c r="S141" s="168">
        <f t="shared" ca="1" si="26"/>
        <v>2031</v>
      </c>
      <c r="T141" s="168">
        <f t="shared" ca="1" si="27"/>
        <v>365</v>
      </c>
    </row>
    <row r="142" spans="1:20" x14ac:dyDescent="0.35">
      <c r="A142" s="13">
        <f t="shared" si="28"/>
        <v>118</v>
      </c>
      <c r="B142" s="50">
        <f t="shared" ca="1" si="38"/>
        <v>47980</v>
      </c>
      <c r="C142" s="50">
        <f t="shared" ca="1" si="30"/>
        <v>47980</v>
      </c>
      <c r="D142" s="13">
        <f t="shared" ca="1" si="33"/>
        <v>30</v>
      </c>
      <c r="E142" s="15">
        <f t="shared" ca="1" si="32"/>
        <v>2995692.1633108258</v>
      </c>
      <c r="F142" s="15">
        <f ca="1">IF(AND(A141="",A143=""),"",IF(A142="",SUM($F$25:F141),IF(A142=$D$8,$E$24-SUM($F$25:F141),$F$21-G142)))</f>
        <v>13601.281817246883</v>
      </c>
      <c r="G142" s="15">
        <f ca="1">IF(A141=$D$8,SUM($G$25:G141),IF(A141&gt;$D$8,"",E141*D142*$F$18/T141))</f>
        <v>27454.64978705885</v>
      </c>
      <c r="H142" s="15">
        <f ca="1">IF(A141=$D$8,SUM($H$25:H141),IF(A141="","",(G142+F142)))</f>
        <v>41055.931604305733</v>
      </c>
      <c r="I142" s="15" t="str">
        <f t="shared" si="34"/>
        <v/>
      </c>
      <c r="J142" s="15" t="str">
        <f t="shared" si="35"/>
        <v/>
      </c>
      <c r="K142" s="15"/>
      <c r="L142" s="15" t="str">
        <f t="shared" si="36"/>
        <v/>
      </c>
      <c r="M142" s="15" t="str">
        <f t="shared" si="37"/>
        <v/>
      </c>
      <c r="N142" s="144" t="str">
        <f t="shared" si="31"/>
        <v/>
      </c>
      <c r="O142" s="15"/>
      <c r="P142" s="52" t="str">
        <f>IF(A141=$D$8,XIRR(R$24:R141,C$24:C141),"")</f>
        <v/>
      </c>
      <c r="Q142" s="15" t="str">
        <f t="shared" si="29"/>
        <v/>
      </c>
      <c r="R142" s="144">
        <f t="shared" ca="1" si="25"/>
        <v>41055.931604305733</v>
      </c>
      <c r="S142" s="168">
        <f t="shared" ca="1" si="26"/>
        <v>2031</v>
      </c>
      <c r="T142" s="168">
        <f t="shared" ca="1" si="27"/>
        <v>365</v>
      </c>
    </row>
    <row r="143" spans="1:20" x14ac:dyDescent="0.35">
      <c r="A143" s="13">
        <f t="shared" si="28"/>
        <v>119</v>
      </c>
      <c r="B143" s="50">
        <f t="shared" ca="1" si="38"/>
        <v>48011</v>
      </c>
      <c r="C143" s="50">
        <f t="shared" ca="1" si="30"/>
        <v>48011</v>
      </c>
      <c r="D143" s="13">
        <f t="shared" ca="1" si="33"/>
        <v>31</v>
      </c>
      <c r="E143" s="15">
        <f t="shared" ca="1" si="32"/>
        <v>2982877.8117995407</v>
      </c>
      <c r="F143" s="15">
        <f ca="1">IF(AND(A142="",A144=""),"",IF(A143="",SUM($F$25:F142),IF(A143=$D$8,$E$24-SUM($F$25:F142),$F$21-G143)))</f>
        <v>12814.351511285044</v>
      </c>
      <c r="G143" s="15">
        <f ca="1">IF(A142=$D$8,SUM($G$25:G142),IF(A142&gt;$D$8,"",E142*D143*$F$18/T142))</f>
        <v>28241.58009302069</v>
      </c>
      <c r="H143" s="15">
        <f ca="1">IF(A142=$D$8,SUM($H$25:H142),IF(A142="","",(G143+F143)))</f>
        <v>41055.931604305733</v>
      </c>
      <c r="I143" s="15" t="str">
        <f t="shared" si="34"/>
        <v/>
      </c>
      <c r="J143" s="15" t="str">
        <f t="shared" si="35"/>
        <v/>
      </c>
      <c r="K143" s="15"/>
      <c r="L143" s="15" t="str">
        <f t="shared" si="36"/>
        <v/>
      </c>
      <c r="M143" s="15" t="str">
        <f t="shared" si="37"/>
        <v/>
      </c>
      <c r="N143" s="144" t="str">
        <f t="shared" si="31"/>
        <v/>
      </c>
      <c r="O143" s="15"/>
      <c r="P143" s="52" t="str">
        <f>IF(A142=$D$8,XIRR(R$24:R142,C$24:C142),"")</f>
        <v/>
      </c>
      <c r="Q143" s="15" t="str">
        <f t="shared" si="29"/>
        <v/>
      </c>
      <c r="R143" s="144">
        <f t="shared" ca="1" si="25"/>
        <v>41055.931604305733</v>
      </c>
      <c r="S143" s="168">
        <f t="shared" ca="1" si="26"/>
        <v>2031</v>
      </c>
      <c r="T143" s="168">
        <f t="shared" ca="1" si="27"/>
        <v>365</v>
      </c>
    </row>
    <row r="144" spans="1:20" x14ac:dyDescent="0.35">
      <c r="A144" s="13">
        <f t="shared" si="28"/>
        <v>120</v>
      </c>
      <c r="B144" s="50">
        <f t="shared" ca="1" si="38"/>
        <v>48041</v>
      </c>
      <c r="C144" s="50">
        <f t="shared" ca="1" si="30"/>
        <v>48041</v>
      </c>
      <c r="D144" s="13">
        <f t="shared" ca="1" si="33"/>
        <v>30</v>
      </c>
      <c r="E144" s="15">
        <f t="shared" ca="1" si="32"/>
        <v>2969035.5325604198</v>
      </c>
      <c r="F144" s="15">
        <f ca="1">IF(AND(A143="",A145=""),"",IF(A144="",SUM($F$25:F143),IF(A144=$D$8,$E$24-SUM($F$25:F143),$F$21-G144)))</f>
        <v>13842.279239120882</v>
      </c>
      <c r="G144" s="15">
        <f ca="1">IF(A143=$D$8,SUM($G$25:G143),IF(A143&gt;$D$8,"",E143*D144*$F$18/T143))</f>
        <v>27213.652365184851</v>
      </c>
      <c r="H144" s="15">
        <f ca="1">IF(A143=$D$8,SUM($H$25:H143),IF(A143="","",(G144+F144)))</f>
        <v>41055.931604305733</v>
      </c>
      <c r="I144" s="15" t="str">
        <f t="shared" si="34"/>
        <v/>
      </c>
      <c r="J144" s="15" t="str">
        <f t="shared" si="35"/>
        <v/>
      </c>
      <c r="K144" s="15"/>
      <c r="L144" s="15" t="str">
        <f t="shared" si="36"/>
        <v/>
      </c>
      <c r="M144" s="15" t="str">
        <f t="shared" si="37"/>
        <v/>
      </c>
      <c r="N144" s="144" t="str">
        <f t="shared" si="31"/>
        <v/>
      </c>
      <c r="O144" s="15"/>
      <c r="P144" s="52" t="str">
        <f>IF(A143=$D$8,XIRR(R$24:R143,C$24:C143),"")</f>
        <v/>
      </c>
      <c r="Q144" s="15" t="str">
        <f t="shared" si="29"/>
        <v/>
      </c>
      <c r="R144" s="144">
        <f t="shared" ca="1" si="25"/>
        <v>41055.931604305733</v>
      </c>
      <c r="S144" s="168">
        <f t="shared" ca="1" si="26"/>
        <v>2031</v>
      </c>
      <c r="T144" s="168">
        <f t="shared" ca="1" si="27"/>
        <v>365</v>
      </c>
    </row>
    <row r="145" spans="1:20" x14ac:dyDescent="0.35">
      <c r="A145" s="13">
        <f t="shared" si="28"/>
        <v>121</v>
      </c>
      <c r="B145" s="50">
        <f t="shared" ca="1" si="38"/>
        <v>48072</v>
      </c>
      <c r="C145" s="50">
        <f t="shared" ca="1" si="30"/>
        <v>48072</v>
      </c>
      <c r="D145" s="13">
        <f t="shared" ca="1" si="33"/>
        <v>31</v>
      </c>
      <c r="E145" s="15">
        <f t="shared" ca="1" si="32"/>
        <v>2955969.8784014303</v>
      </c>
      <c r="F145" s="15">
        <f ca="1">IF(AND(A144="",A146=""),"",IF(A145="",SUM($F$25:F144),IF(A145=$D$8,$E$24-SUM($F$25:F144),$F$21-G145)))</f>
        <v>13065.654158989557</v>
      </c>
      <c r="G145" s="15">
        <f ca="1">IF(A144=$D$8,SUM($G$25:G144),IF(A144&gt;$D$8,"",E144*D145*$F$18/T144))</f>
        <v>27990.277445316176</v>
      </c>
      <c r="H145" s="15">
        <f ca="1">IF(A144=$D$8,SUM($H$25:H144),IF(A144="","",(G145+F145)))</f>
        <v>41055.931604305733</v>
      </c>
      <c r="I145" s="15" t="str">
        <f t="shared" si="34"/>
        <v/>
      </c>
      <c r="J145" s="15" t="str">
        <f t="shared" si="35"/>
        <v/>
      </c>
      <c r="K145" s="15">
        <f>IF($F$8&gt;120,($O$8+$O$10),IF($A$144=$F$8,$K$24*$G$8,""))</f>
        <v>17142.858</v>
      </c>
      <c r="L145" s="15" t="str">
        <f t="shared" si="36"/>
        <v/>
      </c>
      <c r="M145" s="15" t="str">
        <f t="shared" si="37"/>
        <v/>
      </c>
      <c r="N145" s="15">
        <f>IF($F$8&gt;120,($N$14),IF(A144=$F$8,N133+N121+N109+N97+N85+N73+N61+N49+N37+N24,""))</f>
        <v>2500</v>
      </c>
      <c r="O145" s="15"/>
      <c r="P145" s="52" t="str">
        <f>IF(A144=$D$8,XIRR(R$24:R144,C$24:C144),"")</f>
        <v/>
      </c>
      <c r="Q145" s="15" t="str">
        <f t="shared" si="29"/>
        <v/>
      </c>
      <c r="R145" s="144">
        <f t="shared" ca="1" si="25"/>
        <v>60698.789604305734</v>
      </c>
      <c r="S145" s="168">
        <f t="shared" ca="1" si="26"/>
        <v>2031</v>
      </c>
      <c r="T145" s="168">
        <f t="shared" ca="1" si="27"/>
        <v>365</v>
      </c>
    </row>
    <row r="146" spans="1:20" x14ac:dyDescent="0.35">
      <c r="A146" s="13">
        <f t="shared" si="28"/>
        <v>122</v>
      </c>
      <c r="B146" s="50">
        <f t="shared" ca="1" si="38"/>
        <v>48103</v>
      </c>
      <c r="C146" s="50">
        <f t="shared" ca="1" si="30"/>
        <v>48103</v>
      </c>
      <c r="D146" s="13">
        <f t="shared" ca="1" si="33"/>
        <v>31</v>
      </c>
      <c r="E146" s="15">
        <f t="shared" ca="1" si="32"/>
        <v>2942781.0491302186</v>
      </c>
      <c r="F146" s="15">
        <f ca="1">IF(AND(A145="",A147=""),"",IF(A146="",SUM($F$25:F145),IF(A146=$D$8,$E$24-SUM($F$25:F145),$F$21-G146)))</f>
        <v>13188.8292712117</v>
      </c>
      <c r="G146" s="15">
        <f ca="1">IF(A145=$D$8,SUM($G$25:G145),IF(A145&gt;$D$8,"",E145*D146*$F$18/T145))</f>
        <v>27867.102333094033</v>
      </c>
      <c r="H146" s="15">
        <f ca="1">IF(A145=$D$8,SUM($H$25:H145),IF(A145="","",(G146+F146)))</f>
        <v>41055.931604305733</v>
      </c>
      <c r="I146" s="15" t="str">
        <f t="shared" si="34"/>
        <v/>
      </c>
      <c r="J146" s="15" t="str">
        <f t="shared" si="35"/>
        <v/>
      </c>
      <c r="K146" s="15"/>
      <c r="L146" s="15" t="str">
        <f t="shared" si="36"/>
        <v/>
      </c>
      <c r="M146" s="15" t="str">
        <f t="shared" si="37"/>
        <v/>
      </c>
      <c r="N146" s="144" t="str">
        <f t="shared" si="31"/>
        <v/>
      </c>
      <c r="O146" s="15"/>
      <c r="P146" s="52" t="str">
        <f>IF(A145=$D$8,XIRR(R$24:R145,C$24:C145),"")</f>
        <v/>
      </c>
      <c r="Q146" s="15" t="str">
        <f t="shared" si="29"/>
        <v/>
      </c>
      <c r="R146" s="144">
        <f t="shared" ca="1" si="25"/>
        <v>41055.931604305733</v>
      </c>
      <c r="S146" s="168">
        <f t="shared" ca="1" si="26"/>
        <v>2031</v>
      </c>
      <c r="T146" s="168">
        <f t="shared" ca="1" si="27"/>
        <v>365</v>
      </c>
    </row>
    <row r="147" spans="1:20" x14ac:dyDescent="0.35">
      <c r="A147" s="13">
        <f t="shared" si="28"/>
        <v>123</v>
      </c>
      <c r="B147" s="50">
        <f t="shared" ca="1" si="38"/>
        <v>48133</v>
      </c>
      <c r="C147" s="50">
        <f t="shared" ca="1" si="30"/>
        <v>48133</v>
      </c>
      <c r="D147" s="13">
        <f t="shared" ca="1" si="33"/>
        <v>30</v>
      </c>
      <c r="E147" s="15">
        <f t="shared" ca="1" si="32"/>
        <v>2928572.9555905801</v>
      </c>
      <c r="F147" s="15">
        <f ca="1">IF(AND(A146="",A148=""),"",IF(A147="",SUM($F$25:F146),IF(A147=$D$8,$E$24-SUM($F$25:F146),$F$21-G147)))</f>
        <v>14208.093539638259</v>
      </c>
      <c r="G147" s="15">
        <f ca="1">IF(A146=$D$8,SUM($G$25:G146),IF(A146&gt;$D$8,"",E146*D147*$F$18/T146))</f>
        <v>26847.838064667474</v>
      </c>
      <c r="H147" s="15">
        <f ca="1">IF(A146=$D$8,SUM($H$25:H146),IF(A146="","",(G147+F147)))</f>
        <v>41055.931604305733</v>
      </c>
      <c r="I147" s="15" t="str">
        <f t="shared" si="34"/>
        <v/>
      </c>
      <c r="J147" s="15" t="str">
        <f t="shared" si="35"/>
        <v/>
      </c>
      <c r="K147" s="15"/>
      <c r="L147" s="15" t="str">
        <f t="shared" si="36"/>
        <v/>
      </c>
      <c r="M147" s="15" t="str">
        <f t="shared" si="37"/>
        <v/>
      </c>
      <c r="N147" s="144" t="str">
        <f t="shared" si="31"/>
        <v/>
      </c>
      <c r="O147" s="15"/>
      <c r="P147" s="52" t="str">
        <f>IF(A146=$D$8,XIRR(R$24:R146,C$24:C146),"")</f>
        <v/>
      </c>
      <c r="Q147" s="15" t="str">
        <f t="shared" si="29"/>
        <v/>
      </c>
      <c r="R147" s="144">
        <f t="shared" ca="1" si="25"/>
        <v>41055.931604305733</v>
      </c>
      <c r="S147" s="168">
        <f t="shared" ca="1" si="26"/>
        <v>2031</v>
      </c>
      <c r="T147" s="168">
        <f t="shared" ca="1" si="27"/>
        <v>365</v>
      </c>
    </row>
    <row r="148" spans="1:20" x14ac:dyDescent="0.35">
      <c r="A148" s="13">
        <f t="shared" si="28"/>
        <v>124</v>
      </c>
      <c r="B148" s="50">
        <f t="shared" ca="1" si="38"/>
        <v>48164</v>
      </c>
      <c r="C148" s="50">
        <f t="shared" ca="1" si="30"/>
        <v>48164</v>
      </c>
      <c r="D148" s="13">
        <f t="shared" ca="1" si="33"/>
        <v>31</v>
      </c>
      <c r="E148" s="15">
        <f t="shared" ca="1" si="32"/>
        <v>2915125.8446443216</v>
      </c>
      <c r="F148" s="15">
        <f ca="1">IF(AND(A147="",A149=""),"",IF(A148="",SUM($F$25:F147),IF(A148=$D$8,$E$24-SUM($F$25:F147),$F$21-G148)))</f>
        <v>13447.110946258643</v>
      </c>
      <c r="G148" s="15">
        <f ca="1">IF(A147=$D$8,SUM($G$25:G147),IF(A147&gt;$D$8,"",E147*D148*$F$18/T147))</f>
        <v>27608.820658047091</v>
      </c>
      <c r="H148" s="15">
        <f ca="1">IF(A147=$D$8,SUM($H$25:H147),IF(A147="","",(G148+F148)))</f>
        <v>41055.931604305733</v>
      </c>
      <c r="I148" s="15" t="str">
        <f t="shared" si="34"/>
        <v/>
      </c>
      <c r="J148" s="15" t="str">
        <f t="shared" si="35"/>
        <v/>
      </c>
      <c r="K148" s="15"/>
      <c r="L148" s="15" t="str">
        <f t="shared" si="36"/>
        <v/>
      </c>
      <c r="M148" s="15" t="str">
        <f t="shared" si="37"/>
        <v/>
      </c>
      <c r="N148" s="144" t="str">
        <f t="shared" si="31"/>
        <v/>
      </c>
      <c r="O148" s="15"/>
      <c r="P148" s="52" t="str">
        <f>IF(A147=$D$8,XIRR(R$24:R147,C$24:C147),"")</f>
        <v/>
      </c>
      <c r="Q148" s="15" t="str">
        <f t="shared" si="29"/>
        <v/>
      </c>
      <c r="R148" s="144">
        <f t="shared" ca="1" si="25"/>
        <v>41055.931604305733</v>
      </c>
      <c r="S148" s="168">
        <f t="shared" ca="1" si="26"/>
        <v>2031</v>
      </c>
      <c r="T148" s="168">
        <f t="shared" ca="1" si="27"/>
        <v>365</v>
      </c>
    </row>
    <row r="149" spans="1:20" x14ac:dyDescent="0.35">
      <c r="A149" s="13">
        <f t="shared" si="28"/>
        <v>125</v>
      </c>
      <c r="B149" s="50">
        <f t="shared" ca="1" si="38"/>
        <v>48194</v>
      </c>
      <c r="C149" s="50">
        <f t="shared" ca="1" si="30"/>
        <v>48194</v>
      </c>
      <c r="D149" s="13">
        <f t="shared" ca="1" si="33"/>
        <v>30</v>
      </c>
      <c r="E149" s="15">
        <f t="shared" ca="1" si="32"/>
        <v>2900665.4447185518</v>
      </c>
      <c r="F149" s="15">
        <f ca="1">IF(AND(A148="",A150=""),"",IF(A149="",SUM($F$25:F148),IF(A149=$D$8,$E$24-SUM($F$25:F148),$F$21-G149)))</f>
        <v>14460.399925769867</v>
      </c>
      <c r="G149" s="15">
        <f ca="1">IF(A148=$D$8,SUM($G$25:G148),IF(A148&gt;$D$8,"",E148*D149*$F$18/T148))</f>
        <v>26595.531678535866</v>
      </c>
      <c r="H149" s="15">
        <f ca="1">IF(A148=$D$8,SUM($H$25:H148),IF(A148="","",(G149+F149)))</f>
        <v>41055.931604305733</v>
      </c>
      <c r="I149" s="15" t="str">
        <f t="shared" si="34"/>
        <v/>
      </c>
      <c r="J149" s="15" t="str">
        <f t="shared" si="35"/>
        <v/>
      </c>
      <c r="K149" s="15"/>
      <c r="L149" s="15" t="str">
        <f t="shared" si="36"/>
        <v/>
      </c>
      <c r="M149" s="15" t="str">
        <f t="shared" si="37"/>
        <v/>
      </c>
      <c r="N149" s="144" t="str">
        <f t="shared" si="31"/>
        <v/>
      </c>
      <c r="O149" s="15"/>
      <c r="P149" s="52" t="str">
        <f>IF(A148=$D$8,XIRR(R$24:R148,C$24:C148),"")</f>
        <v/>
      </c>
      <c r="Q149" s="15" t="str">
        <f t="shared" si="29"/>
        <v/>
      </c>
      <c r="R149" s="144">
        <f t="shared" ca="1" si="25"/>
        <v>41055.931604305733</v>
      </c>
      <c r="S149" s="168">
        <f t="shared" ca="1" si="26"/>
        <v>2031</v>
      </c>
      <c r="T149" s="168">
        <f t="shared" ca="1" si="27"/>
        <v>365</v>
      </c>
    </row>
    <row r="150" spans="1:20" x14ac:dyDescent="0.35">
      <c r="A150" s="13">
        <f t="shared" si="28"/>
        <v>126</v>
      </c>
      <c r="B150" s="50">
        <f t="shared" ca="1" si="38"/>
        <v>48225</v>
      </c>
      <c r="C150" s="50">
        <f t="shared" ca="1" si="30"/>
        <v>48225</v>
      </c>
      <c r="D150" s="13">
        <f t="shared" ca="1" si="33"/>
        <v>31</v>
      </c>
      <c r="E150" s="15">
        <f t="shared" ca="1" si="32"/>
        <v>2886955.2385807573</v>
      </c>
      <c r="F150" s="15">
        <f ca="1">IF(AND(A149="",A151=""),"",IF(A150="",SUM($F$25:F149),IF(A150=$D$8,$E$24-SUM($F$25:F149),$F$21-G150)))</f>
        <v>13710.20613779467</v>
      </c>
      <c r="G150" s="15">
        <f ca="1">IF(A149=$D$8,SUM($G$25:G149),IF(A149&gt;$D$8,"",E149*D150*$F$18/T149))</f>
        <v>27345.725466511063</v>
      </c>
      <c r="H150" s="15">
        <f ca="1">IF(A149=$D$8,SUM($H$25:H149),IF(A149="","",(G150+F150)))</f>
        <v>41055.931604305733</v>
      </c>
      <c r="I150" s="15" t="str">
        <f t="shared" si="34"/>
        <v/>
      </c>
      <c r="J150" s="15" t="str">
        <f t="shared" si="35"/>
        <v/>
      </c>
      <c r="K150" s="15"/>
      <c r="L150" s="15" t="str">
        <f t="shared" si="36"/>
        <v/>
      </c>
      <c r="M150" s="15" t="str">
        <f t="shared" si="37"/>
        <v/>
      </c>
      <c r="N150" s="144" t="str">
        <f t="shared" si="31"/>
        <v/>
      </c>
      <c r="O150" s="15"/>
      <c r="P150" s="52" t="str">
        <f>IF(A149=$D$8,XIRR(R$24:R149,C$24:C149),"")</f>
        <v/>
      </c>
      <c r="Q150" s="15" t="str">
        <f t="shared" si="29"/>
        <v/>
      </c>
      <c r="R150" s="144">
        <f t="shared" ca="1" si="25"/>
        <v>41055.931604305733</v>
      </c>
      <c r="S150" s="168">
        <f t="shared" ca="1" si="26"/>
        <v>2032</v>
      </c>
      <c r="T150" s="168">
        <f t="shared" ca="1" si="27"/>
        <v>366</v>
      </c>
    </row>
    <row r="151" spans="1:20" x14ac:dyDescent="0.35">
      <c r="A151" s="13">
        <f t="shared" si="28"/>
        <v>127</v>
      </c>
      <c r="B151" s="50">
        <f t="shared" ca="1" si="38"/>
        <v>48256</v>
      </c>
      <c r="C151" s="50">
        <f t="shared" ca="1" si="30"/>
        <v>48256</v>
      </c>
      <c r="D151" s="13">
        <f t="shared" ca="1" si="33"/>
        <v>31</v>
      </c>
      <c r="E151" s="15">
        <f t="shared" ca="1" si="32"/>
        <v>2873041.4189326167</v>
      </c>
      <c r="F151" s="15">
        <f ca="1">IF(AND(A150="",A152=""),"",IF(A151="",SUM($F$25:F150),IF(A151=$D$8,$E$24-SUM($F$25:F150),$F$21-G151)))</f>
        <v>13913.819648140743</v>
      </c>
      <c r="G151" s="15">
        <f ca="1">IF(A150=$D$8,SUM($G$25:G150),IF(A150&gt;$D$8,"",E150*D151*$F$18/T150))</f>
        <v>27142.11195616499</v>
      </c>
      <c r="H151" s="15">
        <f ca="1">IF(A150=$D$8,SUM($H$25:H150),IF(A150="","",(G151+F151)))</f>
        <v>41055.931604305733</v>
      </c>
      <c r="I151" s="15" t="str">
        <f t="shared" si="34"/>
        <v/>
      </c>
      <c r="J151" s="15" t="str">
        <f t="shared" si="35"/>
        <v/>
      </c>
      <c r="K151" s="15"/>
      <c r="L151" s="15" t="str">
        <f t="shared" si="36"/>
        <v/>
      </c>
      <c r="M151" s="15" t="str">
        <f t="shared" si="37"/>
        <v/>
      </c>
      <c r="N151" s="144" t="str">
        <f t="shared" si="31"/>
        <v/>
      </c>
      <c r="O151" s="15"/>
      <c r="P151" s="52" t="str">
        <f>IF(A150=$D$8,XIRR(R$24:R150,C$24:C150),"")</f>
        <v/>
      </c>
      <c r="Q151" s="15" t="str">
        <f t="shared" si="29"/>
        <v/>
      </c>
      <c r="R151" s="144">
        <f t="shared" ca="1" si="25"/>
        <v>41055.931604305733</v>
      </c>
      <c r="S151" s="168">
        <f t="shared" ca="1" si="26"/>
        <v>2032</v>
      </c>
      <c r="T151" s="168">
        <f t="shared" ca="1" si="27"/>
        <v>366</v>
      </c>
    </row>
    <row r="152" spans="1:20" x14ac:dyDescent="0.35">
      <c r="A152" s="13">
        <f t="shared" si="28"/>
        <v>128</v>
      </c>
      <c r="B152" s="50">
        <f t="shared" ca="1" si="38"/>
        <v>48285</v>
      </c>
      <c r="C152" s="50">
        <f t="shared" ca="1" si="30"/>
        <v>48285</v>
      </c>
      <c r="D152" s="13">
        <f t="shared" ca="1" si="33"/>
        <v>29</v>
      </c>
      <c r="E152" s="15">
        <f t="shared" ca="1" si="32"/>
        <v>2857254.1221030215</v>
      </c>
      <c r="F152" s="15">
        <f ca="1">IF(AND(A151="",A153=""),"",IF(A152="",SUM($F$25:F151),IF(A152=$D$8,$E$24-SUM($F$25:F151),$F$21-G152)))</f>
        <v>15787.296829595096</v>
      </c>
      <c r="G152" s="15">
        <f ca="1">IF(A151=$D$8,SUM($G$25:G151),IF(A151&gt;$D$8,"",E151*D152*$F$18/T151))</f>
        <v>25268.634774710637</v>
      </c>
      <c r="H152" s="15">
        <f ca="1">IF(A151=$D$8,SUM($H$25:H151),IF(A151="","",(G152+F152)))</f>
        <v>41055.931604305733</v>
      </c>
      <c r="I152" s="15" t="str">
        <f t="shared" si="34"/>
        <v/>
      </c>
      <c r="J152" s="15" t="str">
        <f t="shared" si="35"/>
        <v/>
      </c>
      <c r="K152" s="15"/>
      <c r="L152" s="15" t="str">
        <f t="shared" si="36"/>
        <v/>
      </c>
      <c r="M152" s="15" t="str">
        <f t="shared" si="37"/>
        <v/>
      </c>
      <c r="N152" s="144" t="str">
        <f t="shared" si="31"/>
        <v/>
      </c>
      <c r="O152" s="15"/>
      <c r="P152" s="52" t="str">
        <f>IF(A151=$D$8,XIRR(R$24:R151,C$24:C151),"")</f>
        <v/>
      </c>
      <c r="Q152" s="15" t="str">
        <f t="shared" si="29"/>
        <v/>
      </c>
      <c r="R152" s="144">
        <f t="shared" ca="1" si="25"/>
        <v>41055.931604305733</v>
      </c>
      <c r="S152" s="168">
        <f t="shared" ca="1" si="26"/>
        <v>2032</v>
      </c>
      <c r="T152" s="168">
        <f t="shared" ca="1" si="27"/>
        <v>366</v>
      </c>
    </row>
    <row r="153" spans="1:20" x14ac:dyDescent="0.35">
      <c r="A153" s="13">
        <f t="shared" si="28"/>
        <v>129</v>
      </c>
      <c r="B153" s="50">
        <f t="shared" ca="1" si="38"/>
        <v>48316</v>
      </c>
      <c r="C153" s="50">
        <f t="shared" ca="1" si="30"/>
        <v>48316</v>
      </c>
      <c r="D153" s="13">
        <f t="shared" ca="1" si="33"/>
        <v>31</v>
      </c>
      <c r="E153" s="15">
        <f t="shared" ca="1" si="32"/>
        <v>2843061.0632696352</v>
      </c>
      <c r="F153" s="15">
        <f ca="1">IF(AND(A152="",A154=""),"",IF(A153="",SUM($F$25:F152),IF(A153=$D$8,$E$24-SUM($F$25:F152),$F$21-G153)))</f>
        <v>14193.058833386342</v>
      </c>
      <c r="G153" s="15">
        <f ca="1">IF(A152=$D$8,SUM($G$25:G152),IF(A152&gt;$D$8,"",E152*D153*$F$18/T152))</f>
        <v>26862.872770919392</v>
      </c>
      <c r="H153" s="15">
        <f ca="1">IF(A152=$D$8,SUM($H$25:H152),IF(A152="","",(G153+F153)))</f>
        <v>41055.931604305733</v>
      </c>
      <c r="I153" s="15" t="str">
        <f t="shared" si="34"/>
        <v/>
      </c>
      <c r="J153" s="15" t="str">
        <f t="shared" si="35"/>
        <v/>
      </c>
      <c r="K153" s="15"/>
      <c r="L153" s="15" t="str">
        <f t="shared" si="36"/>
        <v/>
      </c>
      <c r="M153" s="15" t="str">
        <f t="shared" si="37"/>
        <v/>
      </c>
      <c r="N153" s="144" t="str">
        <f t="shared" si="31"/>
        <v/>
      </c>
      <c r="O153" s="15"/>
      <c r="P153" s="52" t="str">
        <f>IF(A152=$D$8,XIRR(R$24:R152,C$24:C152),"")</f>
        <v/>
      </c>
      <c r="Q153" s="15" t="str">
        <f t="shared" si="29"/>
        <v/>
      </c>
      <c r="R153" s="144">
        <f t="shared" ca="1" si="25"/>
        <v>41055.931604305733</v>
      </c>
      <c r="S153" s="168">
        <f t="shared" ca="1" si="26"/>
        <v>2032</v>
      </c>
      <c r="T153" s="168">
        <f t="shared" ca="1" si="27"/>
        <v>366</v>
      </c>
    </row>
    <row r="154" spans="1:20" x14ac:dyDescent="0.35">
      <c r="A154" s="13">
        <f t="shared" si="28"/>
        <v>130</v>
      </c>
      <c r="B154" s="50">
        <f t="shared" ca="1" si="38"/>
        <v>48346</v>
      </c>
      <c r="C154" s="50">
        <f t="shared" ca="1" si="30"/>
        <v>48346</v>
      </c>
      <c r="D154" s="13">
        <f t="shared" ca="1" si="33"/>
        <v>30</v>
      </c>
      <c r="E154" s="15">
        <f t="shared" ca="1" si="32"/>
        <v>2827872.3265852416</v>
      </c>
      <c r="F154" s="15">
        <f ca="1">IF(AND(A153="",A155=""),"",IF(A154="",SUM($F$25:F153),IF(A154=$D$8,$E$24-SUM($F$25:F153),$F$21-G154)))</f>
        <v>15188.736684393483</v>
      </c>
      <c r="G154" s="15">
        <f ca="1">IF(A153=$D$8,SUM($G$25:G153),IF(A153&gt;$D$8,"",E153*D154*$F$18/T153))</f>
        <v>25867.19491991225</v>
      </c>
      <c r="H154" s="15">
        <f ca="1">IF(A153=$D$8,SUM($H$25:H153),IF(A153="","",(G154+F154)))</f>
        <v>41055.931604305733</v>
      </c>
      <c r="I154" s="15" t="str">
        <f t="shared" si="34"/>
        <v/>
      </c>
      <c r="J154" s="15" t="str">
        <f t="shared" si="35"/>
        <v/>
      </c>
      <c r="K154" s="15"/>
      <c r="L154" s="15" t="str">
        <f t="shared" si="36"/>
        <v/>
      </c>
      <c r="M154" s="15" t="str">
        <f t="shared" si="37"/>
        <v/>
      </c>
      <c r="N154" s="144" t="str">
        <f t="shared" si="31"/>
        <v/>
      </c>
      <c r="O154" s="15"/>
      <c r="P154" s="52" t="str">
        <f>IF(A153=$D$8,XIRR(R$24:R153,C$24:C153),"")</f>
        <v/>
      </c>
      <c r="Q154" s="15" t="str">
        <f t="shared" si="29"/>
        <v/>
      </c>
      <c r="R154" s="144">
        <f t="shared" ref="R154:R217" ca="1" si="39">SUM(H154:Q154)</f>
        <v>41055.931604305733</v>
      </c>
      <c r="S154" s="168">
        <f t="shared" ref="S154:S217" ca="1" si="40">IF(C154="","",YEAR(C154))</f>
        <v>2032</v>
      </c>
      <c r="T154" s="168">
        <f t="shared" ref="T154:T217" ca="1" si="41">IF(OR(S154=2024,S154=2028,S154=2016,S154=2020,S154=2024,S154=2028,S154=2032,S154=2036,S154=2040),366,365)</f>
        <v>366</v>
      </c>
    </row>
    <row r="155" spans="1:20" x14ac:dyDescent="0.35">
      <c r="A155" s="13">
        <f t="shared" ref="A155:A218" si="42">IF(A154&lt;$D$8,A154+1,"")</f>
        <v>131</v>
      </c>
      <c r="B155" s="50">
        <f t="shared" ca="1" si="38"/>
        <v>48377</v>
      </c>
      <c r="C155" s="50">
        <f t="shared" ca="1" si="30"/>
        <v>48377</v>
      </c>
      <c r="D155" s="13">
        <f t="shared" ca="1" si="33"/>
        <v>31</v>
      </c>
      <c r="E155" s="15">
        <f t="shared" ca="1" si="32"/>
        <v>2813403.0307071102</v>
      </c>
      <c r="F155" s="15">
        <f ca="1">IF(AND(A154="",A156=""),"",IF(A155="",SUM($F$25:F154),IF(A155=$D$8,$E$24-SUM($F$25:F154),$F$21-G155)))</f>
        <v>14469.295878131372</v>
      </c>
      <c r="G155" s="15">
        <f ca="1">IF(A154=$D$8,SUM($G$25:G154),IF(A154&gt;$D$8,"",E154*D155*$F$18/T154))</f>
        <v>26586.635726174361</v>
      </c>
      <c r="H155" s="15">
        <f ca="1">IF(A154=$D$8,SUM($H$25:H154),IF(A154="","",(G155+F155)))</f>
        <v>41055.931604305733</v>
      </c>
      <c r="I155" s="15" t="str">
        <f t="shared" si="34"/>
        <v/>
      </c>
      <c r="J155" s="15" t="str">
        <f t="shared" si="35"/>
        <v/>
      </c>
      <c r="K155" s="15"/>
      <c r="L155" s="15" t="str">
        <f t="shared" si="36"/>
        <v/>
      </c>
      <c r="M155" s="15" t="str">
        <f t="shared" si="37"/>
        <v/>
      </c>
      <c r="N155" s="144" t="str">
        <f t="shared" si="31"/>
        <v/>
      </c>
      <c r="O155" s="15"/>
      <c r="P155" s="52" t="str">
        <f>IF(A154=$D$8,XIRR(R$24:R154,C$24:C154),"")</f>
        <v/>
      </c>
      <c r="Q155" s="15" t="str">
        <f t="shared" si="29"/>
        <v/>
      </c>
      <c r="R155" s="144">
        <f t="shared" ca="1" si="39"/>
        <v>41055.931604305733</v>
      </c>
      <c r="S155" s="168">
        <f t="shared" ca="1" si="40"/>
        <v>2032</v>
      </c>
      <c r="T155" s="168">
        <f t="shared" ca="1" si="41"/>
        <v>366</v>
      </c>
    </row>
    <row r="156" spans="1:20" x14ac:dyDescent="0.35">
      <c r="A156" s="13">
        <f t="shared" si="42"/>
        <v>132</v>
      </c>
      <c r="B156" s="50">
        <f t="shared" ca="1" si="38"/>
        <v>48407</v>
      </c>
      <c r="C156" s="50">
        <f t="shared" ca="1" si="30"/>
        <v>48407</v>
      </c>
      <c r="D156" s="13">
        <f t="shared" ca="1" si="33"/>
        <v>30</v>
      </c>
      <c r="E156" s="15">
        <f t="shared" ca="1" si="32"/>
        <v>2797944.4545461233</v>
      </c>
      <c r="F156" s="15">
        <f ca="1">IF(AND(A155="",A157=""),"",IF(A156="",SUM($F$25:F155),IF(A156=$D$8,$E$24-SUM($F$25:F155),$F$21-G156)))</f>
        <v>15458.576160986948</v>
      </c>
      <c r="G156" s="15">
        <f ca="1">IF(A155=$D$8,SUM($G$25:G155),IF(A155&gt;$D$8,"",E155*D156*$F$18/T155))</f>
        <v>25597.355443318786</v>
      </c>
      <c r="H156" s="15">
        <f ca="1">IF(A155=$D$8,SUM($H$25:H155),IF(A155="","",(G156+F156)))</f>
        <v>41055.931604305733</v>
      </c>
      <c r="I156" s="15" t="str">
        <f t="shared" si="34"/>
        <v/>
      </c>
      <c r="J156" s="15" t="str">
        <f t="shared" si="35"/>
        <v/>
      </c>
      <c r="K156" s="15"/>
      <c r="L156" s="15" t="str">
        <f t="shared" si="36"/>
        <v/>
      </c>
      <c r="M156" s="15" t="str">
        <f t="shared" si="37"/>
        <v/>
      </c>
      <c r="N156" s="144" t="str">
        <f t="shared" si="31"/>
        <v/>
      </c>
      <c r="O156" s="15"/>
      <c r="P156" s="52" t="str">
        <f>IF(A155=$D$8,XIRR(R$24:R155,C$24:C155),"")</f>
        <v/>
      </c>
      <c r="Q156" s="15" t="str">
        <f t="shared" ref="Q156:Q219" si="43">IF(A155=$D$8,G156+M156+F156+I156+J156+K156+L156+N156+O156,"")</f>
        <v/>
      </c>
      <c r="R156" s="144">
        <f t="shared" ca="1" si="39"/>
        <v>41055.931604305733</v>
      </c>
      <c r="S156" s="168">
        <f t="shared" ca="1" si="40"/>
        <v>2032</v>
      </c>
      <c r="T156" s="168">
        <f t="shared" ca="1" si="41"/>
        <v>366</v>
      </c>
    </row>
    <row r="157" spans="1:20" x14ac:dyDescent="0.35">
      <c r="A157" s="13">
        <f t="shared" si="42"/>
        <v>133</v>
      </c>
      <c r="B157" s="50">
        <f t="shared" ca="1" si="38"/>
        <v>48438</v>
      </c>
      <c r="C157" s="50">
        <f t="shared" ref="C157:C220" ca="1" si="44">IF(B157&gt;$E$20,"",IF(B157=$E$20,B157-1,B157))</f>
        <v>48438</v>
      </c>
      <c r="D157" s="13">
        <f t="shared" ca="1" si="33"/>
        <v>31</v>
      </c>
      <c r="E157" s="15">
        <f t="shared" ca="1" si="32"/>
        <v>2783193.787608739</v>
      </c>
      <c r="F157" s="15">
        <f ca="1">IF(AND(A156="",A158=""),"",IF(A157="",SUM($F$25:F156),IF(A157=$D$8,$E$24-SUM($F$25:F156),$F$21-G157)))</f>
        <v>14750.666937384398</v>
      </c>
      <c r="G157" s="15">
        <f ca="1">IF(A156=$D$8,SUM($G$25:G156),IF(A156&gt;$D$8,"",E156*D157*$F$18/T156))</f>
        <v>26305.264666921335</v>
      </c>
      <c r="H157" s="15">
        <f ca="1">IF(A156=$D$8,SUM($H$25:H156),IF(A156="","",(G157+F157)))</f>
        <v>41055.931604305733</v>
      </c>
      <c r="I157" s="15" t="str">
        <f t="shared" si="34"/>
        <v/>
      </c>
      <c r="J157" s="15" t="str">
        <f t="shared" si="35"/>
        <v/>
      </c>
      <c r="K157" s="15">
        <f>IF($F$8&gt;132,($O$8+$O$10),IF($A$156=$F$8,$K$24*$G$8,""))</f>
        <v>17142.858</v>
      </c>
      <c r="L157" s="15" t="str">
        <f t="shared" si="36"/>
        <v/>
      </c>
      <c r="M157" s="15" t="str">
        <f t="shared" si="37"/>
        <v/>
      </c>
      <c r="N157" s="15">
        <f>IF($F$8&gt;132,($N$14),IF(A156=$F$8,N145+N133+N121+N109+N97+N85+N73+N61+N49+N37+N24,""))</f>
        <v>2500</v>
      </c>
      <c r="O157" s="15"/>
      <c r="P157" s="52" t="str">
        <f>IF(A156=$D$8,XIRR(R$24:R156,C$24:C156),"")</f>
        <v/>
      </c>
      <c r="Q157" s="15" t="str">
        <f t="shared" si="43"/>
        <v/>
      </c>
      <c r="R157" s="144">
        <f t="shared" ca="1" si="39"/>
        <v>60698.789604305734</v>
      </c>
      <c r="S157" s="168">
        <f t="shared" ca="1" si="40"/>
        <v>2032</v>
      </c>
      <c r="T157" s="168">
        <f t="shared" ca="1" si="41"/>
        <v>366</v>
      </c>
    </row>
    <row r="158" spans="1:20" x14ac:dyDescent="0.35">
      <c r="A158" s="13">
        <f t="shared" si="42"/>
        <v>134</v>
      </c>
      <c r="B158" s="50">
        <f t="shared" ca="1" si="38"/>
        <v>48469</v>
      </c>
      <c r="C158" s="50">
        <f t="shared" ca="1" si="44"/>
        <v>48469</v>
      </c>
      <c r="D158" s="13">
        <f t="shared" ca="1" si="33"/>
        <v>31</v>
      </c>
      <c r="E158" s="15">
        <f t="shared" ca="1" si="32"/>
        <v>2768304.440220722</v>
      </c>
      <c r="F158" s="15">
        <f ca="1">IF(AND(A157="",A159=""),"",IF(A158="",SUM($F$25:F157),IF(A158=$D$8,$E$24-SUM($F$25:F157),$F$21-G158)))</f>
        <v>14889.347388017013</v>
      </c>
      <c r="G158" s="15">
        <f ca="1">IF(A157=$D$8,SUM($G$25:G157),IF(A157&gt;$D$8,"",E157*D158*$F$18/T157))</f>
        <v>26166.58421628872</v>
      </c>
      <c r="H158" s="15">
        <f ca="1">IF(A157=$D$8,SUM($H$25:H157),IF(A157="","",(G158+F158)))</f>
        <v>41055.931604305733</v>
      </c>
      <c r="I158" s="15" t="str">
        <f t="shared" si="34"/>
        <v/>
      </c>
      <c r="J158" s="15" t="str">
        <f t="shared" si="35"/>
        <v/>
      </c>
      <c r="K158" s="15"/>
      <c r="L158" s="15" t="str">
        <f t="shared" si="36"/>
        <v/>
      </c>
      <c r="M158" s="15" t="str">
        <f t="shared" si="37"/>
        <v/>
      </c>
      <c r="N158" s="144" t="str">
        <f t="shared" ref="N158:N221" si="45">IF(A157=$D$8,$N$24,"")</f>
        <v/>
      </c>
      <c r="O158" s="15"/>
      <c r="P158" s="52" t="str">
        <f>IF(A157=$D$8,XIRR(R$24:R157,C$24:C157),"")</f>
        <v/>
      </c>
      <c r="Q158" s="15" t="str">
        <f t="shared" si="43"/>
        <v/>
      </c>
      <c r="R158" s="144">
        <f t="shared" ca="1" si="39"/>
        <v>41055.931604305733</v>
      </c>
      <c r="S158" s="168">
        <f t="shared" ca="1" si="40"/>
        <v>2032</v>
      </c>
      <c r="T158" s="168">
        <f t="shared" ca="1" si="41"/>
        <v>366</v>
      </c>
    </row>
    <row r="159" spans="1:20" x14ac:dyDescent="0.35">
      <c r="A159" s="13">
        <f t="shared" si="42"/>
        <v>135</v>
      </c>
      <c r="B159" s="50">
        <f t="shared" ca="1" si="38"/>
        <v>48499</v>
      </c>
      <c r="C159" s="50">
        <f t="shared" ca="1" si="44"/>
        <v>48499</v>
      </c>
      <c r="D159" s="13">
        <f t="shared" ca="1" si="33"/>
        <v>30</v>
      </c>
      <c r="E159" s="15">
        <f t="shared" ca="1" si="32"/>
        <v>2752435.5408184244</v>
      </c>
      <c r="F159" s="15">
        <f ca="1">IF(AND(A158="",A160=""),"",IF(A159="",SUM($F$25:F158),IF(A159=$D$8,$E$24-SUM($F$25:F158),$F$21-G159)))</f>
        <v>15868.899402297524</v>
      </c>
      <c r="G159" s="15">
        <f ca="1">IF(A158=$D$8,SUM($G$25:G158),IF(A158&gt;$D$8,"",E158*D159*$F$18/T158))</f>
        <v>25187.032202008209</v>
      </c>
      <c r="H159" s="15">
        <f ca="1">IF(A158=$D$8,SUM($H$25:H158),IF(A158="","",(G159+F159)))</f>
        <v>41055.931604305733</v>
      </c>
      <c r="I159" s="15" t="str">
        <f t="shared" si="34"/>
        <v/>
      </c>
      <c r="J159" s="15" t="str">
        <f t="shared" si="35"/>
        <v/>
      </c>
      <c r="K159" s="15"/>
      <c r="L159" s="15" t="str">
        <f t="shared" si="36"/>
        <v/>
      </c>
      <c r="M159" s="15" t="str">
        <f t="shared" si="37"/>
        <v/>
      </c>
      <c r="N159" s="144" t="str">
        <f t="shared" si="45"/>
        <v/>
      </c>
      <c r="O159" s="15"/>
      <c r="P159" s="52" t="str">
        <f>IF(A158=$D$8,XIRR(R$24:R158,C$24:C158),"")</f>
        <v/>
      </c>
      <c r="Q159" s="15" t="str">
        <f t="shared" si="43"/>
        <v/>
      </c>
      <c r="R159" s="144">
        <f t="shared" ca="1" si="39"/>
        <v>41055.931604305733</v>
      </c>
      <c r="S159" s="168">
        <f t="shared" ca="1" si="40"/>
        <v>2032</v>
      </c>
      <c r="T159" s="168">
        <f t="shared" ca="1" si="41"/>
        <v>366</v>
      </c>
    </row>
    <row r="160" spans="1:20" x14ac:dyDescent="0.35">
      <c r="A160" s="13">
        <f t="shared" si="42"/>
        <v>136</v>
      </c>
      <c r="B160" s="50">
        <f t="shared" ca="1" si="38"/>
        <v>48530</v>
      </c>
      <c r="C160" s="50">
        <f t="shared" ca="1" si="44"/>
        <v>48530</v>
      </c>
      <c r="D160" s="13">
        <f t="shared" ca="1" si="33"/>
        <v>31</v>
      </c>
      <c r="E160" s="15">
        <f t="shared" ca="1" si="32"/>
        <v>2737257.0154872229</v>
      </c>
      <c r="F160" s="15">
        <f ca="1">IF(AND(A159="",A161=""),"",IF(A160="",SUM($F$25:F159),IF(A160=$D$8,$E$24-SUM($F$25:F159),$F$21-G160)))</f>
        <v>15178.525331201366</v>
      </c>
      <c r="G160" s="15">
        <f ca="1">IF(A159=$D$8,SUM($G$25:G159),IF(A159&gt;$D$8,"",E159*D160*$F$18/T159))</f>
        <v>25877.406273104367</v>
      </c>
      <c r="H160" s="15">
        <f ca="1">IF(A159=$D$8,SUM($H$25:H159),IF(A159="","",(G160+F160)))</f>
        <v>41055.931604305733</v>
      </c>
      <c r="I160" s="15" t="str">
        <f t="shared" si="34"/>
        <v/>
      </c>
      <c r="J160" s="15" t="str">
        <f t="shared" si="35"/>
        <v/>
      </c>
      <c r="K160" s="15"/>
      <c r="L160" s="15" t="str">
        <f t="shared" si="36"/>
        <v/>
      </c>
      <c r="M160" s="15" t="str">
        <f t="shared" si="37"/>
        <v/>
      </c>
      <c r="N160" s="144" t="str">
        <f t="shared" si="45"/>
        <v/>
      </c>
      <c r="O160" s="15"/>
      <c r="P160" s="52" t="str">
        <f>IF(A159=$D$8,XIRR(R$24:R159,C$24:C159),"")</f>
        <v/>
      </c>
      <c r="Q160" s="15" t="str">
        <f t="shared" si="43"/>
        <v/>
      </c>
      <c r="R160" s="144">
        <f t="shared" ca="1" si="39"/>
        <v>41055.931604305733</v>
      </c>
      <c r="S160" s="168">
        <f t="shared" ca="1" si="40"/>
        <v>2032</v>
      </c>
      <c r="T160" s="168">
        <f t="shared" ca="1" si="41"/>
        <v>366</v>
      </c>
    </row>
    <row r="161" spans="1:20" x14ac:dyDescent="0.35">
      <c r="A161" s="13">
        <f t="shared" si="42"/>
        <v>137</v>
      </c>
      <c r="B161" s="50">
        <f t="shared" ca="1" si="38"/>
        <v>48560</v>
      </c>
      <c r="C161" s="50">
        <f t="shared" ca="1" si="44"/>
        <v>48560</v>
      </c>
      <c r="D161" s="13">
        <f t="shared" ca="1" si="33"/>
        <v>30</v>
      </c>
      <c r="E161" s="15">
        <f t="shared" ca="1" si="32"/>
        <v>2721105.6354172681</v>
      </c>
      <c r="F161" s="15">
        <f ca="1">IF(AND(A160="",A162=""),"",IF(A161="",SUM($F$25:F160),IF(A161=$D$8,$E$24-SUM($F$25:F160),$F$21-G161)))</f>
        <v>16151.380069954772</v>
      </c>
      <c r="G161" s="15">
        <f ca="1">IF(A160=$D$8,SUM($G$25:G160),IF(A160&gt;$D$8,"",E160*D161*$F$18/T160))</f>
        <v>24904.551534350961</v>
      </c>
      <c r="H161" s="15">
        <f ca="1">IF(A160=$D$8,SUM($H$25:H160),IF(A160="","",(G161+F161)))</f>
        <v>41055.931604305733</v>
      </c>
      <c r="I161" s="15" t="str">
        <f t="shared" si="34"/>
        <v/>
      </c>
      <c r="J161" s="15" t="str">
        <f t="shared" si="35"/>
        <v/>
      </c>
      <c r="K161" s="15"/>
      <c r="L161" s="15" t="str">
        <f t="shared" si="36"/>
        <v/>
      </c>
      <c r="M161" s="15" t="str">
        <f t="shared" si="37"/>
        <v/>
      </c>
      <c r="N161" s="144" t="str">
        <f t="shared" si="45"/>
        <v/>
      </c>
      <c r="O161" s="15"/>
      <c r="P161" s="52" t="str">
        <f>IF(A160=$D$8,XIRR(R$24:R160,C$24:C160),"")</f>
        <v/>
      </c>
      <c r="Q161" s="15" t="str">
        <f t="shared" si="43"/>
        <v/>
      </c>
      <c r="R161" s="144">
        <f t="shared" ca="1" si="39"/>
        <v>41055.931604305733</v>
      </c>
      <c r="S161" s="168">
        <f t="shared" ca="1" si="40"/>
        <v>2032</v>
      </c>
      <c r="T161" s="168">
        <f t="shared" ca="1" si="41"/>
        <v>366</v>
      </c>
    </row>
    <row r="162" spans="1:20" x14ac:dyDescent="0.35">
      <c r="A162" s="13">
        <f t="shared" si="42"/>
        <v>138</v>
      </c>
      <c r="B162" s="50">
        <f t="shared" ca="1" si="38"/>
        <v>48591</v>
      </c>
      <c r="C162" s="50">
        <f t="shared" ca="1" si="44"/>
        <v>48591</v>
      </c>
      <c r="D162" s="13">
        <f t="shared" ca="1" si="33"/>
        <v>31</v>
      </c>
      <c r="E162" s="15">
        <f t="shared" ca="1" si="32"/>
        <v>2705632.5576147954</v>
      </c>
      <c r="F162" s="15">
        <f ca="1">IF(AND(A161="",A163=""),"",IF(A162="",SUM($F$25:F161),IF(A162=$D$8,$E$24-SUM($F$25:F161),$F$21-G162)))</f>
        <v>15473.077802472893</v>
      </c>
      <c r="G162" s="15">
        <f ca="1">IF(A161=$D$8,SUM($G$25:G161),IF(A161&gt;$D$8,"",E161*D162*$F$18/T161))</f>
        <v>25582.85380183284</v>
      </c>
      <c r="H162" s="15">
        <f ca="1">IF(A161=$D$8,SUM($H$25:H161),IF(A161="","",(G162+F162)))</f>
        <v>41055.931604305733</v>
      </c>
      <c r="I162" s="15" t="str">
        <f t="shared" si="34"/>
        <v/>
      </c>
      <c r="J162" s="15" t="str">
        <f t="shared" si="35"/>
        <v/>
      </c>
      <c r="K162" s="15"/>
      <c r="L162" s="15" t="str">
        <f t="shared" si="36"/>
        <v/>
      </c>
      <c r="M162" s="15" t="str">
        <f t="shared" si="37"/>
        <v/>
      </c>
      <c r="N162" s="144" t="str">
        <f t="shared" si="45"/>
        <v/>
      </c>
      <c r="O162" s="15"/>
      <c r="P162" s="52" t="str">
        <f>IF(A161=$D$8,XIRR(R$24:R161,C$24:C161),"")</f>
        <v/>
      </c>
      <c r="Q162" s="15" t="str">
        <f t="shared" si="43"/>
        <v/>
      </c>
      <c r="R162" s="144">
        <f t="shared" ca="1" si="39"/>
        <v>41055.931604305733</v>
      </c>
      <c r="S162" s="168">
        <f t="shared" ca="1" si="40"/>
        <v>2033</v>
      </c>
      <c r="T162" s="168">
        <f t="shared" ca="1" si="41"/>
        <v>365</v>
      </c>
    </row>
    <row r="163" spans="1:20" x14ac:dyDescent="0.35">
      <c r="A163" s="13">
        <f t="shared" si="42"/>
        <v>139</v>
      </c>
      <c r="B163" s="50">
        <f t="shared" ca="1" si="38"/>
        <v>48622</v>
      </c>
      <c r="C163" s="50">
        <f t="shared" ca="1" si="44"/>
        <v>48622</v>
      </c>
      <c r="D163" s="13">
        <f t="shared" ca="1" si="33"/>
        <v>31</v>
      </c>
      <c r="E163" s="15">
        <f t="shared" ca="1" si="32"/>
        <v>2690083.6989714555</v>
      </c>
      <c r="F163" s="15">
        <f ca="1">IF(AND(A162="",A164=""),"",IF(A163="",SUM($F$25:F162),IF(A163=$D$8,$E$24-SUM($F$25:F162),$F$21-G163)))</f>
        <v>15548.858643339951</v>
      </c>
      <c r="G163" s="15">
        <f ca="1">IF(A162=$D$8,SUM($G$25:G162),IF(A162&gt;$D$8,"",E162*D163*$F$18/T162))</f>
        <v>25507.072960965783</v>
      </c>
      <c r="H163" s="15">
        <f ca="1">IF(A162=$D$8,SUM($H$25:H162),IF(A162="","",(G163+F163)))</f>
        <v>41055.931604305733</v>
      </c>
      <c r="I163" s="15" t="str">
        <f t="shared" si="34"/>
        <v/>
      </c>
      <c r="J163" s="15" t="str">
        <f t="shared" si="35"/>
        <v/>
      </c>
      <c r="K163" s="15"/>
      <c r="L163" s="15" t="str">
        <f t="shared" si="36"/>
        <v/>
      </c>
      <c r="M163" s="15" t="str">
        <f t="shared" si="37"/>
        <v/>
      </c>
      <c r="N163" s="144" t="str">
        <f t="shared" si="45"/>
        <v/>
      </c>
      <c r="O163" s="15"/>
      <c r="P163" s="52" t="str">
        <f>IF(A162=$D$8,XIRR(R$24:R162,C$24:C162),"")</f>
        <v/>
      </c>
      <c r="Q163" s="15" t="str">
        <f t="shared" si="43"/>
        <v/>
      </c>
      <c r="R163" s="144">
        <f t="shared" ca="1" si="39"/>
        <v>41055.931604305733</v>
      </c>
      <c r="S163" s="168">
        <f t="shared" ca="1" si="40"/>
        <v>2033</v>
      </c>
      <c r="T163" s="168">
        <f t="shared" ca="1" si="41"/>
        <v>365</v>
      </c>
    </row>
    <row r="164" spans="1:20" x14ac:dyDescent="0.35">
      <c r="A164" s="13">
        <f t="shared" si="42"/>
        <v>140</v>
      </c>
      <c r="B164" s="50">
        <f t="shared" ca="1" si="38"/>
        <v>48650</v>
      </c>
      <c r="C164" s="50">
        <f t="shared" ca="1" si="44"/>
        <v>48650</v>
      </c>
      <c r="D164" s="13">
        <f t="shared" ca="1" si="33"/>
        <v>28</v>
      </c>
      <c r="E164" s="15">
        <f t="shared" ca="1" si="32"/>
        <v>2671934.0143161998</v>
      </c>
      <c r="F164" s="15">
        <f ca="1">IF(AND(A163="",A165=""),"",IF(A164="",SUM($F$25:F163),IF(A164=$D$8,$E$24-SUM($F$25:F163),$F$21-G164)))</f>
        <v>18149.684655255642</v>
      </c>
      <c r="G164" s="15">
        <f ca="1">IF(A163=$D$8,SUM($G$25:G163),IF(A163&gt;$D$8,"",E163*D164*$F$18/T163))</f>
        <v>22906.246949050092</v>
      </c>
      <c r="H164" s="15">
        <f ca="1">IF(A163=$D$8,SUM($H$25:H163),IF(A163="","",(G164+F164)))</f>
        <v>41055.931604305733</v>
      </c>
      <c r="I164" s="15" t="str">
        <f t="shared" si="34"/>
        <v/>
      </c>
      <c r="J164" s="15" t="str">
        <f t="shared" si="35"/>
        <v/>
      </c>
      <c r="K164" s="15"/>
      <c r="L164" s="15" t="str">
        <f t="shared" si="36"/>
        <v/>
      </c>
      <c r="M164" s="15" t="str">
        <f t="shared" si="37"/>
        <v/>
      </c>
      <c r="N164" s="144" t="str">
        <f t="shared" si="45"/>
        <v/>
      </c>
      <c r="O164" s="15"/>
      <c r="P164" s="52" t="str">
        <f>IF(A163=$D$8,XIRR(R$24:R163,C$24:C163),"")</f>
        <v/>
      </c>
      <c r="Q164" s="15" t="str">
        <f t="shared" si="43"/>
        <v/>
      </c>
      <c r="R164" s="144">
        <f t="shared" ca="1" si="39"/>
        <v>41055.931604305733</v>
      </c>
      <c r="S164" s="168">
        <f t="shared" ca="1" si="40"/>
        <v>2033</v>
      </c>
      <c r="T164" s="168">
        <f t="shared" ca="1" si="41"/>
        <v>365</v>
      </c>
    </row>
    <row r="165" spans="1:20" x14ac:dyDescent="0.35">
      <c r="A165" s="13">
        <f t="shared" si="42"/>
        <v>141</v>
      </c>
      <c r="B165" s="50">
        <f t="shared" ca="1" si="38"/>
        <v>48681</v>
      </c>
      <c r="C165" s="50">
        <f t="shared" ca="1" si="44"/>
        <v>48681</v>
      </c>
      <c r="D165" s="13">
        <f t="shared" ca="1" si="33"/>
        <v>31</v>
      </c>
      <c r="E165" s="15">
        <f t="shared" ref="E165:E228" ca="1" si="46">IF(A165&gt;$D$8,"",E164-F165)</f>
        <v>2656067.4661180913</v>
      </c>
      <c r="F165" s="15">
        <f ca="1">IF(AND(A164="",A166=""),"",IF(A165="",SUM($F$25:F164),IF(A165=$D$8,$E$24-SUM($F$25:F164),$F$21-G165)))</f>
        <v>15866.54819810835</v>
      </c>
      <c r="G165" s="15">
        <f ca="1">IF(A164=$D$8,SUM($G$25:G164),IF(A164&gt;$D$8,"",E164*D165*$F$18/T164))</f>
        <v>25189.383406197383</v>
      </c>
      <c r="H165" s="15">
        <f ca="1">IF(A164=$D$8,SUM($H$25:H164),IF(A164="","",(G165+F165)))</f>
        <v>41055.931604305733</v>
      </c>
      <c r="I165" s="15" t="str">
        <f t="shared" si="34"/>
        <v/>
      </c>
      <c r="J165" s="15" t="str">
        <f t="shared" si="35"/>
        <v/>
      </c>
      <c r="K165" s="15"/>
      <c r="L165" s="15" t="str">
        <f t="shared" si="36"/>
        <v/>
      </c>
      <c r="M165" s="15" t="str">
        <f t="shared" si="37"/>
        <v/>
      </c>
      <c r="N165" s="144" t="str">
        <f t="shared" si="45"/>
        <v/>
      </c>
      <c r="O165" s="15"/>
      <c r="P165" s="52" t="str">
        <f>IF(A164=$D$8,XIRR(R$24:R164,C$24:C164),"")</f>
        <v/>
      </c>
      <c r="Q165" s="15" t="str">
        <f t="shared" si="43"/>
        <v/>
      </c>
      <c r="R165" s="144">
        <f t="shared" ca="1" si="39"/>
        <v>41055.931604305733</v>
      </c>
      <c r="S165" s="168">
        <f t="shared" ca="1" si="40"/>
        <v>2033</v>
      </c>
      <c r="T165" s="168">
        <f t="shared" ca="1" si="41"/>
        <v>365</v>
      </c>
    </row>
    <row r="166" spans="1:20" x14ac:dyDescent="0.35">
      <c r="A166" s="13">
        <f t="shared" si="42"/>
        <v>142</v>
      </c>
      <c r="B166" s="50">
        <f t="shared" ca="1" si="38"/>
        <v>48711</v>
      </c>
      <c r="C166" s="50">
        <f t="shared" ca="1" si="44"/>
        <v>48711</v>
      </c>
      <c r="D166" s="13">
        <f t="shared" ref="D166:D229" ca="1" si="47">IF(A166&gt;$D$8,"",C166-C165)</f>
        <v>30</v>
      </c>
      <c r="E166" s="15">
        <f t="shared" ca="1" si="46"/>
        <v>2639243.6020813836</v>
      </c>
      <c r="F166" s="15">
        <f ca="1">IF(AND(A165="",A167=""),"",IF(A166="",SUM($F$25:F165),IF(A166=$D$8,$E$24-SUM($F$25:F165),$F$21-G166)))</f>
        <v>16823.864036707801</v>
      </c>
      <c r="G166" s="15">
        <f ca="1">IF(A165=$D$8,SUM($G$25:G165),IF(A165&gt;$D$8,"",E165*D166*$F$18/T165))</f>
        <v>24232.067567597933</v>
      </c>
      <c r="H166" s="15">
        <f ca="1">IF(A165=$D$8,SUM($H$25:H165),IF(A165="","",(G166+F166)))</f>
        <v>41055.931604305733</v>
      </c>
      <c r="I166" s="15" t="str">
        <f t="shared" ref="I166:I229" si="48">IF(A165=$F$8,$I$24,"")</f>
        <v/>
      </c>
      <c r="J166" s="15" t="str">
        <f t="shared" ref="J166:J229" si="49">IF(A165=$F$8,$J$24,"")</f>
        <v/>
      </c>
      <c r="K166" s="15"/>
      <c r="L166" s="15" t="str">
        <f t="shared" ref="L166:L229" si="50">IF(A165=$F$8,$L$24,"")</f>
        <v/>
      </c>
      <c r="M166" s="15" t="str">
        <f t="shared" ref="M166:M229" si="51">IF(A165=$F$8,$M$24,"")</f>
        <v/>
      </c>
      <c r="N166" s="144" t="str">
        <f t="shared" si="45"/>
        <v/>
      </c>
      <c r="O166" s="15"/>
      <c r="P166" s="52" t="str">
        <f>IF(A165=$D$8,XIRR(R$24:R165,C$24:C165),"")</f>
        <v/>
      </c>
      <c r="Q166" s="15" t="str">
        <f t="shared" si="43"/>
        <v/>
      </c>
      <c r="R166" s="144">
        <f t="shared" ca="1" si="39"/>
        <v>41055.931604305733</v>
      </c>
      <c r="S166" s="168">
        <f t="shared" ca="1" si="40"/>
        <v>2033</v>
      </c>
      <c r="T166" s="168">
        <f t="shared" ca="1" si="41"/>
        <v>365</v>
      </c>
    </row>
    <row r="167" spans="1:20" x14ac:dyDescent="0.35">
      <c r="A167" s="13">
        <f t="shared" si="42"/>
        <v>143</v>
      </c>
      <c r="B167" s="50">
        <f t="shared" ca="1" si="38"/>
        <v>48742</v>
      </c>
      <c r="C167" s="50">
        <f t="shared" ca="1" si="44"/>
        <v>48742</v>
      </c>
      <c r="D167" s="13">
        <f t="shared" ca="1" si="47"/>
        <v>31</v>
      </c>
      <c r="E167" s="15">
        <f t="shared" ca="1" si="46"/>
        <v>2623068.8683805354</v>
      </c>
      <c r="F167" s="15">
        <f ca="1">IF(AND(A166="",A168=""),"",IF(A167="",SUM($F$25:F166),IF(A167=$D$8,$E$24-SUM($F$25:F166),$F$21-G167)))</f>
        <v>16174.733700848086</v>
      </c>
      <c r="G167" s="15">
        <f ca="1">IF(A166=$D$8,SUM($G$25:G166),IF(A166&gt;$D$8,"",E166*D167*$F$18/T166))</f>
        <v>24881.197903457647</v>
      </c>
      <c r="H167" s="15">
        <f ca="1">IF(A166=$D$8,SUM($H$25:H166),IF(A166="","",(G167+F167)))</f>
        <v>41055.931604305733</v>
      </c>
      <c r="I167" s="15" t="str">
        <f t="shared" si="48"/>
        <v/>
      </c>
      <c r="J167" s="15" t="str">
        <f t="shared" si="49"/>
        <v/>
      </c>
      <c r="K167" s="15"/>
      <c r="L167" s="15" t="str">
        <f t="shared" si="50"/>
        <v/>
      </c>
      <c r="M167" s="15" t="str">
        <f t="shared" si="51"/>
        <v/>
      </c>
      <c r="N167" s="144" t="str">
        <f t="shared" si="45"/>
        <v/>
      </c>
      <c r="O167" s="15"/>
      <c r="P167" s="52" t="str">
        <f>IF(A166=$D$8,XIRR(R$24:R166,C$24:C166),"")</f>
        <v/>
      </c>
      <c r="Q167" s="15" t="str">
        <f t="shared" si="43"/>
        <v/>
      </c>
      <c r="R167" s="144">
        <f t="shared" ca="1" si="39"/>
        <v>41055.931604305733</v>
      </c>
      <c r="S167" s="168">
        <f t="shared" ca="1" si="40"/>
        <v>2033</v>
      </c>
      <c r="T167" s="168">
        <f t="shared" ca="1" si="41"/>
        <v>365</v>
      </c>
    </row>
    <row r="168" spans="1:20" x14ac:dyDescent="0.35">
      <c r="A168" s="13">
        <f t="shared" si="42"/>
        <v>144</v>
      </c>
      <c r="B168" s="50">
        <f t="shared" ca="1" si="38"/>
        <v>48772</v>
      </c>
      <c r="C168" s="50">
        <f t="shared" ca="1" si="44"/>
        <v>48772</v>
      </c>
      <c r="D168" s="13">
        <f t="shared" ca="1" si="47"/>
        <v>30</v>
      </c>
      <c r="E168" s="15">
        <f t="shared" ca="1" si="46"/>
        <v>2605943.9486439205</v>
      </c>
      <c r="F168" s="15">
        <f ca="1">IF(AND(A167="",A169=""),"",IF(A168="",SUM($F$25:F167),IF(A168=$D$8,$E$24-SUM($F$25:F167),$F$21-G168)))</f>
        <v>17124.919736614822</v>
      </c>
      <c r="G168" s="15">
        <f ca="1">IF(A167=$D$8,SUM($G$25:G167),IF(A167&gt;$D$8,"",E167*D168*$F$18/T167))</f>
        <v>23931.011867690911</v>
      </c>
      <c r="H168" s="15">
        <f ca="1">IF(A167=$D$8,SUM($H$25:H167),IF(A167="","",(G168+F168)))</f>
        <v>41055.931604305733</v>
      </c>
      <c r="I168" s="15" t="str">
        <f t="shared" si="48"/>
        <v/>
      </c>
      <c r="J168" s="15" t="str">
        <f t="shared" si="49"/>
        <v/>
      </c>
      <c r="K168" s="15"/>
      <c r="L168" s="15" t="str">
        <f t="shared" si="50"/>
        <v/>
      </c>
      <c r="M168" s="15" t="str">
        <f t="shared" si="51"/>
        <v/>
      </c>
      <c r="N168" s="144" t="str">
        <f t="shared" si="45"/>
        <v/>
      </c>
      <c r="O168" s="15"/>
      <c r="P168" s="52" t="str">
        <f>IF(A167=$D$8,XIRR(R$24:R167,C$24:C167),"")</f>
        <v/>
      </c>
      <c r="Q168" s="15" t="str">
        <f t="shared" si="43"/>
        <v/>
      </c>
      <c r="R168" s="144">
        <f t="shared" ca="1" si="39"/>
        <v>41055.931604305733</v>
      </c>
      <c r="S168" s="168">
        <f t="shared" ca="1" si="40"/>
        <v>2033</v>
      </c>
      <c r="T168" s="168">
        <f t="shared" ca="1" si="41"/>
        <v>365</v>
      </c>
    </row>
    <row r="169" spans="1:20" x14ac:dyDescent="0.35">
      <c r="A169" s="13">
        <f t="shared" si="42"/>
        <v>145</v>
      </c>
      <c r="B169" s="50">
        <f t="shared" ca="1" si="38"/>
        <v>48803</v>
      </c>
      <c r="C169" s="50">
        <f t="shared" ca="1" si="44"/>
        <v>48803</v>
      </c>
      <c r="D169" s="13">
        <f t="shared" ca="1" si="47"/>
        <v>31</v>
      </c>
      <c r="E169" s="15">
        <f t="shared" ca="1" si="46"/>
        <v>2589455.2858814881</v>
      </c>
      <c r="F169" s="15">
        <f ca="1">IF(AND(A168="",A170=""),"",IF(A169="",SUM($F$25:F168),IF(A169=$D$8,$E$24-SUM($F$25:F168),$F$21-G169)))</f>
        <v>16488.662762432501</v>
      </c>
      <c r="G169" s="15">
        <f ca="1">IF(A168=$D$8,SUM($G$25:G168),IF(A168&gt;$D$8,"",E168*D169*$F$18/T168))</f>
        <v>24567.268841873232</v>
      </c>
      <c r="H169" s="15">
        <f ca="1">IF(A168=$D$8,SUM($H$25:H168),IF(A168="","",(G169+F169)))</f>
        <v>41055.931604305733</v>
      </c>
      <c r="I169" s="15" t="str">
        <f t="shared" si="48"/>
        <v/>
      </c>
      <c r="J169" s="15" t="str">
        <f t="shared" si="49"/>
        <v/>
      </c>
      <c r="K169" s="15">
        <f>IF($F$8&gt;144,($O$8+$O$10),IF($A$168=$F$8,$K$24*$G$8,""))</f>
        <v>17142.858</v>
      </c>
      <c r="L169" s="15" t="str">
        <f t="shared" si="50"/>
        <v/>
      </c>
      <c r="M169" s="15" t="str">
        <f t="shared" si="51"/>
        <v/>
      </c>
      <c r="N169" s="15">
        <f>IF($F$8&gt;144,($N$14),IF(A168=$F$8,N157+N145+N133+N121+N109+N97+N85+N73+N61+N49+N37+N24,""))</f>
        <v>2500</v>
      </c>
      <c r="O169" s="15"/>
      <c r="P169" s="52" t="str">
        <f>IF(A168=$D$8,XIRR(R$24:R168,C$24:C168),"")</f>
        <v/>
      </c>
      <c r="Q169" s="15" t="str">
        <f t="shared" si="43"/>
        <v/>
      </c>
      <c r="R169" s="144">
        <f t="shared" ca="1" si="39"/>
        <v>60698.789604305734</v>
      </c>
      <c r="S169" s="168">
        <f t="shared" ca="1" si="40"/>
        <v>2033</v>
      </c>
      <c r="T169" s="168">
        <f t="shared" ca="1" si="41"/>
        <v>365</v>
      </c>
    </row>
    <row r="170" spans="1:20" x14ac:dyDescent="0.35">
      <c r="A170" s="13">
        <f t="shared" si="42"/>
        <v>146</v>
      </c>
      <c r="B170" s="50">
        <f t="shared" ca="1" si="38"/>
        <v>48834</v>
      </c>
      <c r="C170" s="50">
        <f t="shared" ca="1" si="44"/>
        <v>48834</v>
      </c>
      <c r="D170" s="13">
        <f t="shared" ca="1" si="47"/>
        <v>31</v>
      </c>
      <c r="E170" s="15">
        <f t="shared" ca="1" si="46"/>
        <v>2572811.1779449033</v>
      </c>
      <c r="F170" s="15">
        <f ca="1">IF(AND(A169="",A171=""),"",IF(A170="",SUM($F$25:F169),IF(A170=$D$8,$E$24-SUM($F$25:F169),$F$21-G170)))</f>
        <v>16644.107936584634</v>
      </c>
      <c r="G170" s="15">
        <f ca="1">IF(A169=$D$8,SUM($G$25:G169),IF(A169&gt;$D$8,"",E169*D170*$F$18/T169))</f>
        <v>24411.823667721099</v>
      </c>
      <c r="H170" s="15">
        <f ca="1">IF(A169=$D$8,SUM($H$25:H169),IF(A169="","",(G170+F170)))</f>
        <v>41055.931604305733</v>
      </c>
      <c r="I170" s="15" t="str">
        <f t="shared" si="48"/>
        <v/>
      </c>
      <c r="J170" s="15" t="str">
        <f t="shared" si="49"/>
        <v/>
      </c>
      <c r="K170" s="15"/>
      <c r="L170" s="15" t="str">
        <f t="shared" si="50"/>
        <v/>
      </c>
      <c r="M170" s="15" t="str">
        <f t="shared" si="51"/>
        <v/>
      </c>
      <c r="N170" s="144" t="str">
        <f t="shared" si="45"/>
        <v/>
      </c>
      <c r="O170" s="15"/>
      <c r="P170" s="52" t="str">
        <f>IF(A169=$D$8,XIRR(R$24:R169,C$24:C169),"")</f>
        <v/>
      </c>
      <c r="Q170" s="15" t="str">
        <f t="shared" si="43"/>
        <v/>
      </c>
      <c r="R170" s="144">
        <f t="shared" ca="1" si="39"/>
        <v>41055.931604305733</v>
      </c>
      <c r="S170" s="168">
        <f t="shared" ca="1" si="40"/>
        <v>2033</v>
      </c>
      <c r="T170" s="168">
        <f t="shared" ca="1" si="41"/>
        <v>365</v>
      </c>
    </row>
    <row r="171" spans="1:20" x14ac:dyDescent="0.35">
      <c r="A171" s="13">
        <f t="shared" si="42"/>
        <v>147</v>
      </c>
      <c r="B171" s="50">
        <f t="shared" ca="1" si="38"/>
        <v>48864</v>
      </c>
      <c r="C171" s="50">
        <f t="shared" ca="1" si="44"/>
        <v>48864</v>
      </c>
      <c r="D171" s="13">
        <f t="shared" ca="1" si="47"/>
        <v>30</v>
      </c>
      <c r="E171" s="15">
        <f t="shared" ca="1" si="46"/>
        <v>2555227.7428407525</v>
      </c>
      <c r="F171" s="15">
        <f ca="1">IF(AND(A170="",A172=""),"",IF(A171="",SUM($F$25:F170),IF(A171=$D$8,$E$24-SUM($F$25:F170),$F$21-G171)))</f>
        <v>17583.435104150863</v>
      </c>
      <c r="G171" s="15">
        <f ca="1">IF(A170=$D$8,SUM($G$25:G170),IF(A170&gt;$D$8,"",E170*D171*$F$18/T170))</f>
        <v>23472.49650015487</v>
      </c>
      <c r="H171" s="15">
        <f ca="1">IF(A170=$D$8,SUM($H$25:H170),IF(A170="","",(G171+F171)))</f>
        <v>41055.931604305733</v>
      </c>
      <c r="I171" s="15" t="str">
        <f t="shared" si="48"/>
        <v/>
      </c>
      <c r="J171" s="15" t="str">
        <f t="shared" si="49"/>
        <v/>
      </c>
      <c r="K171" s="15"/>
      <c r="L171" s="15" t="str">
        <f t="shared" si="50"/>
        <v/>
      </c>
      <c r="M171" s="15" t="str">
        <f t="shared" si="51"/>
        <v/>
      </c>
      <c r="N171" s="144" t="str">
        <f t="shared" si="45"/>
        <v/>
      </c>
      <c r="O171" s="15"/>
      <c r="P171" s="52" t="str">
        <f>IF(A170=$D$8,XIRR(R$24:R170,C$24:C170),"")</f>
        <v/>
      </c>
      <c r="Q171" s="15" t="str">
        <f t="shared" si="43"/>
        <v/>
      </c>
      <c r="R171" s="144">
        <f t="shared" ca="1" si="39"/>
        <v>41055.931604305733</v>
      </c>
      <c r="S171" s="168">
        <f t="shared" ca="1" si="40"/>
        <v>2033</v>
      </c>
      <c r="T171" s="168">
        <f t="shared" ca="1" si="41"/>
        <v>365</v>
      </c>
    </row>
    <row r="172" spans="1:20" x14ac:dyDescent="0.35">
      <c r="A172" s="13">
        <f t="shared" si="42"/>
        <v>148</v>
      </c>
      <c r="B172" s="50">
        <f t="shared" ca="1" si="38"/>
        <v>48895</v>
      </c>
      <c r="C172" s="50">
        <f t="shared" ca="1" si="44"/>
        <v>48895</v>
      </c>
      <c r="D172" s="13">
        <f t="shared" ca="1" si="47"/>
        <v>31</v>
      </c>
      <c r="E172" s="15">
        <f t="shared" ca="1" si="46"/>
        <v>2538260.9582586796</v>
      </c>
      <c r="F172" s="15">
        <f ca="1">IF(AND(A171="",A173=""),"",IF(A172="",SUM($F$25:F171),IF(A172=$D$8,$E$24-SUM($F$25:F171),$F$21-G172)))</f>
        <v>16966.784582072774</v>
      </c>
      <c r="G172" s="15">
        <f ca="1">IF(A171=$D$8,SUM($G$25:G171),IF(A171&gt;$D$8,"",E171*D172*$F$18/T171))</f>
        <v>24089.147022232959</v>
      </c>
      <c r="H172" s="15">
        <f ca="1">IF(A171=$D$8,SUM($H$25:H171),IF(A171="","",(G172+F172)))</f>
        <v>41055.931604305733</v>
      </c>
      <c r="I172" s="15" t="str">
        <f t="shared" si="48"/>
        <v/>
      </c>
      <c r="J172" s="15" t="str">
        <f t="shared" si="49"/>
        <v/>
      </c>
      <c r="K172" s="15"/>
      <c r="L172" s="15" t="str">
        <f t="shared" si="50"/>
        <v/>
      </c>
      <c r="M172" s="15" t="str">
        <f t="shared" si="51"/>
        <v/>
      </c>
      <c r="N172" s="144" t="str">
        <f t="shared" si="45"/>
        <v/>
      </c>
      <c r="O172" s="15"/>
      <c r="P172" s="52" t="str">
        <f>IF(A171=$D$8,XIRR(R$24:R171,C$24:C171),"")</f>
        <v/>
      </c>
      <c r="Q172" s="15" t="str">
        <f t="shared" si="43"/>
        <v/>
      </c>
      <c r="R172" s="144">
        <f t="shared" ca="1" si="39"/>
        <v>41055.931604305733</v>
      </c>
      <c r="S172" s="168">
        <f t="shared" ca="1" si="40"/>
        <v>2033</v>
      </c>
      <c r="T172" s="168">
        <f t="shared" ca="1" si="41"/>
        <v>365</v>
      </c>
    </row>
    <row r="173" spans="1:20" x14ac:dyDescent="0.35">
      <c r="A173" s="13">
        <f t="shared" si="42"/>
        <v>149</v>
      </c>
      <c r="B173" s="50">
        <f t="shared" ca="1" si="38"/>
        <v>48925</v>
      </c>
      <c r="C173" s="50">
        <f t="shared" ca="1" si="44"/>
        <v>48925</v>
      </c>
      <c r="D173" s="13">
        <f t="shared" ca="1" si="47"/>
        <v>30</v>
      </c>
      <c r="E173" s="15">
        <f t="shared" ca="1" si="46"/>
        <v>2520362.3115612268</v>
      </c>
      <c r="F173" s="15">
        <f ca="1">IF(AND(A172="",A174=""),"",IF(A173="",SUM($F$25:F172),IF(A173=$D$8,$E$24-SUM($F$25:F172),$F$21-G173)))</f>
        <v>17898.646697452576</v>
      </c>
      <c r="G173" s="15">
        <f ca="1">IF(A172=$D$8,SUM($G$25:G172),IF(A172&gt;$D$8,"",E172*D173*$F$18/T172))</f>
        <v>23157.284906853158</v>
      </c>
      <c r="H173" s="15">
        <f ca="1">IF(A172=$D$8,SUM($H$25:H172),IF(A172="","",(G173+F173)))</f>
        <v>41055.931604305733</v>
      </c>
      <c r="I173" s="15" t="str">
        <f t="shared" si="48"/>
        <v/>
      </c>
      <c r="J173" s="15" t="str">
        <f t="shared" si="49"/>
        <v/>
      </c>
      <c r="K173" s="15"/>
      <c r="L173" s="15" t="str">
        <f t="shared" si="50"/>
        <v/>
      </c>
      <c r="M173" s="15" t="str">
        <f t="shared" si="51"/>
        <v/>
      </c>
      <c r="N173" s="144" t="str">
        <f t="shared" si="45"/>
        <v/>
      </c>
      <c r="O173" s="15"/>
      <c r="P173" s="52" t="str">
        <f>IF(A172=$D$8,XIRR(R$24:R172,C$24:C172),"")</f>
        <v/>
      </c>
      <c r="Q173" s="15" t="str">
        <f t="shared" si="43"/>
        <v/>
      </c>
      <c r="R173" s="144">
        <f t="shared" ca="1" si="39"/>
        <v>41055.931604305733</v>
      </c>
      <c r="S173" s="168">
        <f t="shared" ca="1" si="40"/>
        <v>2033</v>
      </c>
      <c r="T173" s="168">
        <f t="shared" ca="1" si="41"/>
        <v>365</v>
      </c>
    </row>
    <row r="174" spans="1:20" x14ac:dyDescent="0.35">
      <c r="A174" s="13">
        <f t="shared" si="42"/>
        <v>150</v>
      </c>
      <c r="B174" s="50">
        <f t="shared" ref="B174:B237" ca="1" si="52">EDATE($B$24,A174)</f>
        <v>48956</v>
      </c>
      <c r="C174" s="50">
        <f t="shared" ca="1" si="44"/>
        <v>48956</v>
      </c>
      <c r="D174" s="13">
        <f t="shared" ca="1" si="47"/>
        <v>31</v>
      </c>
      <c r="E174" s="15">
        <f t="shared" ca="1" si="46"/>
        <v>2503066.8367078314</v>
      </c>
      <c r="F174" s="15">
        <f ca="1">IF(AND(A173="",A175=""),"",IF(A174="",SUM($F$25:F173),IF(A174=$D$8,$E$24-SUM($F$25:F173),$F$21-G174)))</f>
        <v>17295.474853395648</v>
      </c>
      <c r="G174" s="15">
        <f ca="1">IF(A173=$D$8,SUM($G$25:G173),IF(A173&gt;$D$8,"",E173*D174*$F$18/T173))</f>
        <v>23760.456750910085</v>
      </c>
      <c r="H174" s="15">
        <f ca="1">IF(A173=$D$8,SUM($H$25:H173),IF(A173="","",(G174+F174)))</f>
        <v>41055.931604305733</v>
      </c>
      <c r="I174" s="15" t="str">
        <f t="shared" si="48"/>
        <v/>
      </c>
      <c r="J174" s="15" t="str">
        <f t="shared" si="49"/>
        <v/>
      </c>
      <c r="K174" s="15"/>
      <c r="L174" s="15" t="str">
        <f t="shared" si="50"/>
        <v/>
      </c>
      <c r="M174" s="15" t="str">
        <f t="shared" si="51"/>
        <v/>
      </c>
      <c r="N174" s="144" t="str">
        <f t="shared" si="45"/>
        <v/>
      </c>
      <c r="O174" s="15"/>
      <c r="P174" s="52" t="str">
        <f>IF(A173=$D$8,XIRR(R$24:R173,C$24:C173),"")</f>
        <v/>
      </c>
      <c r="Q174" s="15" t="str">
        <f t="shared" si="43"/>
        <v/>
      </c>
      <c r="R174" s="144">
        <f t="shared" ca="1" si="39"/>
        <v>41055.931604305733</v>
      </c>
      <c r="S174" s="168">
        <f t="shared" ca="1" si="40"/>
        <v>2034</v>
      </c>
      <c r="T174" s="168">
        <f t="shared" ca="1" si="41"/>
        <v>365</v>
      </c>
    </row>
    <row r="175" spans="1:20" x14ac:dyDescent="0.35">
      <c r="A175" s="13">
        <f t="shared" si="42"/>
        <v>151</v>
      </c>
      <c r="B175" s="50">
        <f t="shared" ca="1" si="52"/>
        <v>48987</v>
      </c>
      <c r="C175" s="50">
        <f t="shared" ca="1" si="44"/>
        <v>48987</v>
      </c>
      <c r="D175" s="13">
        <f t="shared" ca="1" si="47"/>
        <v>31</v>
      </c>
      <c r="E175" s="15">
        <f t="shared" ca="1" si="46"/>
        <v>2485608.3105421877</v>
      </c>
      <c r="F175" s="15">
        <f ca="1">IF(AND(A174="",A176=""),"",IF(A175="",SUM($F$25:F174),IF(A175=$D$8,$E$24-SUM($F$25:F174),$F$21-G175)))</f>
        <v>17458.526165643685</v>
      </c>
      <c r="G175" s="15">
        <f ca="1">IF(A174=$D$8,SUM($G$25:G174),IF(A174&gt;$D$8,"",E174*D175*$F$18/T174))</f>
        <v>23597.405438662048</v>
      </c>
      <c r="H175" s="15">
        <f ca="1">IF(A174=$D$8,SUM($H$25:H174),IF(A174="","",(G175+F175)))</f>
        <v>41055.931604305733</v>
      </c>
      <c r="I175" s="15" t="str">
        <f t="shared" si="48"/>
        <v/>
      </c>
      <c r="J175" s="15" t="str">
        <f t="shared" si="49"/>
        <v/>
      </c>
      <c r="K175" s="15"/>
      <c r="L175" s="15" t="str">
        <f t="shared" si="50"/>
        <v/>
      </c>
      <c r="M175" s="15" t="str">
        <f t="shared" si="51"/>
        <v/>
      </c>
      <c r="N175" s="144" t="str">
        <f t="shared" si="45"/>
        <v/>
      </c>
      <c r="O175" s="15"/>
      <c r="P175" s="52" t="str">
        <f>IF(A174=$D$8,XIRR(R$24:R174,C$24:C174),"")</f>
        <v/>
      </c>
      <c r="Q175" s="15" t="str">
        <f t="shared" si="43"/>
        <v/>
      </c>
      <c r="R175" s="144">
        <f t="shared" ca="1" si="39"/>
        <v>41055.931604305733</v>
      </c>
      <c r="S175" s="168">
        <f t="shared" ca="1" si="40"/>
        <v>2034</v>
      </c>
      <c r="T175" s="168">
        <f t="shared" ca="1" si="41"/>
        <v>365</v>
      </c>
    </row>
    <row r="176" spans="1:20" x14ac:dyDescent="0.35">
      <c r="A176" s="13">
        <f t="shared" si="42"/>
        <v>152</v>
      </c>
      <c r="B176" s="50">
        <f t="shared" ca="1" si="52"/>
        <v>49015</v>
      </c>
      <c r="C176" s="50">
        <f t="shared" ca="1" si="44"/>
        <v>49015</v>
      </c>
      <c r="D176" s="13">
        <f t="shared" ca="1" si="47"/>
        <v>28</v>
      </c>
      <c r="E176" s="15">
        <f t="shared" ca="1" si="46"/>
        <v>2465717.5039492934</v>
      </c>
      <c r="F176" s="15">
        <f ca="1">IF(AND(A175="",A177=""),"",IF(A176="",SUM($F$25:F175),IF(A176=$D$8,$E$24-SUM($F$25:F175),$F$21-G176)))</f>
        <v>19890.806592894449</v>
      </c>
      <c r="G176" s="15">
        <f ca="1">IF(A175=$D$8,SUM($G$25:G175),IF(A175&gt;$D$8,"",E175*D176*$F$18/T175))</f>
        <v>21165.125011411285</v>
      </c>
      <c r="H176" s="15">
        <f ca="1">IF(A175=$D$8,SUM($H$25:H175),IF(A175="","",(G176+F176)))</f>
        <v>41055.931604305733</v>
      </c>
      <c r="I176" s="15" t="str">
        <f t="shared" si="48"/>
        <v/>
      </c>
      <c r="J176" s="15" t="str">
        <f t="shared" si="49"/>
        <v/>
      </c>
      <c r="K176" s="15"/>
      <c r="L176" s="15" t="str">
        <f t="shared" si="50"/>
        <v/>
      </c>
      <c r="M176" s="15" t="str">
        <f t="shared" si="51"/>
        <v/>
      </c>
      <c r="N176" s="144" t="str">
        <f t="shared" si="45"/>
        <v/>
      </c>
      <c r="O176" s="15"/>
      <c r="P176" s="52" t="str">
        <f>IF(A175=$D$8,XIRR(R$24:R175,C$24:C175),"")</f>
        <v/>
      </c>
      <c r="Q176" s="15" t="str">
        <f t="shared" si="43"/>
        <v/>
      </c>
      <c r="R176" s="144">
        <f t="shared" ca="1" si="39"/>
        <v>41055.931604305733</v>
      </c>
      <c r="S176" s="168">
        <f t="shared" ca="1" si="40"/>
        <v>2034</v>
      </c>
      <c r="T176" s="168">
        <f t="shared" ca="1" si="41"/>
        <v>365</v>
      </c>
    </row>
    <row r="177" spans="1:20" x14ac:dyDescent="0.35">
      <c r="A177" s="13">
        <f t="shared" si="42"/>
        <v>153</v>
      </c>
      <c r="B177" s="50">
        <f t="shared" ca="1" si="52"/>
        <v>49046</v>
      </c>
      <c r="C177" s="50">
        <f t="shared" ca="1" si="44"/>
        <v>49046</v>
      </c>
      <c r="D177" s="13">
        <f t="shared" ca="1" si="47"/>
        <v>31</v>
      </c>
      <c r="E177" s="15">
        <f t="shared" ca="1" si="46"/>
        <v>2447906.8707863288</v>
      </c>
      <c r="F177" s="15">
        <f ca="1">IF(AND(A176="",A178=""),"",IF(A177="",SUM($F$25:F176),IF(A177=$D$8,$E$24-SUM($F$25:F176),$F$21-G177)))</f>
        <v>17810.633162964587</v>
      </c>
      <c r="G177" s="15">
        <f ca="1">IF(A176=$D$8,SUM($G$25:G176),IF(A176&gt;$D$8,"",E176*D177*$F$18/T176))</f>
        <v>23245.298441341147</v>
      </c>
      <c r="H177" s="15">
        <f ca="1">IF(A176=$D$8,SUM($H$25:H176),IF(A176="","",(G177+F177)))</f>
        <v>41055.931604305733</v>
      </c>
      <c r="I177" s="15" t="str">
        <f t="shared" si="48"/>
        <v/>
      </c>
      <c r="J177" s="15" t="str">
        <f t="shared" si="49"/>
        <v/>
      </c>
      <c r="K177" s="15"/>
      <c r="L177" s="15" t="str">
        <f t="shared" si="50"/>
        <v/>
      </c>
      <c r="M177" s="15" t="str">
        <f t="shared" si="51"/>
        <v/>
      </c>
      <c r="N177" s="144" t="str">
        <f t="shared" si="45"/>
        <v/>
      </c>
      <c r="O177" s="15"/>
      <c r="P177" s="52" t="str">
        <f>IF(A176=$D$8,XIRR(R$24:R176,C$24:C176),"")</f>
        <v/>
      </c>
      <c r="Q177" s="15" t="str">
        <f t="shared" si="43"/>
        <v/>
      </c>
      <c r="R177" s="144">
        <f t="shared" ca="1" si="39"/>
        <v>41055.931604305733</v>
      </c>
      <c r="S177" s="168">
        <f t="shared" ca="1" si="40"/>
        <v>2034</v>
      </c>
      <c r="T177" s="168">
        <f t="shared" ca="1" si="41"/>
        <v>365</v>
      </c>
    </row>
    <row r="178" spans="1:20" x14ac:dyDescent="0.35">
      <c r="A178" s="13">
        <f t="shared" si="42"/>
        <v>154</v>
      </c>
      <c r="B178" s="50">
        <f t="shared" ca="1" si="52"/>
        <v>49076</v>
      </c>
      <c r="C178" s="50">
        <f t="shared" ca="1" si="44"/>
        <v>49076</v>
      </c>
      <c r="D178" s="13">
        <f t="shared" ca="1" si="47"/>
        <v>30</v>
      </c>
      <c r="E178" s="15">
        <f t="shared" ca="1" si="46"/>
        <v>2429183.8977565942</v>
      </c>
      <c r="F178" s="15">
        <f ca="1">IF(AND(A177="",A179=""),"",IF(A178="",SUM($F$25:F177),IF(A178=$D$8,$E$24-SUM($F$25:F177),$F$21-G178)))</f>
        <v>18722.97302973457</v>
      </c>
      <c r="G178" s="15">
        <f ca="1">IF(A177=$D$8,SUM($G$25:G177),IF(A177&gt;$D$8,"",E177*D178*$F$18/T177))</f>
        <v>22332.958574571163</v>
      </c>
      <c r="H178" s="15">
        <f ca="1">IF(A177=$D$8,SUM($H$25:H177),IF(A177="","",(G178+F178)))</f>
        <v>41055.931604305733</v>
      </c>
      <c r="I178" s="15" t="str">
        <f t="shared" si="48"/>
        <v/>
      </c>
      <c r="J178" s="15" t="str">
        <f t="shared" si="49"/>
        <v/>
      </c>
      <c r="K178" s="15"/>
      <c r="L178" s="15" t="str">
        <f t="shared" si="50"/>
        <v/>
      </c>
      <c r="M178" s="15" t="str">
        <f t="shared" si="51"/>
        <v/>
      </c>
      <c r="N178" s="144" t="str">
        <f t="shared" si="45"/>
        <v/>
      </c>
      <c r="O178" s="15"/>
      <c r="P178" s="52" t="str">
        <f>IF(A177=$D$8,XIRR(R$24:R177,C$24:C177),"")</f>
        <v/>
      </c>
      <c r="Q178" s="15" t="str">
        <f t="shared" si="43"/>
        <v/>
      </c>
      <c r="R178" s="144">
        <f t="shared" ca="1" si="39"/>
        <v>41055.931604305733</v>
      </c>
      <c r="S178" s="168">
        <f t="shared" ca="1" si="40"/>
        <v>2034</v>
      </c>
      <c r="T178" s="168">
        <f t="shared" ca="1" si="41"/>
        <v>365</v>
      </c>
    </row>
    <row r="179" spans="1:20" x14ac:dyDescent="0.35">
      <c r="A179" s="13">
        <f t="shared" si="42"/>
        <v>155</v>
      </c>
      <c r="B179" s="50">
        <f t="shared" ca="1" si="52"/>
        <v>49107</v>
      </c>
      <c r="C179" s="50">
        <f t="shared" ca="1" si="44"/>
        <v>49107</v>
      </c>
      <c r="D179" s="13">
        <f t="shared" ca="1" si="47"/>
        <v>31</v>
      </c>
      <c r="E179" s="15">
        <f t="shared" ca="1" si="46"/>
        <v>2411028.8477747007</v>
      </c>
      <c r="F179" s="15">
        <f ca="1">IF(AND(A178="",A180=""),"",IF(A179="",SUM($F$25:F178),IF(A179=$D$8,$E$24-SUM($F$25:F178),$F$21-G179)))</f>
        <v>18155.049981893564</v>
      </c>
      <c r="G179" s="15">
        <f ca="1">IF(A178=$D$8,SUM($G$25:G178),IF(A178&gt;$D$8,"",E178*D179*$F$18/T178))</f>
        <v>22900.881622412169</v>
      </c>
      <c r="H179" s="15">
        <f ca="1">IF(A178=$D$8,SUM($H$25:H178),IF(A178="","",(G179+F179)))</f>
        <v>41055.931604305733</v>
      </c>
      <c r="I179" s="15" t="str">
        <f t="shared" si="48"/>
        <v/>
      </c>
      <c r="J179" s="15" t="str">
        <f t="shared" si="49"/>
        <v/>
      </c>
      <c r="K179" s="15"/>
      <c r="L179" s="15" t="str">
        <f t="shared" si="50"/>
        <v/>
      </c>
      <c r="M179" s="15" t="str">
        <f t="shared" si="51"/>
        <v/>
      </c>
      <c r="N179" s="144" t="str">
        <f t="shared" si="45"/>
        <v/>
      </c>
      <c r="O179" s="15"/>
      <c r="P179" s="52" t="str">
        <f>IF(A178=$D$8,XIRR(R$24:R178,C$24:C178),"")</f>
        <v/>
      </c>
      <c r="Q179" s="15" t="str">
        <f t="shared" si="43"/>
        <v/>
      </c>
      <c r="R179" s="144">
        <f t="shared" ca="1" si="39"/>
        <v>41055.931604305733</v>
      </c>
      <c r="S179" s="168">
        <f t="shared" ca="1" si="40"/>
        <v>2034</v>
      </c>
      <c r="T179" s="168">
        <f t="shared" ca="1" si="41"/>
        <v>365</v>
      </c>
    </row>
    <row r="180" spans="1:20" x14ac:dyDescent="0.35">
      <c r="A180" s="13">
        <f t="shared" si="42"/>
        <v>156</v>
      </c>
      <c r="B180" s="50">
        <f t="shared" ca="1" si="52"/>
        <v>49137</v>
      </c>
      <c r="C180" s="50">
        <f t="shared" ca="1" si="44"/>
        <v>49137</v>
      </c>
      <c r="D180" s="13">
        <f t="shared" ca="1" si="47"/>
        <v>30</v>
      </c>
      <c r="E180" s="15">
        <f t="shared" ca="1" si="46"/>
        <v>2391969.4259322849</v>
      </c>
      <c r="F180" s="15">
        <f ca="1">IF(AND(A179="",A181=""),"",IF(A180="",SUM($F$25:F179),IF(A180=$D$8,$E$24-SUM($F$25:F179),$F$21-G180)))</f>
        <v>19059.421842415999</v>
      </c>
      <c r="G180" s="15">
        <f ca="1">IF(A179=$D$8,SUM($G$25:G179),IF(A179&gt;$D$8,"",E179*D180*$F$18/T179))</f>
        <v>21996.509761889734</v>
      </c>
      <c r="H180" s="15">
        <f ca="1">IF(A179=$D$8,SUM($H$25:H179),IF(A179="","",(G180+F180)))</f>
        <v>41055.931604305733</v>
      </c>
      <c r="I180" s="15" t="str">
        <f t="shared" si="48"/>
        <v/>
      </c>
      <c r="J180" s="15" t="str">
        <f t="shared" si="49"/>
        <v/>
      </c>
      <c r="K180" s="15"/>
      <c r="L180" s="15" t="str">
        <f t="shared" si="50"/>
        <v/>
      </c>
      <c r="M180" s="15" t="str">
        <f t="shared" si="51"/>
        <v/>
      </c>
      <c r="N180" s="144" t="str">
        <f t="shared" si="45"/>
        <v/>
      </c>
      <c r="O180" s="15"/>
      <c r="P180" s="52" t="str">
        <f>IF(A179=$D$8,XIRR(R$24:R179,C$24:C179),"")</f>
        <v/>
      </c>
      <c r="Q180" s="15" t="str">
        <f t="shared" si="43"/>
        <v/>
      </c>
      <c r="R180" s="144">
        <f t="shared" ca="1" si="39"/>
        <v>41055.931604305733</v>
      </c>
      <c r="S180" s="168">
        <f t="shared" ca="1" si="40"/>
        <v>2034</v>
      </c>
      <c r="T180" s="168">
        <f t="shared" ca="1" si="41"/>
        <v>365</v>
      </c>
    </row>
    <row r="181" spans="1:20" x14ac:dyDescent="0.35">
      <c r="A181" s="13">
        <f t="shared" si="42"/>
        <v>157</v>
      </c>
      <c r="B181" s="50">
        <f t="shared" ca="1" si="52"/>
        <v>49168</v>
      </c>
      <c r="C181" s="50">
        <f t="shared" ca="1" si="44"/>
        <v>49168</v>
      </c>
      <c r="D181" s="13">
        <f t="shared" ca="1" si="47"/>
        <v>31</v>
      </c>
      <c r="E181" s="15">
        <f t="shared" ca="1" si="46"/>
        <v>2373463.5403406722</v>
      </c>
      <c r="F181" s="15">
        <f ca="1">IF(AND(A180="",A182=""),"",IF(A181="",SUM($F$25:F180),IF(A181=$D$8,$E$24-SUM($F$25:F180),$F$21-G181)))</f>
        <v>18505.885591612605</v>
      </c>
      <c r="G181" s="15">
        <f ca="1">IF(A180=$D$8,SUM($G$25:G180),IF(A180&gt;$D$8,"",E180*D181*$F$18/T180))</f>
        <v>22550.046012693128</v>
      </c>
      <c r="H181" s="15">
        <f ca="1">IF(A180=$D$8,SUM($H$25:H180),IF(A180="","",(G181+F181)))</f>
        <v>41055.931604305733</v>
      </c>
      <c r="I181" s="15" t="str">
        <f t="shared" si="48"/>
        <v/>
      </c>
      <c r="J181" s="15" t="str">
        <f t="shared" si="49"/>
        <v/>
      </c>
      <c r="K181" s="15">
        <f>IF($F$8&gt;156,($O$8+$O$10),IF($A$180=$F$8,$K$24*$G$8,""))</f>
        <v>17142.858</v>
      </c>
      <c r="L181" s="15" t="str">
        <f t="shared" si="50"/>
        <v/>
      </c>
      <c r="M181" s="15" t="str">
        <f t="shared" si="51"/>
        <v/>
      </c>
      <c r="N181" s="15">
        <f>IF($F$8&gt;156,($N$14),IF(A180=$F$8,N169+N157+N145+N133+N121+N109+N97+N85+N73+N61+N49+N37+N24,""))</f>
        <v>2500</v>
      </c>
      <c r="O181" s="15"/>
      <c r="P181" s="52" t="str">
        <f>IF(A180=$D$8,XIRR(R$24:R180,C$24:C180),"")</f>
        <v/>
      </c>
      <c r="Q181" s="15" t="str">
        <f t="shared" si="43"/>
        <v/>
      </c>
      <c r="R181" s="144">
        <f t="shared" ca="1" si="39"/>
        <v>60698.789604305734</v>
      </c>
      <c r="S181" s="168">
        <f t="shared" ca="1" si="40"/>
        <v>2034</v>
      </c>
      <c r="T181" s="168">
        <f t="shared" ca="1" si="41"/>
        <v>365</v>
      </c>
    </row>
    <row r="182" spans="1:20" x14ac:dyDescent="0.35">
      <c r="A182" s="13">
        <f t="shared" si="42"/>
        <v>158</v>
      </c>
      <c r="B182" s="50">
        <f t="shared" ca="1" si="52"/>
        <v>49199</v>
      </c>
      <c r="C182" s="50">
        <f t="shared" ca="1" si="44"/>
        <v>49199</v>
      </c>
      <c r="D182" s="13">
        <f t="shared" ca="1" si="47"/>
        <v>31</v>
      </c>
      <c r="E182" s="15">
        <f t="shared" ca="1" si="46"/>
        <v>2354783.1924139345</v>
      </c>
      <c r="F182" s="15">
        <f ca="1">IF(AND(A181="",A183=""),"",IF(A182="",SUM($F$25:F181),IF(A182=$D$8,$E$24-SUM($F$25:F181),$F$21-G182)))</f>
        <v>18680.347926737919</v>
      </c>
      <c r="G182" s="15">
        <f ca="1">IF(A181=$D$8,SUM($G$25:G181),IF(A181&gt;$D$8,"",E181*D182*$F$18/T181))</f>
        <v>22375.583677567814</v>
      </c>
      <c r="H182" s="15">
        <f ca="1">IF(A181=$D$8,SUM($H$25:H181),IF(A181="","",(G182+F182)))</f>
        <v>41055.931604305733</v>
      </c>
      <c r="I182" s="15" t="str">
        <f t="shared" si="48"/>
        <v/>
      </c>
      <c r="J182" s="15" t="str">
        <f t="shared" si="49"/>
        <v/>
      </c>
      <c r="K182" s="15"/>
      <c r="L182" s="15" t="str">
        <f t="shared" si="50"/>
        <v/>
      </c>
      <c r="M182" s="15" t="str">
        <f t="shared" si="51"/>
        <v/>
      </c>
      <c r="N182" s="144" t="str">
        <f t="shared" si="45"/>
        <v/>
      </c>
      <c r="O182" s="15"/>
      <c r="P182" s="52" t="str">
        <f>IF(A181=$D$8,XIRR(R$24:R181,C$24:C181),"")</f>
        <v/>
      </c>
      <c r="Q182" s="15" t="str">
        <f t="shared" si="43"/>
        <v/>
      </c>
      <c r="R182" s="144">
        <f t="shared" ca="1" si="39"/>
        <v>41055.931604305733</v>
      </c>
      <c r="S182" s="168">
        <f t="shared" ca="1" si="40"/>
        <v>2034</v>
      </c>
      <c r="T182" s="168">
        <f t="shared" ca="1" si="41"/>
        <v>365</v>
      </c>
    </row>
    <row r="183" spans="1:20" x14ac:dyDescent="0.35">
      <c r="A183" s="13">
        <f t="shared" si="42"/>
        <v>159</v>
      </c>
      <c r="B183" s="50">
        <f t="shared" ca="1" si="52"/>
        <v>49229</v>
      </c>
      <c r="C183" s="50">
        <f t="shared" ca="1" si="44"/>
        <v>49229</v>
      </c>
      <c r="D183" s="13">
        <f t="shared" ca="1" si="47"/>
        <v>30</v>
      </c>
      <c r="E183" s="15">
        <f t="shared" ca="1" si="46"/>
        <v>2335210.6252774051</v>
      </c>
      <c r="F183" s="15">
        <f ca="1">IF(AND(A182="",A184=""),"",IF(A183="",SUM($F$25:F182),IF(A183=$D$8,$E$24-SUM($F$25:F182),$F$21-G183)))</f>
        <v>19572.567136529287</v>
      </c>
      <c r="G183" s="15">
        <f ca="1">IF(A182=$D$8,SUM($G$25:G182),IF(A182&gt;$D$8,"",E182*D183*$F$18/T182))</f>
        <v>21483.364467776446</v>
      </c>
      <c r="H183" s="15">
        <f ca="1">IF(A182=$D$8,SUM($H$25:H182),IF(A182="","",(G183+F183)))</f>
        <v>41055.931604305733</v>
      </c>
      <c r="I183" s="15" t="str">
        <f t="shared" si="48"/>
        <v/>
      </c>
      <c r="J183" s="15" t="str">
        <f t="shared" si="49"/>
        <v/>
      </c>
      <c r="K183" s="15"/>
      <c r="L183" s="15" t="str">
        <f t="shared" si="50"/>
        <v/>
      </c>
      <c r="M183" s="15" t="str">
        <f t="shared" si="51"/>
        <v/>
      </c>
      <c r="N183" s="144" t="str">
        <f t="shared" si="45"/>
        <v/>
      </c>
      <c r="O183" s="15"/>
      <c r="P183" s="52" t="str">
        <f>IF(A182=$D$8,XIRR(R$24:R182,C$24:C182),"")</f>
        <v/>
      </c>
      <c r="Q183" s="15" t="str">
        <f t="shared" si="43"/>
        <v/>
      </c>
      <c r="R183" s="144">
        <f t="shared" ca="1" si="39"/>
        <v>41055.931604305733</v>
      </c>
      <c r="S183" s="168">
        <f t="shared" ca="1" si="40"/>
        <v>2034</v>
      </c>
      <c r="T183" s="168">
        <f t="shared" ca="1" si="41"/>
        <v>365</v>
      </c>
    </row>
    <row r="184" spans="1:20" x14ac:dyDescent="0.35">
      <c r="A184" s="13">
        <f t="shared" si="42"/>
        <v>160</v>
      </c>
      <c r="B184" s="50">
        <f t="shared" ca="1" si="52"/>
        <v>49260</v>
      </c>
      <c r="C184" s="50">
        <f t="shared" ca="1" si="44"/>
        <v>49260</v>
      </c>
      <c r="D184" s="13">
        <f t="shared" ca="1" si="47"/>
        <v>31</v>
      </c>
      <c r="E184" s="15">
        <f t="shared" ca="1" si="46"/>
        <v>2316169.6519240024</v>
      </c>
      <c r="F184" s="15">
        <f ca="1">IF(AND(A183="",A185=""),"",IF(A184="",SUM($F$25:F183),IF(A184=$D$8,$E$24-SUM($F$25:F183),$F$21-G184)))</f>
        <v>19040.973353402853</v>
      </c>
      <c r="G184" s="15">
        <f ca="1">IF(A183=$D$8,SUM($G$25:G183),IF(A183&gt;$D$8,"",E183*D184*$F$18/T183))</f>
        <v>22014.958250902881</v>
      </c>
      <c r="H184" s="15">
        <f ca="1">IF(A183=$D$8,SUM($H$25:H183),IF(A183="","",(G184+F184)))</f>
        <v>41055.931604305733</v>
      </c>
      <c r="I184" s="15" t="str">
        <f t="shared" si="48"/>
        <v/>
      </c>
      <c r="J184" s="15" t="str">
        <f t="shared" si="49"/>
        <v/>
      </c>
      <c r="K184" s="15"/>
      <c r="L184" s="15" t="str">
        <f t="shared" si="50"/>
        <v/>
      </c>
      <c r="M184" s="15" t="str">
        <f t="shared" si="51"/>
        <v/>
      </c>
      <c r="N184" s="144" t="str">
        <f t="shared" si="45"/>
        <v/>
      </c>
      <c r="O184" s="15"/>
      <c r="P184" s="52" t="str">
        <f>IF(A183=$D$8,XIRR(R$24:R183,C$24:C183),"")</f>
        <v/>
      </c>
      <c r="Q184" s="15" t="str">
        <f t="shared" si="43"/>
        <v/>
      </c>
      <c r="R184" s="144">
        <f t="shared" ca="1" si="39"/>
        <v>41055.931604305733</v>
      </c>
      <c r="S184" s="168">
        <f t="shared" ca="1" si="40"/>
        <v>2034</v>
      </c>
      <c r="T184" s="168">
        <f t="shared" ca="1" si="41"/>
        <v>365</v>
      </c>
    </row>
    <row r="185" spans="1:20" x14ac:dyDescent="0.35">
      <c r="A185" s="13">
        <f t="shared" si="42"/>
        <v>161</v>
      </c>
      <c r="B185" s="50">
        <f t="shared" ca="1" si="52"/>
        <v>49290</v>
      </c>
      <c r="C185" s="50">
        <f t="shared" ca="1" si="44"/>
        <v>49290</v>
      </c>
      <c r="D185" s="13">
        <f t="shared" ca="1" si="47"/>
        <v>30</v>
      </c>
      <c r="E185" s="15">
        <f t="shared" ca="1" si="46"/>
        <v>2296244.8023495786</v>
      </c>
      <c r="F185" s="15">
        <f ca="1">IF(AND(A184="",A186=""),"",IF(A185="",SUM($F$25:F184),IF(A185=$D$8,$E$24-SUM($F$25:F184),$F$21-G185)))</f>
        <v>19924.849574423737</v>
      </c>
      <c r="G185" s="15">
        <f ca="1">IF(A184=$D$8,SUM($G$25:G184),IF(A184&gt;$D$8,"",E184*D185*$F$18/T184))</f>
        <v>21131.082029881996</v>
      </c>
      <c r="H185" s="15">
        <f ca="1">IF(A184=$D$8,SUM($H$25:H184),IF(A184="","",(G185+F185)))</f>
        <v>41055.931604305733</v>
      </c>
      <c r="I185" s="15" t="str">
        <f t="shared" si="48"/>
        <v/>
      </c>
      <c r="J185" s="15" t="str">
        <f t="shared" si="49"/>
        <v/>
      </c>
      <c r="K185" s="15"/>
      <c r="L185" s="15" t="str">
        <f t="shared" si="50"/>
        <v/>
      </c>
      <c r="M185" s="15" t="str">
        <f t="shared" si="51"/>
        <v/>
      </c>
      <c r="N185" s="144" t="str">
        <f t="shared" si="45"/>
        <v/>
      </c>
      <c r="O185" s="15"/>
      <c r="P185" s="52" t="str">
        <f>IF(A184=$D$8,XIRR(R$24:R184,C$24:C184),"")</f>
        <v/>
      </c>
      <c r="Q185" s="15" t="str">
        <f t="shared" si="43"/>
        <v/>
      </c>
      <c r="R185" s="144">
        <f t="shared" ca="1" si="39"/>
        <v>41055.931604305733</v>
      </c>
      <c r="S185" s="168">
        <f t="shared" ca="1" si="40"/>
        <v>2034</v>
      </c>
      <c r="T185" s="168">
        <f t="shared" ca="1" si="41"/>
        <v>365</v>
      </c>
    </row>
    <row r="186" spans="1:20" x14ac:dyDescent="0.35">
      <c r="A186" s="13">
        <f t="shared" si="42"/>
        <v>162</v>
      </c>
      <c r="B186" s="50">
        <f t="shared" ca="1" si="52"/>
        <v>49321</v>
      </c>
      <c r="C186" s="50">
        <f t="shared" ca="1" si="44"/>
        <v>49321</v>
      </c>
      <c r="D186" s="13">
        <f t="shared" ca="1" si="47"/>
        <v>31</v>
      </c>
      <c r="E186" s="15">
        <f t="shared" ca="1" si="46"/>
        <v>2276836.4827038618</v>
      </c>
      <c r="F186" s="15">
        <f ca="1">IF(AND(A185="",A187=""),"",IF(A186="",SUM($F$25:F185),IF(A186=$D$8,$E$24-SUM($F$25:F185),$F$21-G186)))</f>
        <v>19408.319645716965</v>
      </c>
      <c r="G186" s="15">
        <f ca="1">IF(A185=$D$8,SUM($G$25:G185),IF(A185&gt;$D$8,"",E185*D186*$F$18/T185))</f>
        <v>21647.611958588768</v>
      </c>
      <c r="H186" s="15">
        <f ca="1">IF(A185=$D$8,SUM($H$25:H185),IF(A185="","",(G186+F186)))</f>
        <v>41055.931604305733</v>
      </c>
      <c r="I186" s="15" t="str">
        <f t="shared" si="48"/>
        <v/>
      </c>
      <c r="J186" s="15" t="str">
        <f t="shared" si="49"/>
        <v/>
      </c>
      <c r="K186" s="15"/>
      <c r="L186" s="15" t="str">
        <f t="shared" si="50"/>
        <v/>
      </c>
      <c r="M186" s="15" t="str">
        <f t="shared" si="51"/>
        <v/>
      </c>
      <c r="N186" s="144" t="str">
        <f t="shared" si="45"/>
        <v/>
      </c>
      <c r="O186" s="15"/>
      <c r="P186" s="52" t="str">
        <f>IF(A185=$D$8,XIRR(R$24:R185,C$24:C185),"")</f>
        <v/>
      </c>
      <c r="Q186" s="15" t="str">
        <f t="shared" si="43"/>
        <v/>
      </c>
      <c r="R186" s="144">
        <f t="shared" ca="1" si="39"/>
        <v>41055.931604305733</v>
      </c>
      <c r="S186" s="168">
        <f t="shared" ca="1" si="40"/>
        <v>2035</v>
      </c>
      <c r="T186" s="168">
        <f t="shared" ca="1" si="41"/>
        <v>365</v>
      </c>
    </row>
    <row r="187" spans="1:20" x14ac:dyDescent="0.35">
      <c r="A187" s="13">
        <f t="shared" si="42"/>
        <v>163</v>
      </c>
      <c r="B187" s="50">
        <f t="shared" ca="1" si="52"/>
        <v>49352</v>
      </c>
      <c r="C187" s="50">
        <f t="shared" ca="1" si="44"/>
        <v>49352</v>
      </c>
      <c r="D187" s="13">
        <f t="shared" ca="1" si="47"/>
        <v>31</v>
      </c>
      <c r="E187" s="15">
        <f t="shared" ca="1" si="46"/>
        <v>2257245.19311869</v>
      </c>
      <c r="F187" s="15">
        <f ca="1">IF(AND(A186="",A188=""),"",IF(A187="",SUM($F$25:F186),IF(A187=$D$8,$E$24-SUM($F$25:F186),$F$21-G187)))</f>
        <v>19591.289585171518</v>
      </c>
      <c r="G187" s="15">
        <f ca="1">IF(A186=$D$8,SUM($G$25:G186),IF(A186&gt;$D$8,"",E186*D187*$F$18/T186))</f>
        <v>21464.642019134215</v>
      </c>
      <c r="H187" s="15">
        <f ca="1">IF(A186=$D$8,SUM($H$25:H186),IF(A186="","",(G187+F187)))</f>
        <v>41055.931604305733</v>
      </c>
      <c r="I187" s="15" t="str">
        <f t="shared" si="48"/>
        <v/>
      </c>
      <c r="J187" s="15" t="str">
        <f t="shared" si="49"/>
        <v/>
      </c>
      <c r="K187" s="15"/>
      <c r="L187" s="15" t="str">
        <f t="shared" si="50"/>
        <v/>
      </c>
      <c r="M187" s="15" t="str">
        <f t="shared" si="51"/>
        <v/>
      </c>
      <c r="N187" s="144" t="str">
        <f t="shared" si="45"/>
        <v/>
      </c>
      <c r="P187" s="52" t="str">
        <f>IF(A186=$D$8,XIRR(R$24:R186,C$24:C186),"")</f>
        <v/>
      </c>
      <c r="Q187" s="15" t="str">
        <f t="shared" si="43"/>
        <v/>
      </c>
      <c r="R187" s="144">
        <f t="shared" ca="1" si="39"/>
        <v>41055.931604305733</v>
      </c>
      <c r="S187" s="168">
        <f t="shared" ca="1" si="40"/>
        <v>2035</v>
      </c>
      <c r="T187" s="168">
        <f t="shared" ca="1" si="41"/>
        <v>365</v>
      </c>
    </row>
    <row r="188" spans="1:20" x14ac:dyDescent="0.35">
      <c r="A188" s="13">
        <f t="shared" si="42"/>
        <v>164</v>
      </c>
      <c r="B188" s="50">
        <f t="shared" ca="1" si="52"/>
        <v>49380</v>
      </c>
      <c r="C188" s="50">
        <f t="shared" ca="1" si="44"/>
        <v>49380</v>
      </c>
      <c r="D188" s="13">
        <f t="shared" ca="1" si="47"/>
        <v>28</v>
      </c>
      <c r="E188" s="15">
        <f t="shared" ca="1" si="46"/>
        <v>2235409.8589396253</v>
      </c>
      <c r="F188" s="15">
        <f ca="1">IF(AND(A187="",A189=""),"",IF(A188="",SUM($F$25:F187),IF(A188=$D$8,$E$24-SUM($F$25:F187),$F$21-G188)))</f>
        <v>21835.334179064943</v>
      </c>
      <c r="G188" s="15">
        <f ca="1">IF(A187=$D$8,SUM($G$25:G187),IF(A187&gt;$D$8,"",E187*D188*$F$18/T187))</f>
        <v>19220.59742524079</v>
      </c>
      <c r="H188" s="15">
        <f ca="1">IF(A187=$D$8,SUM($H$25:H187),IF(A187="","",(G188+F188)))</f>
        <v>41055.931604305733</v>
      </c>
      <c r="I188" s="15" t="str">
        <f t="shared" si="48"/>
        <v/>
      </c>
      <c r="J188" s="15" t="str">
        <f t="shared" si="49"/>
        <v/>
      </c>
      <c r="K188" s="15"/>
      <c r="L188" s="15" t="str">
        <f t="shared" si="50"/>
        <v/>
      </c>
      <c r="M188" s="15" t="str">
        <f t="shared" si="51"/>
        <v/>
      </c>
      <c r="N188" s="144" t="str">
        <f t="shared" si="45"/>
        <v/>
      </c>
      <c r="P188" s="52" t="str">
        <f>IF(A187=$D$8,XIRR(R$24:R187,C$24:C187),"")</f>
        <v/>
      </c>
      <c r="Q188" s="15" t="str">
        <f t="shared" si="43"/>
        <v/>
      </c>
      <c r="R188" s="144">
        <f t="shared" ca="1" si="39"/>
        <v>41055.931604305733</v>
      </c>
      <c r="S188" s="168">
        <f t="shared" ca="1" si="40"/>
        <v>2035</v>
      </c>
      <c r="T188" s="168">
        <f t="shared" ca="1" si="41"/>
        <v>365</v>
      </c>
    </row>
    <row r="189" spans="1:20" x14ac:dyDescent="0.35">
      <c r="A189" s="13">
        <f t="shared" si="42"/>
        <v>165</v>
      </c>
      <c r="B189" s="50">
        <f t="shared" ca="1" si="52"/>
        <v>49411</v>
      </c>
      <c r="C189" s="50">
        <f t="shared" ca="1" si="44"/>
        <v>49411</v>
      </c>
      <c r="D189" s="13">
        <f t="shared" ca="1" si="47"/>
        <v>31</v>
      </c>
      <c r="E189" s="15">
        <f t="shared" ca="1" si="46"/>
        <v>2215428.0241150763</v>
      </c>
      <c r="F189" s="15">
        <f ca="1">IF(AND(A188="",A190=""),"",IF(A189="",SUM($F$25:F188),IF(A189=$D$8,$E$24-SUM($F$25:F188),$F$21-G189)))</f>
        <v>19981.834824548881</v>
      </c>
      <c r="G189" s="15">
        <f ca="1">IF(A188=$D$8,SUM($G$25:G188),IF(A188&gt;$D$8,"",E188*D189*$F$18/T188))</f>
        <v>21074.096779756852</v>
      </c>
      <c r="H189" s="15">
        <f ca="1">IF(A188=$D$8,SUM($H$25:H188),IF(A188="","",(G189+F189)))</f>
        <v>41055.931604305733</v>
      </c>
      <c r="I189" s="15" t="str">
        <f t="shared" si="48"/>
        <v/>
      </c>
      <c r="J189" s="15" t="str">
        <f t="shared" si="49"/>
        <v/>
      </c>
      <c r="K189" s="15"/>
      <c r="L189" s="15" t="str">
        <f t="shared" si="50"/>
        <v/>
      </c>
      <c r="M189" s="15" t="str">
        <f t="shared" si="51"/>
        <v/>
      </c>
      <c r="N189" s="144" t="str">
        <f t="shared" si="45"/>
        <v/>
      </c>
      <c r="P189" s="52" t="str">
        <f>IF(A188=$D$8,XIRR(R$24:R188,C$24:C188),"")</f>
        <v/>
      </c>
      <c r="Q189" s="15" t="str">
        <f t="shared" si="43"/>
        <v/>
      </c>
      <c r="R189" s="144">
        <f t="shared" ca="1" si="39"/>
        <v>41055.931604305733</v>
      </c>
      <c r="S189" s="168">
        <f t="shared" ca="1" si="40"/>
        <v>2035</v>
      </c>
      <c r="T189" s="168">
        <f t="shared" ca="1" si="41"/>
        <v>365</v>
      </c>
    </row>
    <row r="190" spans="1:20" x14ac:dyDescent="0.35">
      <c r="A190" s="13">
        <f t="shared" si="42"/>
        <v>166</v>
      </c>
      <c r="B190" s="50">
        <f t="shared" ca="1" si="52"/>
        <v>49441</v>
      </c>
      <c r="C190" s="50">
        <f t="shared" ca="1" si="44"/>
        <v>49441</v>
      </c>
      <c r="D190" s="13">
        <f t="shared" ca="1" si="47"/>
        <v>30</v>
      </c>
      <c r="E190" s="15">
        <f t="shared" ca="1" si="46"/>
        <v>2194584.0796896834</v>
      </c>
      <c r="F190" s="15">
        <f ca="1">IF(AND(A189="",A191=""),"",IF(A190="",SUM($F$25:F189),IF(A190=$D$8,$E$24-SUM($F$25:F189),$F$21-G190)))</f>
        <v>20843.944425392849</v>
      </c>
      <c r="G190" s="15">
        <f ca="1">IF(A189=$D$8,SUM($G$25:G189),IF(A189&gt;$D$8,"",E189*D190*$F$18/T189))</f>
        <v>20211.987178912885</v>
      </c>
      <c r="H190" s="15">
        <f ca="1">IF(A189=$D$8,SUM($H$25:H189),IF(A189="","",(G190+F190)))</f>
        <v>41055.931604305733</v>
      </c>
      <c r="I190" s="15" t="str">
        <f t="shared" si="48"/>
        <v/>
      </c>
      <c r="J190" s="15" t="str">
        <f t="shared" si="49"/>
        <v/>
      </c>
      <c r="K190" s="15"/>
      <c r="L190" s="15" t="str">
        <f t="shared" si="50"/>
        <v/>
      </c>
      <c r="M190" s="15" t="str">
        <f t="shared" si="51"/>
        <v/>
      </c>
      <c r="N190" s="144" t="str">
        <f t="shared" si="45"/>
        <v/>
      </c>
      <c r="P190" s="52" t="str">
        <f>IF(A189=$D$8,XIRR(R$24:R189,C$24:C189),"")</f>
        <v/>
      </c>
      <c r="Q190" s="15" t="str">
        <f t="shared" si="43"/>
        <v/>
      </c>
      <c r="R190" s="144">
        <f t="shared" ca="1" si="39"/>
        <v>41055.931604305733</v>
      </c>
      <c r="S190" s="168">
        <f t="shared" ca="1" si="40"/>
        <v>2035</v>
      </c>
      <c r="T190" s="168">
        <f t="shared" ca="1" si="41"/>
        <v>365</v>
      </c>
    </row>
    <row r="191" spans="1:20" x14ac:dyDescent="0.35">
      <c r="A191" s="13">
        <f t="shared" si="42"/>
        <v>167</v>
      </c>
      <c r="B191" s="50">
        <f t="shared" ca="1" si="52"/>
        <v>49472</v>
      </c>
      <c r="C191" s="50">
        <f t="shared" ca="1" si="44"/>
        <v>49472</v>
      </c>
      <c r="D191" s="13">
        <f t="shared" ca="1" si="47"/>
        <v>31</v>
      </c>
      <c r="E191" s="15">
        <f t="shared" ca="1" si="46"/>
        <v>2174217.364025685</v>
      </c>
      <c r="F191" s="15">
        <f ca="1">IF(AND(A190="",A192=""),"",IF(A191="",SUM($F$25:F190),IF(A191=$D$8,$E$24-SUM($F$25:F190),$F$21-G191)))</f>
        <v>20366.715663998333</v>
      </c>
      <c r="G191" s="15">
        <f ca="1">IF(A190=$D$8,SUM($G$25:G190),IF(A190&gt;$D$8,"",E190*D191*$F$18/T190))</f>
        <v>20689.2159403074</v>
      </c>
      <c r="H191" s="15">
        <f ca="1">IF(A190=$D$8,SUM($H$25:H190),IF(A190="","",(G191+F191)))</f>
        <v>41055.931604305733</v>
      </c>
      <c r="I191" s="15" t="str">
        <f t="shared" si="48"/>
        <v/>
      </c>
      <c r="J191" s="15" t="str">
        <f t="shared" si="49"/>
        <v/>
      </c>
      <c r="K191" s="15"/>
      <c r="L191" s="15" t="str">
        <f t="shared" si="50"/>
        <v/>
      </c>
      <c r="M191" s="15" t="str">
        <f t="shared" si="51"/>
        <v/>
      </c>
      <c r="N191" s="144" t="str">
        <f t="shared" si="45"/>
        <v/>
      </c>
      <c r="P191" s="52" t="str">
        <f>IF(A190=$D$8,XIRR(R$24:R190,C$24:C190),"")</f>
        <v/>
      </c>
      <c r="Q191" s="15" t="str">
        <f t="shared" si="43"/>
        <v/>
      </c>
      <c r="R191" s="144">
        <f t="shared" ca="1" si="39"/>
        <v>41055.931604305733</v>
      </c>
      <c r="S191" s="168">
        <f t="shared" ca="1" si="40"/>
        <v>2035</v>
      </c>
      <c r="T191" s="168">
        <f t="shared" ca="1" si="41"/>
        <v>365</v>
      </c>
    </row>
    <row r="192" spans="1:20" x14ac:dyDescent="0.35">
      <c r="A192" s="13">
        <f t="shared" si="42"/>
        <v>168</v>
      </c>
      <c r="B192" s="50">
        <f t="shared" ca="1" si="52"/>
        <v>49502</v>
      </c>
      <c r="C192" s="50">
        <f t="shared" ca="1" si="44"/>
        <v>49502</v>
      </c>
      <c r="D192" s="13">
        <f t="shared" ca="1" si="47"/>
        <v>30</v>
      </c>
      <c r="E192" s="15">
        <f t="shared" ca="1" si="46"/>
        <v>2152997.4428931754</v>
      </c>
      <c r="F192" s="15">
        <f ca="1">IF(AND(A191="",A193=""),"",IF(A192="",SUM($F$25:F191),IF(A192=$D$8,$E$24-SUM($F$25:F191),$F$21-G192)))</f>
        <v>21219.921132509757</v>
      </c>
      <c r="G192" s="15">
        <f ca="1">IF(A191=$D$8,SUM($G$25:G191),IF(A191&gt;$D$8,"",E191*D192*$F$18/T191))</f>
        <v>19836.010471795977</v>
      </c>
      <c r="H192" s="15">
        <f ca="1">IF(A191=$D$8,SUM($H$25:H191),IF(A191="","",(G192+F192)))</f>
        <v>41055.931604305733</v>
      </c>
      <c r="I192" s="15" t="str">
        <f t="shared" si="48"/>
        <v/>
      </c>
      <c r="J192" s="15" t="str">
        <f t="shared" si="49"/>
        <v/>
      </c>
      <c r="K192" s="15"/>
      <c r="L192" s="15" t="str">
        <f t="shared" si="50"/>
        <v/>
      </c>
      <c r="M192" s="15" t="str">
        <f t="shared" si="51"/>
        <v/>
      </c>
      <c r="N192" s="144" t="str">
        <f t="shared" si="45"/>
        <v/>
      </c>
      <c r="P192" s="52" t="str">
        <f>IF(A191=$D$8,XIRR(R$24:R191,C$24:C191),"")</f>
        <v/>
      </c>
      <c r="Q192" s="15" t="str">
        <f t="shared" si="43"/>
        <v/>
      </c>
      <c r="R192" s="144">
        <f t="shared" ca="1" si="39"/>
        <v>41055.931604305733</v>
      </c>
      <c r="S192" s="168">
        <f t="shared" ca="1" si="40"/>
        <v>2035</v>
      </c>
      <c r="T192" s="168">
        <f t="shared" ca="1" si="41"/>
        <v>365</v>
      </c>
    </row>
    <row r="193" spans="1:20" x14ac:dyDescent="0.35">
      <c r="A193" s="13">
        <f t="shared" si="42"/>
        <v>169</v>
      </c>
      <c r="B193" s="50">
        <f t="shared" ca="1" si="52"/>
        <v>49533</v>
      </c>
      <c r="C193" s="50">
        <f t="shared" ca="1" si="44"/>
        <v>49533</v>
      </c>
      <c r="D193" s="13">
        <f t="shared" ca="1" si="47"/>
        <v>31</v>
      </c>
      <c r="E193" s="15">
        <f t="shared" ca="1" si="46"/>
        <v>2132238.6734833778</v>
      </c>
      <c r="F193" s="15">
        <f ca="1">IF(AND(A192="",A194=""),"",IF(A193="",SUM($F$25:F192),IF(A193=$D$8,$E$24-SUM($F$25:F192),$F$21-G193)))</f>
        <v>20758.769409797744</v>
      </c>
      <c r="G193" s="15">
        <f ca="1">IF(A192=$D$8,SUM($G$25:G192),IF(A192&gt;$D$8,"",E192*D193*$F$18/T192))</f>
        <v>20297.16219450799</v>
      </c>
      <c r="H193" s="15">
        <f ca="1">IF(A192=$D$8,SUM($H$25:H192),IF(A192="","",(G193+F193)))</f>
        <v>41055.931604305733</v>
      </c>
      <c r="I193" s="15" t="str">
        <f t="shared" si="48"/>
        <v/>
      </c>
      <c r="J193" s="15" t="str">
        <f t="shared" si="49"/>
        <v/>
      </c>
      <c r="K193" s="15">
        <f>IF($F$8&gt;168,($O$8+$O$10),IF($A$192=$F$8,$K$24*$G$8,""))</f>
        <v>17142.858</v>
      </c>
      <c r="L193" s="15" t="str">
        <f t="shared" si="50"/>
        <v/>
      </c>
      <c r="M193" s="15" t="str">
        <f t="shared" si="51"/>
        <v/>
      </c>
      <c r="N193" s="15">
        <f>IF($F$8&gt;168,($N$14),IF(A192=$F$8,N181+N169+N157+N145+N133+N121+N109+N97+N85+N73+N61+N49+N37+N24,""))</f>
        <v>2500</v>
      </c>
      <c r="P193" s="52" t="str">
        <f>IF(A192=$D$8,XIRR(R$24:R192,C$24:C192),"")</f>
        <v/>
      </c>
      <c r="Q193" s="15" t="str">
        <f t="shared" si="43"/>
        <v/>
      </c>
      <c r="R193" s="144">
        <f t="shared" ca="1" si="39"/>
        <v>60698.789604305734</v>
      </c>
      <c r="S193" s="168">
        <f t="shared" ca="1" si="40"/>
        <v>2035</v>
      </c>
      <c r="T193" s="168">
        <f t="shared" ca="1" si="41"/>
        <v>365</v>
      </c>
    </row>
    <row r="194" spans="1:20" x14ac:dyDescent="0.35">
      <c r="A194" s="13">
        <f t="shared" si="42"/>
        <v>170</v>
      </c>
      <c r="B194" s="50">
        <f t="shared" ca="1" si="52"/>
        <v>49564</v>
      </c>
      <c r="C194" s="50">
        <f t="shared" ca="1" si="44"/>
        <v>49564</v>
      </c>
      <c r="D194" s="13">
        <f t="shared" ca="1" si="47"/>
        <v>31</v>
      </c>
      <c r="E194" s="15">
        <f t="shared" ca="1" si="46"/>
        <v>2111284.2029077196</v>
      </c>
      <c r="F194" s="15">
        <f ca="1">IF(AND(A193="",A195=""),"",IF(A194="",SUM($F$25:F193),IF(A194=$D$8,$E$24-SUM($F$25:F193),$F$21-G194)))</f>
        <v>20954.470575658328</v>
      </c>
      <c r="G194" s="15">
        <f ca="1">IF(A193=$D$8,SUM($G$25:G193),IF(A193&gt;$D$8,"",E193*D194*$F$18/T193))</f>
        <v>20101.461028647405</v>
      </c>
      <c r="H194" s="15">
        <f ca="1">IF(A193=$D$8,SUM($H$25:H193),IF(A193="","",(G194+F194)))</f>
        <v>41055.931604305733</v>
      </c>
      <c r="I194" s="15" t="str">
        <f t="shared" si="48"/>
        <v/>
      </c>
      <c r="J194" s="15" t="str">
        <f t="shared" si="49"/>
        <v/>
      </c>
      <c r="K194" s="15"/>
      <c r="L194" s="15" t="str">
        <f t="shared" si="50"/>
        <v/>
      </c>
      <c r="M194" s="15" t="str">
        <f t="shared" si="51"/>
        <v/>
      </c>
      <c r="N194" s="144" t="str">
        <f t="shared" si="45"/>
        <v/>
      </c>
      <c r="P194" s="52" t="str">
        <f>IF(A193=$D$8,XIRR(R$24:R193,C$24:C193),"")</f>
        <v/>
      </c>
      <c r="Q194" s="15" t="str">
        <f t="shared" si="43"/>
        <v/>
      </c>
      <c r="R194" s="144">
        <f t="shared" ca="1" si="39"/>
        <v>41055.931604305733</v>
      </c>
      <c r="S194" s="168">
        <f t="shared" ca="1" si="40"/>
        <v>2035</v>
      </c>
      <c r="T194" s="168">
        <f t="shared" ca="1" si="41"/>
        <v>365</v>
      </c>
    </row>
    <row r="195" spans="1:20" x14ac:dyDescent="0.35">
      <c r="A195" s="13">
        <f t="shared" si="42"/>
        <v>171</v>
      </c>
      <c r="B195" s="50">
        <f t="shared" ca="1" si="52"/>
        <v>49594</v>
      </c>
      <c r="C195" s="50">
        <f t="shared" ca="1" si="44"/>
        <v>49594</v>
      </c>
      <c r="D195" s="13">
        <f t="shared" ca="1" si="47"/>
        <v>30</v>
      </c>
      <c r="E195" s="15">
        <f t="shared" ca="1" si="46"/>
        <v>2089490.1244422707</v>
      </c>
      <c r="F195" s="15">
        <f ca="1">IF(AND(A194="",A196=""),"",IF(A195="",SUM($F$25:F194),IF(A195=$D$8,$E$24-SUM($F$25:F194),$F$21-G195)))</f>
        <v>21794.078465449002</v>
      </c>
      <c r="G195" s="15">
        <f ca="1">IF(A194=$D$8,SUM($G$25:G194),IF(A194&gt;$D$8,"",E194*D195*$F$18/T194))</f>
        <v>19261.853138856732</v>
      </c>
      <c r="H195" s="15">
        <f ca="1">IF(A194=$D$8,SUM($H$25:H194),IF(A194="","",(G195+F195)))</f>
        <v>41055.931604305733</v>
      </c>
      <c r="I195" s="15" t="str">
        <f t="shared" si="48"/>
        <v/>
      </c>
      <c r="J195" s="15" t="str">
        <f t="shared" si="49"/>
        <v/>
      </c>
      <c r="K195" s="15"/>
      <c r="L195" s="15" t="str">
        <f t="shared" si="50"/>
        <v/>
      </c>
      <c r="M195" s="15" t="str">
        <f t="shared" si="51"/>
        <v/>
      </c>
      <c r="N195" s="144" t="str">
        <f t="shared" si="45"/>
        <v/>
      </c>
      <c r="P195" s="52" t="str">
        <f>IF(A194=$D$8,XIRR(R$24:R194,C$24:C194),"")</f>
        <v/>
      </c>
      <c r="Q195" s="15" t="str">
        <f t="shared" si="43"/>
        <v/>
      </c>
      <c r="R195" s="144">
        <f t="shared" ca="1" si="39"/>
        <v>41055.931604305733</v>
      </c>
      <c r="S195" s="168">
        <f t="shared" ca="1" si="40"/>
        <v>2035</v>
      </c>
      <c r="T195" s="168">
        <f t="shared" ca="1" si="41"/>
        <v>365</v>
      </c>
    </row>
    <row r="196" spans="1:20" x14ac:dyDescent="0.35">
      <c r="A196" s="13">
        <f t="shared" si="42"/>
        <v>172</v>
      </c>
      <c r="B196" s="50">
        <f t="shared" ca="1" si="52"/>
        <v>49625</v>
      </c>
      <c r="C196" s="50">
        <f t="shared" ca="1" si="44"/>
        <v>49625</v>
      </c>
      <c r="D196" s="13">
        <f t="shared" ca="1" si="47"/>
        <v>31</v>
      </c>
      <c r="E196" s="15">
        <f t="shared" ca="1" si="46"/>
        <v>2068132.6463125015</v>
      </c>
      <c r="F196" s="15">
        <f ca="1">IF(AND(A195="",A197=""),"",IF(A196="",SUM($F$25:F195),IF(A196=$D$8,$E$24-SUM($F$25:F195),$F$21-G196)))</f>
        <v>21357.478129769148</v>
      </c>
      <c r="G196" s="15">
        <f ca="1">IF(A195=$D$8,SUM($G$25:G195),IF(A195&gt;$D$8,"",E195*D196*$F$18/T195))</f>
        <v>19698.453474536585</v>
      </c>
      <c r="H196" s="15">
        <f ca="1">IF(A195=$D$8,SUM($H$25:H195),IF(A195="","",(G196+F196)))</f>
        <v>41055.931604305733</v>
      </c>
      <c r="I196" s="15" t="str">
        <f t="shared" si="48"/>
        <v/>
      </c>
      <c r="J196" s="15" t="str">
        <f t="shared" si="49"/>
        <v/>
      </c>
      <c r="K196" s="15"/>
      <c r="L196" s="15" t="str">
        <f t="shared" si="50"/>
        <v/>
      </c>
      <c r="M196" s="15" t="str">
        <f t="shared" si="51"/>
        <v/>
      </c>
      <c r="N196" s="144" t="str">
        <f t="shared" si="45"/>
        <v/>
      </c>
      <c r="P196" s="52" t="str">
        <f>IF(A195=$D$8,XIRR(R$24:R195,C$24:C195),"")</f>
        <v/>
      </c>
      <c r="Q196" s="15" t="str">
        <f t="shared" si="43"/>
        <v/>
      </c>
      <c r="R196" s="144">
        <f t="shared" ca="1" si="39"/>
        <v>41055.931604305733</v>
      </c>
      <c r="S196" s="168">
        <f t="shared" ca="1" si="40"/>
        <v>2035</v>
      </c>
      <c r="T196" s="168">
        <f t="shared" ca="1" si="41"/>
        <v>365</v>
      </c>
    </row>
    <row r="197" spans="1:20" x14ac:dyDescent="0.35">
      <c r="A197" s="13">
        <f t="shared" si="42"/>
        <v>173</v>
      </c>
      <c r="B197" s="50">
        <f t="shared" ca="1" si="52"/>
        <v>49655</v>
      </c>
      <c r="C197" s="50">
        <f t="shared" ca="1" si="44"/>
        <v>49655</v>
      </c>
      <c r="D197" s="13">
        <f t="shared" ca="1" si="47"/>
        <v>30</v>
      </c>
      <c r="E197" s="15">
        <f t="shared" ca="1" si="46"/>
        <v>2045944.8837827728</v>
      </c>
      <c r="F197" s="15">
        <f ca="1">IF(AND(A196="",A198=""),"",IF(A197="",SUM($F$25:F196),IF(A197=$D$8,$E$24-SUM($F$25:F196),$F$21-G197)))</f>
        <v>22187.762529728665</v>
      </c>
      <c r="G197" s="15">
        <f ca="1">IF(A196=$D$8,SUM($G$25:G196),IF(A196&gt;$D$8,"",E196*D197*$F$18/T196))</f>
        <v>18868.169074577068</v>
      </c>
      <c r="H197" s="15">
        <f ca="1">IF(A196=$D$8,SUM($H$25:H196),IF(A196="","",(G197+F197)))</f>
        <v>41055.931604305733</v>
      </c>
      <c r="I197" s="15" t="str">
        <f t="shared" si="48"/>
        <v/>
      </c>
      <c r="J197" s="15" t="str">
        <f t="shared" si="49"/>
        <v/>
      </c>
      <c r="K197" s="15"/>
      <c r="L197" s="15" t="str">
        <f t="shared" si="50"/>
        <v/>
      </c>
      <c r="M197" s="15" t="str">
        <f t="shared" si="51"/>
        <v/>
      </c>
      <c r="N197" s="144" t="str">
        <f t="shared" si="45"/>
        <v/>
      </c>
      <c r="P197" s="52" t="str">
        <f>IF(A196=$D$8,XIRR(R$24:R196,C$24:C196),"")</f>
        <v/>
      </c>
      <c r="Q197" s="15" t="str">
        <f t="shared" si="43"/>
        <v/>
      </c>
      <c r="R197" s="144">
        <f t="shared" ca="1" si="39"/>
        <v>41055.931604305733</v>
      </c>
      <c r="S197" s="168">
        <f t="shared" ca="1" si="40"/>
        <v>2035</v>
      </c>
      <c r="T197" s="168">
        <f t="shared" ca="1" si="41"/>
        <v>365</v>
      </c>
    </row>
    <row r="198" spans="1:20" x14ac:dyDescent="0.35">
      <c r="A198" s="13">
        <f t="shared" si="42"/>
        <v>174</v>
      </c>
      <c r="B198" s="50">
        <f t="shared" ca="1" si="52"/>
        <v>49686</v>
      </c>
      <c r="C198" s="50">
        <f t="shared" ca="1" si="44"/>
        <v>49686</v>
      </c>
      <c r="D198" s="13">
        <f t="shared" ca="1" si="47"/>
        <v>31</v>
      </c>
      <c r="E198" s="15">
        <f t="shared" ca="1" si="46"/>
        <v>2024176.8873705124</v>
      </c>
      <c r="F198" s="15">
        <f ca="1">IF(AND(A197="",A199=""),"",IF(A198="",SUM($F$25:F197),IF(A198=$D$8,$E$24-SUM($F$25:F197),$F$21-G198)))</f>
        <v>21767.996412260469</v>
      </c>
      <c r="G198" s="15">
        <f ca="1">IF(A197=$D$8,SUM($G$25:G197),IF(A197&gt;$D$8,"",E197*D198*$F$18/T197))</f>
        <v>19287.935192045265</v>
      </c>
      <c r="H198" s="15">
        <f ca="1">IF(A197=$D$8,SUM($H$25:H197),IF(A197="","",(G198+F198)))</f>
        <v>41055.931604305733</v>
      </c>
      <c r="I198" s="15" t="str">
        <f t="shared" si="48"/>
        <v/>
      </c>
      <c r="J198" s="15" t="str">
        <f t="shared" si="49"/>
        <v/>
      </c>
      <c r="K198" s="15"/>
      <c r="L198" s="15" t="str">
        <f t="shared" si="50"/>
        <v/>
      </c>
      <c r="M198" s="15" t="str">
        <f t="shared" si="51"/>
        <v/>
      </c>
      <c r="N198" s="144" t="str">
        <f t="shared" si="45"/>
        <v/>
      </c>
      <c r="P198" s="52" t="str">
        <f>IF(A197=$D$8,XIRR(R$24:R197,C$24:C197),"")</f>
        <v/>
      </c>
      <c r="Q198" s="15" t="str">
        <f t="shared" si="43"/>
        <v/>
      </c>
      <c r="R198" s="144">
        <f t="shared" ca="1" si="39"/>
        <v>41055.931604305733</v>
      </c>
      <c r="S198" s="168">
        <f t="shared" ca="1" si="40"/>
        <v>2036</v>
      </c>
      <c r="T198" s="168">
        <f t="shared" ca="1" si="41"/>
        <v>366</v>
      </c>
    </row>
    <row r="199" spans="1:20" x14ac:dyDescent="0.35">
      <c r="A199" s="13">
        <f t="shared" si="42"/>
        <v>175</v>
      </c>
      <c r="B199" s="50">
        <f t="shared" ca="1" si="52"/>
        <v>49717</v>
      </c>
      <c r="C199" s="50">
        <f t="shared" ca="1" si="44"/>
        <v>49717</v>
      </c>
      <c r="D199" s="13">
        <f t="shared" ca="1" si="47"/>
        <v>31</v>
      </c>
      <c r="E199" s="15">
        <f t="shared" ca="1" si="46"/>
        <v>2002151.5368302555</v>
      </c>
      <c r="F199" s="15">
        <f ca="1">IF(AND(A198="",A200=""),"",IF(A199="",SUM($F$25:F198),IF(A199=$D$8,$E$24-SUM($F$25:F198),$F$21-G199)))</f>
        <v>22025.350540256735</v>
      </c>
      <c r="G199" s="15">
        <f ca="1">IF(A198=$D$8,SUM($G$25:G198),IF(A198&gt;$D$8,"",E198*D199*$F$18/T198))</f>
        <v>19030.581064048998</v>
      </c>
      <c r="H199" s="15">
        <f ca="1">IF(A198=$D$8,SUM($H$25:H198),IF(A198="","",(G199+F199)))</f>
        <v>41055.931604305733</v>
      </c>
      <c r="I199" s="15" t="str">
        <f t="shared" si="48"/>
        <v/>
      </c>
      <c r="J199" s="15" t="str">
        <f t="shared" si="49"/>
        <v/>
      </c>
      <c r="K199" s="15"/>
      <c r="L199" s="15" t="str">
        <f t="shared" si="50"/>
        <v/>
      </c>
      <c r="M199" s="15" t="str">
        <f t="shared" si="51"/>
        <v/>
      </c>
      <c r="N199" s="144" t="str">
        <f t="shared" si="45"/>
        <v/>
      </c>
      <c r="P199" s="52" t="str">
        <f>IF(A198=$D$8,XIRR(R$24:R198,C$24:C198),"")</f>
        <v/>
      </c>
      <c r="Q199" s="15" t="str">
        <f t="shared" si="43"/>
        <v/>
      </c>
      <c r="R199" s="144">
        <f t="shared" ca="1" si="39"/>
        <v>41055.931604305733</v>
      </c>
      <c r="S199" s="168">
        <f t="shared" ca="1" si="40"/>
        <v>2036</v>
      </c>
      <c r="T199" s="168">
        <f t="shared" ca="1" si="41"/>
        <v>366</v>
      </c>
    </row>
    <row r="200" spans="1:20" x14ac:dyDescent="0.35">
      <c r="A200" s="13">
        <f t="shared" si="42"/>
        <v>176</v>
      </c>
      <c r="B200" s="50">
        <f t="shared" ca="1" si="52"/>
        <v>49746</v>
      </c>
      <c r="C200" s="50">
        <f t="shared" ca="1" si="44"/>
        <v>49746</v>
      </c>
      <c r="D200" s="13">
        <f t="shared" ca="1" si="47"/>
        <v>29</v>
      </c>
      <c r="E200" s="15">
        <f t="shared" ca="1" si="46"/>
        <v>1978704.6921031536</v>
      </c>
      <c r="F200" s="15">
        <f ca="1">IF(AND(A199="",A201=""),"",IF(A200="",SUM($F$25:F199),IF(A200=$D$8,$E$24-SUM($F$25:F199),$F$21-G200)))</f>
        <v>23446.844727101929</v>
      </c>
      <c r="G200" s="15">
        <f ca="1">IF(A199=$D$8,SUM($G$25:G199),IF(A199&gt;$D$8,"",E199*D200*$F$18/T199))</f>
        <v>17609.086877203805</v>
      </c>
      <c r="H200" s="15">
        <f ca="1">IF(A199=$D$8,SUM($H$25:H199),IF(A199="","",(G200+F200)))</f>
        <v>41055.931604305733</v>
      </c>
      <c r="I200" s="15" t="str">
        <f t="shared" si="48"/>
        <v/>
      </c>
      <c r="J200" s="15" t="str">
        <f t="shared" si="49"/>
        <v/>
      </c>
      <c r="K200" s="15"/>
      <c r="L200" s="15" t="str">
        <f t="shared" si="50"/>
        <v/>
      </c>
      <c r="M200" s="15" t="str">
        <f t="shared" si="51"/>
        <v/>
      </c>
      <c r="N200" s="144" t="str">
        <f t="shared" si="45"/>
        <v/>
      </c>
      <c r="P200" s="52" t="str">
        <f>IF(A199=$D$8,XIRR(R$24:R199,C$24:C199),"")</f>
        <v/>
      </c>
      <c r="Q200" s="15" t="str">
        <f t="shared" si="43"/>
        <v/>
      </c>
      <c r="R200" s="144">
        <f t="shared" ca="1" si="39"/>
        <v>41055.931604305733</v>
      </c>
      <c r="S200" s="168">
        <f t="shared" ca="1" si="40"/>
        <v>2036</v>
      </c>
      <c r="T200" s="168">
        <f t="shared" ca="1" si="41"/>
        <v>366</v>
      </c>
    </row>
    <row r="201" spans="1:20" x14ac:dyDescent="0.35">
      <c r="A201" s="13">
        <f t="shared" si="42"/>
        <v>177</v>
      </c>
      <c r="B201" s="50">
        <f t="shared" ca="1" si="52"/>
        <v>49777</v>
      </c>
      <c r="C201" s="50">
        <f t="shared" ca="1" si="44"/>
        <v>49777</v>
      </c>
      <c r="D201" s="13">
        <f t="shared" ca="1" si="47"/>
        <v>31</v>
      </c>
      <c r="E201" s="15">
        <f t="shared" ca="1" si="46"/>
        <v>1956251.8283828013</v>
      </c>
      <c r="F201" s="15">
        <f ca="1">IF(AND(A200="",A202=""),"",IF(A201="",SUM($F$25:F200),IF(A201=$D$8,$E$24-SUM($F$25:F200),$F$21-G201)))</f>
        <v>22452.863720352314</v>
      </c>
      <c r="G201" s="15">
        <f ca="1">IF(A200=$D$8,SUM($G$25:G200),IF(A200&gt;$D$8,"",E200*D201*$F$18/T200))</f>
        <v>18603.067883953419</v>
      </c>
      <c r="H201" s="15">
        <f ca="1">IF(A200=$D$8,SUM($H$25:H200),IF(A200="","",(G201+F201)))</f>
        <v>41055.931604305733</v>
      </c>
      <c r="I201" s="15" t="str">
        <f t="shared" si="48"/>
        <v/>
      </c>
      <c r="J201" s="15" t="str">
        <f t="shared" si="49"/>
        <v/>
      </c>
      <c r="K201" s="15"/>
      <c r="L201" s="15" t="str">
        <f t="shared" si="50"/>
        <v/>
      </c>
      <c r="M201" s="15" t="str">
        <f t="shared" si="51"/>
        <v/>
      </c>
      <c r="N201" s="144" t="str">
        <f t="shared" si="45"/>
        <v/>
      </c>
      <c r="P201" s="52" t="str">
        <f>IF(A200=$D$8,XIRR(R$24:R200,C$24:C200),"")</f>
        <v/>
      </c>
      <c r="Q201" s="15" t="str">
        <f t="shared" si="43"/>
        <v/>
      </c>
      <c r="R201" s="144">
        <f t="shared" ca="1" si="39"/>
        <v>41055.931604305733</v>
      </c>
      <c r="S201" s="168">
        <f t="shared" ca="1" si="40"/>
        <v>2036</v>
      </c>
      <c r="T201" s="168">
        <f t="shared" ca="1" si="41"/>
        <v>366</v>
      </c>
    </row>
    <row r="202" spans="1:20" x14ac:dyDescent="0.35">
      <c r="A202" s="13">
        <f t="shared" si="42"/>
        <v>178</v>
      </c>
      <c r="B202" s="50">
        <f t="shared" ca="1" si="52"/>
        <v>49807</v>
      </c>
      <c r="C202" s="50">
        <f t="shared" ca="1" si="44"/>
        <v>49807</v>
      </c>
      <c r="D202" s="13">
        <f t="shared" ca="1" si="47"/>
        <v>30</v>
      </c>
      <c r="E202" s="15">
        <f t="shared" ca="1" si="46"/>
        <v>1932994.5814465685</v>
      </c>
      <c r="F202" s="15">
        <f ca="1">IF(AND(A201="",A203=""),"",IF(A202="",SUM($F$25:F201),IF(A202=$D$8,$E$24-SUM($F$25:F201),$F$21-G202)))</f>
        <v>23257.246936232707</v>
      </c>
      <c r="G202" s="15">
        <f ca="1">IF(A201=$D$8,SUM($G$25:G201),IF(A201&gt;$D$8,"",E201*D202*$F$18/T201))</f>
        <v>17798.684668073027</v>
      </c>
      <c r="H202" s="15">
        <f ca="1">IF(A201=$D$8,SUM($H$25:H201),IF(A201="","",(G202+F202)))</f>
        <v>41055.931604305733</v>
      </c>
      <c r="I202" s="15" t="str">
        <f t="shared" si="48"/>
        <v/>
      </c>
      <c r="J202" s="15" t="str">
        <f t="shared" si="49"/>
        <v/>
      </c>
      <c r="K202" s="15"/>
      <c r="L202" s="15" t="str">
        <f t="shared" si="50"/>
        <v/>
      </c>
      <c r="M202" s="15" t="str">
        <f t="shared" si="51"/>
        <v/>
      </c>
      <c r="N202" s="144" t="str">
        <f t="shared" si="45"/>
        <v/>
      </c>
      <c r="P202" s="52" t="str">
        <f>IF(A201=$D$8,XIRR(R$24:R201,C$24:C201),"")</f>
        <v/>
      </c>
      <c r="Q202" s="15" t="str">
        <f t="shared" si="43"/>
        <v/>
      </c>
      <c r="R202" s="144">
        <f t="shared" ca="1" si="39"/>
        <v>41055.931604305733</v>
      </c>
      <c r="S202" s="168">
        <f t="shared" ca="1" si="40"/>
        <v>2036</v>
      </c>
      <c r="T202" s="168">
        <f t="shared" ca="1" si="41"/>
        <v>366</v>
      </c>
    </row>
    <row r="203" spans="1:20" x14ac:dyDescent="0.35">
      <c r="A203" s="13">
        <f t="shared" si="42"/>
        <v>179</v>
      </c>
      <c r="B203" s="50">
        <f t="shared" ca="1" si="52"/>
        <v>49838</v>
      </c>
      <c r="C203" s="50">
        <f t="shared" ca="1" si="44"/>
        <v>49838</v>
      </c>
      <c r="D203" s="13">
        <f t="shared" ca="1" si="47"/>
        <v>31</v>
      </c>
      <c r="E203" s="15">
        <f t="shared" ca="1" si="46"/>
        <v>1910111.9677514366</v>
      </c>
      <c r="F203" s="15">
        <f ca="1">IF(AND(A202="",A204=""),"",IF(A203="",SUM($F$25:F202),IF(A203=$D$8,$E$24-SUM($F$25:F202),$F$21-G203)))</f>
        <v>22882.613695131848</v>
      </c>
      <c r="G203" s="15">
        <f ca="1">IF(A202=$D$8,SUM($G$25:G202),IF(A202&gt;$D$8,"",E202*D203*$F$18/T202))</f>
        <v>18173.317909173886</v>
      </c>
      <c r="H203" s="15">
        <f ca="1">IF(A202=$D$8,SUM($H$25:H202),IF(A202="","",(G203+F203)))</f>
        <v>41055.931604305733</v>
      </c>
      <c r="I203" s="15" t="str">
        <f t="shared" si="48"/>
        <v/>
      </c>
      <c r="J203" s="15" t="str">
        <f t="shared" si="49"/>
        <v/>
      </c>
      <c r="K203" s="15"/>
      <c r="L203" s="15" t="str">
        <f t="shared" si="50"/>
        <v/>
      </c>
      <c r="M203" s="15" t="str">
        <f t="shared" si="51"/>
        <v/>
      </c>
      <c r="N203" s="144" t="str">
        <f t="shared" si="45"/>
        <v/>
      </c>
      <c r="P203" s="52" t="str">
        <f>IF(A202=$D$8,XIRR(R$24:R202,C$24:C202),"")</f>
        <v/>
      </c>
      <c r="Q203" s="15" t="str">
        <f t="shared" si="43"/>
        <v/>
      </c>
      <c r="R203" s="144">
        <f t="shared" ca="1" si="39"/>
        <v>41055.931604305733</v>
      </c>
      <c r="S203" s="168">
        <f t="shared" ca="1" si="40"/>
        <v>2036</v>
      </c>
      <c r="T203" s="168">
        <f t="shared" ca="1" si="41"/>
        <v>366</v>
      </c>
    </row>
    <row r="204" spans="1:20" x14ac:dyDescent="0.35">
      <c r="A204" s="13">
        <f t="shared" si="42"/>
        <v>180</v>
      </c>
      <c r="B204" s="50">
        <f t="shared" ca="1" si="52"/>
        <v>49868</v>
      </c>
      <c r="C204" s="50">
        <f t="shared" ca="1" si="44"/>
        <v>49868</v>
      </c>
      <c r="D204" s="13">
        <f t="shared" ca="1" si="47"/>
        <v>30</v>
      </c>
      <c r="E204" s="15">
        <f t="shared" ca="1" si="46"/>
        <v>1886434.9237225743</v>
      </c>
      <c r="F204" s="15">
        <f ca="1">IF(AND(A203="",A205=""),"",IF(A204="",SUM($F$25:F203),IF(A204=$D$8,$E$24-SUM($F$25:F203),$F$21-G204)))</f>
        <v>23677.044028862336</v>
      </c>
      <c r="G204" s="15">
        <f ca="1">IF(A203=$D$8,SUM($G$25:G203),IF(A203&gt;$D$8,"",E203*D204*$F$18/T203))</f>
        <v>17378.887575443398</v>
      </c>
      <c r="H204" s="15">
        <f ca="1">IF(A203=$D$8,SUM($H$25:H203),IF(A203="","",(G204+F204)))</f>
        <v>41055.931604305733</v>
      </c>
      <c r="I204" s="15" t="str">
        <f t="shared" si="48"/>
        <v/>
      </c>
      <c r="J204" s="15" t="str">
        <f t="shared" si="49"/>
        <v/>
      </c>
      <c r="K204" s="15"/>
      <c r="L204" s="15" t="str">
        <f t="shared" si="50"/>
        <v/>
      </c>
      <c r="M204" s="15" t="str">
        <f t="shared" si="51"/>
        <v/>
      </c>
      <c r="N204" s="144" t="str">
        <f t="shared" si="45"/>
        <v/>
      </c>
      <c r="P204" s="52" t="str">
        <f>IF(A203=$D$8,XIRR(R$24:R203,C$24:C203),"")</f>
        <v/>
      </c>
      <c r="Q204" s="15" t="str">
        <f t="shared" si="43"/>
        <v/>
      </c>
      <c r="R204" s="144">
        <f t="shared" ca="1" si="39"/>
        <v>41055.931604305733</v>
      </c>
      <c r="S204" s="168">
        <f t="shared" ca="1" si="40"/>
        <v>2036</v>
      </c>
      <c r="T204" s="168">
        <f t="shared" ca="1" si="41"/>
        <v>366</v>
      </c>
    </row>
    <row r="205" spans="1:20" x14ac:dyDescent="0.35">
      <c r="A205" s="13">
        <f t="shared" si="42"/>
        <v>181</v>
      </c>
      <c r="B205" s="50">
        <f t="shared" ca="1" si="52"/>
        <v>49899</v>
      </c>
      <c r="C205" s="50">
        <f t="shared" ca="1" si="44"/>
        <v>49899</v>
      </c>
      <c r="D205" s="13">
        <f t="shared" ca="1" si="47"/>
        <v>31</v>
      </c>
      <c r="E205" s="15">
        <f t="shared" ca="1" si="46"/>
        <v>1863114.5729175291</v>
      </c>
      <c r="F205" s="15">
        <f ca="1">IF(AND(A204="",A206=""),"",IF(A205="",SUM($F$25:F204),IF(A205=$D$8,$E$24-SUM($F$25:F204),$F$21-G205)))</f>
        <v>23320.350805045138</v>
      </c>
      <c r="G205" s="15">
        <f ca="1">IF(A204=$D$8,SUM($G$25:G204),IF(A204&gt;$D$8,"",E204*D205*$F$18/T204))</f>
        <v>17735.580799260595</v>
      </c>
      <c r="H205" s="15">
        <f ca="1">IF(A204=$D$8,SUM($H$25:H204),IF(A204="","",(G205+F205)))</f>
        <v>41055.931604305733</v>
      </c>
      <c r="I205" s="15" t="str">
        <f t="shared" si="48"/>
        <v/>
      </c>
      <c r="J205" s="15" t="str">
        <f t="shared" si="49"/>
        <v/>
      </c>
      <c r="K205" s="15">
        <f>IF($F$8&gt;180,($O$8+$O$10),IF($A$204=$F$8,$K$24*$G$8,""))</f>
        <v>17142.858</v>
      </c>
      <c r="L205" s="15" t="str">
        <f t="shared" si="50"/>
        <v/>
      </c>
      <c r="M205" s="15" t="str">
        <f t="shared" si="51"/>
        <v/>
      </c>
      <c r="N205" s="15">
        <f>IF($F$8&gt;180,($N$14),IF(A204=$F$8,N193+N181+N169+N157+N145+N133+N121+N109+N97+N85+N73+N61+N49+N37+N24,""))</f>
        <v>2500</v>
      </c>
      <c r="P205" s="52" t="str">
        <f>IF(A204=$D$8,XIRR(R$24:R204,C$24:C204),"")</f>
        <v/>
      </c>
      <c r="Q205" s="15" t="str">
        <f t="shared" si="43"/>
        <v/>
      </c>
      <c r="R205" s="144">
        <f t="shared" ca="1" si="39"/>
        <v>60698.789604305734</v>
      </c>
      <c r="S205" s="168">
        <f t="shared" ca="1" si="40"/>
        <v>2036</v>
      </c>
      <c r="T205" s="168">
        <f t="shared" ca="1" si="41"/>
        <v>366</v>
      </c>
    </row>
    <row r="206" spans="1:20" x14ac:dyDescent="0.35">
      <c r="A206" s="13">
        <f t="shared" si="42"/>
        <v>182</v>
      </c>
      <c r="B206" s="50">
        <f t="shared" ca="1" si="52"/>
        <v>49930</v>
      </c>
      <c r="C206" s="50">
        <f t="shared" ca="1" si="44"/>
        <v>49930</v>
      </c>
      <c r="D206" s="13">
        <f t="shared" ca="1" si="47"/>
        <v>31</v>
      </c>
      <c r="E206" s="15">
        <f t="shared" ca="1" si="46"/>
        <v>1839574.9725848334</v>
      </c>
      <c r="F206" s="15">
        <f ca="1">IF(AND(A205="",A207=""),"",IF(A206="",SUM($F$25:F205),IF(A206=$D$8,$E$24-SUM($F$25:F205),$F$21-G206)))</f>
        <v>23539.600332695849</v>
      </c>
      <c r="G206" s="15">
        <f ca="1">IF(A205=$D$8,SUM($G$25:G205),IF(A205&gt;$D$8,"",E205*D206*$F$18/T205))</f>
        <v>17516.331271609884</v>
      </c>
      <c r="H206" s="15">
        <f ca="1">IF(A205=$D$8,SUM($H$25:H205),IF(A205="","",(G206+F206)))</f>
        <v>41055.931604305733</v>
      </c>
      <c r="I206" s="15" t="str">
        <f t="shared" si="48"/>
        <v/>
      </c>
      <c r="J206" s="15" t="str">
        <f t="shared" si="49"/>
        <v/>
      </c>
      <c r="K206" s="15"/>
      <c r="L206" s="15" t="str">
        <f t="shared" si="50"/>
        <v/>
      </c>
      <c r="M206" s="15" t="str">
        <f t="shared" si="51"/>
        <v/>
      </c>
      <c r="N206" s="144" t="str">
        <f t="shared" si="45"/>
        <v/>
      </c>
      <c r="P206" s="52" t="str">
        <f>IF(A205=$D$8,XIRR(R$24:R205,C$24:C205),"")</f>
        <v/>
      </c>
      <c r="Q206" s="15" t="str">
        <f t="shared" si="43"/>
        <v/>
      </c>
      <c r="R206" s="144">
        <f t="shared" ca="1" si="39"/>
        <v>41055.931604305733</v>
      </c>
      <c r="S206" s="168">
        <f t="shared" ca="1" si="40"/>
        <v>2036</v>
      </c>
      <c r="T206" s="168">
        <f t="shared" ca="1" si="41"/>
        <v>366</v>
      </c>
    </row>
    <row r="207" spans="1:20" x14ac:dyDescent="0.35">
      <c r="A207" s="13">
        <f t="shared" si="42"/>
        <v>183</v>
      </c>
      <c r="B207" s="50">
        <f t="shared" ca="1" si="52"/>
        <v>49960</v>
      </c>
      <c r="C207" s="50">
        <f t="shared" ca="1" si="44"/>
        <v>49960</v>
      </c>
      <c r="D207" s="13">
        <f t="shared" ca="1" si="47"/>
        <v>30</v>
      </c>
      <c r="E207" s="15">
        <f t="shared" ca="1" si="46"/>
        <v>1815256.1575343732</v>
      </c>
      <c r="F207" s="15">
        <f ca="1">IF(AND(A206="",A208=""),"",IF(A207="",SUM($F$25:F206),IF(A207=$D$8,$E$24-SUM($F$25:F206),$F$21-G207)))</f>
        <v>24318.815050460118</v>
      </c>
      <c r="G207" s="15">
        <f ca="1">IF(A206=$D$8,SUM($G$25:G206),IF(A206&gt;$D$8,"",E206*D207*$F$18/T206))</f>
        <v>16737.116553845615</v>
      </c>
      <c r="H207" s="15">
        <f ca="1">IF(A206=$D$8,SUM($H$25:H206),IF(A206="","",(G207+F207)))</f>
        <v>41055.931604305733</v>
      </c>
      <c r="I207" s="15" t="str">
        <f t="shared" si="48"/>
        <v/>
      </c>
      <c r="J207" s="15" t="str">
        <f t="shared" si="49"/>
        <v/>
      </c>
      <c r="K207" s="15"/>
      <c r="L207" s="15" t="str">
        <f t="shared" si="50"/>
        <v/>
      </c>
      <c r="M207" s="15" t="str">
        <f t="shared" si="51"/>
        <v/>
      </c>
      <c r="N207" s="144" t="str">
        <f t="shared" si="45"/>
        <v/>
      </c>
      <c r="P207" s="52" t="str">
        <f>IF(A206=$D$8,XIRR(R$24:R206,C$24:C206),"")</f>
        <v/>
      </c>
      <c r="Q207" s="15" t="str">
        <f t="shared" si="43"/>
        <v/>
      </c>
      <c r="R207" s="144">
        <f t="shared" ca="1" si="39"/>
        <v>41055.931604305733</v>
      </c>
      <c r="S207" s="168">
        <f t="shared" ca="1" si="40"/>
        <v>2036</v>
      </c>
      <c r="T207" s="168">
        <f t="shared" ca="1" si="41"/>
        <v>366</v>
      </c>
    </row>
    <row r="208" spans="1:20" x14ac:dyDescent="0.35">
      <c r="A208" s="13">
        <f t="shared" si="42"/>
        <v>184</v>
      </c>
      <c r="B208" s="50">
        <f t="shared" ca="1" si="52"/>
        <v>49991</v>
      </c>
      <c r="C208" s="50">
        <f t="shared" ca="1" si="44"/>
        <v>49991</v>
      </c>
      <c r="D208" s="13">
        <f t="shared" ca="1" si="47"/>
        <v>31</v>
      </c>
      <c r="E208" s="15">
        <f t="shared" ca="1" si="46"/>
        <v>1791266.609640657</v>
      </c>
      <c r="F208" s="15">
        <f ca="1">IF(AND(A207="",A209=""),"",IF(A208="",SUM($F$25:F207),IF(A208=$D$8,$E$24-SUM($F$25:F207),$F$21-G208)))</f>
        <v>23989.547893716175</v>
      </c>
      <c r="G208" s="15">
        <f ca="1">IF(A207=$D$8,SUM($G$25:G207),IF(A207&gt;$D$8,"",E207*D208*$F$18/T207))</f>
        <v>17066.383710589558</v>
      </c>
      <c r="H208" s="15">
        <f ca="1">IF(A207=$D$8,SUM($H$25:H207),IF(A207="","",(G208+F208)))</f>
        <v>41055.931604305733</v>
      </c>
      <c r="I208" s="15" t="str">
        <f t="shared" si="48"/>
        <v/>
      </c>
      <c r="J208" s="15" t="str">
        <f t="shared" si="49"/>
        <v/>
      </c>
      <c r="K208" s="15"/>
      <c r="L208" s="15" t="str">
        <f t="shared" si="50"/>
        <v/>
      </c>
      <c r="M208" s="15" t="str">
        <f t="shared" si="51"/>
        <v/>
      </c>
      <c r="N208" s="144" t="str">
        <f t="shared" si="45"/>
        <v/>
      </c>
      <c r="P208" s="52" t="str">
        <f>IF(A207=$D$8,XIRR(R$24:R207,C$24:C207),"")</f>
        <v/>
      </c>
      <c r="Q208" s="15" t="str">
        <f t="shared" si="43"/>
        <v/>
      </c>
      <c r="R208" s="144">
        <f t="shared" ca="1" si="39"/>
        <v>41055.931604305733</v>
      </c>
      <c r="S208" s="168">
        <f t="shared" ca="1" si="40"/>
        <v>2036</v>
      </c>
      <c r="T208" s="168">
        <f t="shared" ca="1" si="41"/>
        <v>366</v>
      </c>
    </row>
    <row r="209" spans="1:20" x14ac:dyDescent="0.35">
      <c r="A209" s="13">
        <f t="shared" si="42"/>
        <v>185</v>
      </c>
      <c r="B209" s="50">
        <f t="shared" ca="1" si="52"/>
        <v>50021</v>
      </c>
      <c r="C209" s="50">
        <f t="shared" ca="1" si="44"/>
        <v>50021</v>
      </c>
      <c r="D209" s="13">
        <f t="shared" ca="1" si="47"/>
        <v>30</v>
      </c>
      <c r="E209" s="15">
        <f t="shared" ca="1" si="46"/>
        <v>1766508.2676814424</v>
      </c>
      <c r="F209" s="15">
        <f ca="1">IF(AND(A208="",A210=""),"",IF(A209="",SUM($F$25:F208),IF(A209=$D$8,$E$24-SUM($F$25:F208),$F$21-G209)))</f>
        <v>24758.341959214511</v>
      </c>
      <c r="G209" s="15">
        <f ca="1">IF(A208=$D$8,SUM($G$25:G208),IF(A208&gt;$D$8,"",E208*D209*$F$18/T208))</f>
        <v>16297.589645091222</v>
      </c>
      <c r="H209" s="15">
        <f ca="1">IF(A208=$D$8,SUM($H$25:H208),IF(A208="","",(G209+F209)))</f>
        <v>41055.931604305733</v>
      </c>
      <c r="I209" s="15" t="str">
        <f t="shared" si="48"/>
        <v/>
      </c>
      <c r="J209" s="15" t="str">
        <f t="shared" si="49"/>
        <v/>
      </c>
      <c r="K209" s="15"/>
      <c r="L209" s="15" t="str">
        <f t="shared" si="50"/>
        <v/>
      </c>
      <c r="M209" s="15" t="str">
        <f t="shared" si="51"/>
        <v/>
      </c>
      <c r="N209" s="144" t="str">
        <f t="shared" si="45"/>
        <v/>
      </c>
      <c r="P209" s="52" t="str">
        <f>IF(A208=$D$8,XIRR(R$24:R208,C$24:C208),"")</f>
        <v/>
      </c>
      <c r="Q209" s="15" t="str">
        <f t="shared" si="43"/>
        <v/>
      </c>
      <c r="R209" s="144">
        <f t="shared" ca="1" si="39"/>
        <v>41055.931604305733</v>
      </c>
      <c r="S209" s="168">
        <f t="shared" ca="1" si="40"/>
        <v>2036</v>
      </c>
      <c r="T209" s="168">
        <f t="shared" ca="1" si="41"/>
        <v>366</v>
      </c>
    </row>
    <row r="210" spans="1:20" x14ac:dyDescent="0.35">
      <c r="A210" s="13">
        <f t="shared" si="42"/>
        <v>186</v>
      </c>
      <c r="B210" s="50">
        <f t="shared" ca="1" si="52"/>
        <v>50052</v>
      </c>
      <c r="C210" s="50">
        <f t="shared" ca="1" si="44"/>
        <v>50052</v>
      </c>
      <c r="D210" s="13">
        <f t="shared" ca="1" si="47"/>
        <v>31</v>
      </c>
      <c r="E210" s="15">
        <f t="shared" ca="1" si="46"/>
        <v>1742060.4097085351</v>
      </c>
      <c r="F210" s="15">
        <f ca="1">IF(AND(A209="",A211=""),"",IF(A210="",SUM($F$25:F209),IF(A210=$D$8,$E$24-SUM($F$25:F209),$F$21-G210)))</f>
        <v>24447.857972907255</v>
      </c>
      <c r="G210" s="15">
        <f ca="1">IF(A209=$D$8,SUM($G$25:G209),IF(A209&gt;$D$8,"",E209*D210*$F$18/T209))</f>
        <v>16608.073631398478</v>
      </c>
      <c r="H210" s="15">
        <f ca="1">IF(A209=$D$8,SUM($H$25:H209),IF(A209="","",(G210+F210)))</f>
        <v>41055.931604305733</v>
      </c>
      <c r="I210" s="15" t="str">
        <f t="shared" si="48"/>
        <v/>
      </c>
      <c r="J210" s="15" t="str">
        <f t="shared" si="49"/>
        <v/>
      </c>
      <c r="K210" s="15"/>
      <c r="L210" s="15" t="str">
        <f t="shared" si="50"/>
        <v/>
      </c>
      <c r="M210" s="15" t="str">
        <f t="shared" si="51"/>
        <v/>
      </c>
      <c r="N210" s="144" t="str">
        <f t="shared" si="45"/>
        <v/>
      </c>
      <c r="P210" s="52" t="str">
        <f>IF(A209=$D$8,XIRR(R$24:R209,C$24:C209),"")</f>
        <v/>
      </c>
      <c r="Q210" s="15" t="str">
        <f t="shared" si="43"/>
        <v/>
      </c>
      <c r="R210" s="144">
        <f t="shared" ca="1" si="39"/>
        <v>41055.931604305733</v>
      </c>
      <c r="S210" s="168">
        <f t="shared" ca="1" si="40"/>
        <v>2037</v>
      </c>
      <c r="T210" s="168">
        <f t="shared" ca="1" si="41"/>
        <v>365</v>
      </c>
    </row>
    <row r="211" spans="1:20" x14ac:dyDescent="0.35">
      <c r="A211" s="13">
        <f t="shared" si="42"/>
        <v>187</v>
      </c>
      <c r="B211" s="50">
        <f t="shared" ca="1" si="52"/>
        <v>50083</v>
      </c>
      <c r="C211" s="50">
        <f t="shared" ca="1" si="44"/>
        <v>50083</v>
      </c>
      <c r="D211" s="13">
        <f t="shared" ca="1" si="47"/>
        <v>31</v>
      </c>
      <c r="E211" s="15">
        <f t="shared" ca="1" si="46"/>
        <v>1717427.5736379474</v>
      </c>
      <c r="F211" s="15">
        <f ca="1">IF(AND(A210="",A212=""),"",IF(A211="",SUM($F$25:F210),IF(A211=$D$8,$E$24-SUM($F$25:F210),$F$21-G211)))</f>
        <v>24632.836070587735</v>
      </c>
      <c r="G211" s="15">
        <f ca="1">IF(A210=$D$8,SUM($G$25:G210),IF(A210&gt;$D$8,"",E210*D211*$F$18/T210))</f>
        <v>16423.095533717998</v>
      </c>
      <c r="H211" s="15">
        <f ca="1">IF(A210=$D$8,SUM($H$25:H210),IF(A210="","",(G211+F211)))</f>
        <v>41055.931604305733</v>
      </c>
      <c r="I211" s="15" t="str">
        <f t="shared" si="48"/>
        <v/>
      </c>
      <c r="J211" s="15" t="str">
        <f t="shared" si="49"/>
        <v/>
      </c>
      <c r="K211" s="15"/>
      <c r="L211" s="15" t="str">
        <f t="shared" si="50"/>
        <v/>
      </c>
      <c r="M211" s="15" t="str">
        <f t="shared" si="51"/>
        <v/>
      </c>
      <c r="N211" s="144" t="str">
        <f t="shared" si="45"/>
        <v/>
      </c>
      <c r="P211" s="52" t="str">
        <f>IF(A210=$D$8,XIRR(R$24:R210,C$24:C210),"")</f>
        <v/>
      </c>
      <c r="Q211" s="15" t="str">
        <f t="shared" si="43"/>
        <v/>
      </c>
      <c r="R211" s="144">
        <f t="shared" ca="1" si="39"/>
        <v>41055.931604305733</v>
      </c>
      <c r="S211" s="168">
        <f t="shared" ca="1" si="40"/>
        <v>2037</v>
      </c>
      <c r="T211" s="168">
        <f t="shared" ca="1" si="41"/>
        <v>365</v>
      </c>
    </row>
    <row r="212" spans="1:20" x14ac:dyDescent="0.35">
      <c r="A212" s="13">
        <f t="shared" si="42"/>
        <v>188</v>
      </c>
      <c r="B212" s="50">
        <f t="shared" ca="1" si="52"/>
        <v>50111</v>
      </c>
      <c r="C212" s="50">
        <f t="shared" ca="1" si="44"/>
        <v>50111</v>
      </c>
      <c r="D212" s="13">
        <f t="shared" ca="1" si="47"/>
        <v>28</v>
      </c>
      <c r="E212" s="15">
        <f t="shared" ca="1" si="46"/>
        <v>1690995.6554551944</v>
      </c>
      <c r="F212" s="15">
        <f ca="1">IF(AND(A211="",A213=""),"",IF(A212="",SUM($F$25:F211),IF(A212=$D$8,$E$24-SUM($F$25:F211),$F$21-G212)))</f>
        <v>26431.918182753019</v>
      </c>
      <c r="G212" s="15">
        <f ca="1">IF(A211=$D$8,SUM($G$25:G211),IF(A211&gt;$D$8,"",E211*D212*$F$18/T211))</f>
        <v>14624.013421552714</v>
      </c>
      <c r="H212" s="15">
        <f ca="1">IF(A211=$D$8,SUM($H$25:H211),IF(A211="","",(G212+F212)))</f>
        <v>41055.931604305733</v>
      </c>
      <c r="I212" s="15" t="str">
        <f t="shared" si="48"/>
        <v/>
      </c>
      <c r="J212" s="15" t="str">
        <f t="shared" si="49"/>
        <v/>
      </c>
      <c r="K212" s="15"/>
      <c r="L212" s="15" t="str">
        <f t="shared" si="50"/>
        <v/>
      </c>
      <c r="M212" s="15" t="str">
        <f t="shared" si="51"/>
        <v/>
      </c>
      <c r="N212" s="144" t="str">
        <f t="shared" si="45"/>
        <v/>
      </c>
      <c r="P212" s="52" t="str">
        <f>IF(A211=$D$8,XIRR(R$24:R211,C$24:C211),"")</f>
        <v/>
      </c>
      <c r="Q212" s="15" t="str">
        <f t="shared" si="43"/>
        <v/>
      </c>
      <c r="R212" s="144">
        <f t="shared" ca="1" si="39"/>
        <v>41055.931604305733</v>
      </c>
      <c r="S212" s="168">
        <f t="shared" ca="1" si="40"/>
        <v>2037</v>
      </c>
      <c r="T212" s="168">
        <f t="shared" ca="1" si="41"/>
        <v>365</v>
      </c>
    </row>
    <row r="213" spans="1:20" x14ac:dyDescent="0.35">
      <c r="A213" s="13">
        <f t="shared" si="42"/>
        <v>189</v>
      </c>
      <c r="B213" s="50">
        <f t="shared" ca="1" si="52"/>
        <v>50142</v>
      </c>
      <c r="C213" s="50">
        <f t="shared" ca="1" si="44"/>
        <v>50142</v>
      </c>
      <c r="D213" s="13">
        <f t="shared" ca="1" si="47"/>
        <v>31</v>
      </c>
      <c r="E213" s="15">
        <f t="shared" ca="1" si="46"/>
        <v>1665881.4116602622</v>
      </c>
      <c r="F213" s="15">
        <f ca="1">IF(AND(A212="",A214=""),"",IF(A213="",SUM($F$25:F212),IF(A213=$D$8,$E$24-SUM($F$25:F212),$F$21-G213)))</f>
        <v>25114.243794932245</v>
      </c>
      <c r="G213" s="15">
        <f ca="1">IF(A212=$D$8,SUM($G$25:G212),IF(A212&gt;$D$8,"",E212*D213*$F$18/T212))</f>
        <v>15941.687809373489</v>
      </c>
      <c r="H213" s="15">
        <f ca="1">IF(A212=$D$8,SUM($H$25:H212),IF(A212="","",(G213+F213)))</f>
        <v>41055.931604305733</v>
      </c>
      <c r="I213" s="15" t="str">
        <f t="shared" si="48"/>
        <v/>
      </c>
      <c r="J213" s="15" t="str">
        <f t="shared" si="49"/>
        <v/>
      </c>
      <c r="K213" s="15"/>
      <c r="L213" s="15" t="str">
        <f t="shared" si="50"/>
        <v/>
      </c>
      <c r="M213" s="15" t="str">
        <f t="shared" si="51"/>
        <v/>
      </c>
      <c r="N213" s="144" t="str">
        <f t="shared" si="45"/>
        <v/>
      </c>
      <c r="P213" s="52" t="str">
        <f>IF(A212=$D$8,XIRR(R$24:R212,C$24:C212),"")</f>
        <v/>
      </c>
      <c r="Q213" s="15" t="str">
        <f t="shared" si="43"/>
        <v/>
      </c>
      <c r="R213" s="144">
        <f t="shared" ca="1" si="39"/>
        <v>41055.931604305733</v>
      </c>
      <c r="S213" s="168">
        <f t="shared" ca="1" si="40"/>
        <v>2037</v>
      </c>
      <c r="T213" s="168">
        <f t="shared" ca="1" si="41"/>
        <v>365</v>
      </c>
    </row>
    <row r="214" spans="1:20" x14ac:dyDescent="0.35">
      <c r="A214" s="13">
        <f t="shared" si="42"/>
        <v>190</v>
      </c>
      <c r="B214" s="50">
        <f t="shared" ca="1" si="52"/>
        <v>50172</v>
      </c>
      <c r="C214" s="50">
        <f t="shared" ca="1" si="44"/>
        <v>50172</v>
      </c>
      <c r="D214" s="13">
        <f t="shared" ca="1" si="47"/>
        <v>30</v>
      </c>
      <c r="E214" s="15">
        <f t="shared" ca="1" si="46"/>
        <v>1640023.7954006926</v>
      </c>
      <c r="F214" s="15">
        <f ca="1">IF(AND(A213="",A215=""),"",IF(A214="",SUM($F$25:F213),IF(A214=$D$8,$E$24-SUM($F$25:F213),$F$21-G214)))</f>
        <v>25857.616259569644</v>
      </c>
      <c r="G214" s="15">
        <f ca="1">IF(A213=$D$8,SUM($G$25:G213),IF(A213&gt;$D$8,"",E213*D214*$F$18/T213))</f>
        <v>15198.315344736089</v>
      </c>
      <c r="H214" s="15">
        <f ca="1">IF(A213=$D$8,SUM($H$25:H213),IF(A213="","",(G214+F214)))</f>
        <v>41055.931604305733</v>
      </c>
      <c r="I214" s="15" t="str">
        <f t="shared" si="48"/>
        <v/>
      </c>
      <c r="J214" s="15" t="str">
        <f t="shared" si="49"/>
        <v/>
      </c>
      <c r="K214" s="15"/>
      <c r="L214" s="15" t="str">
        <f t="shared" si="50"/>
        <v/>
      </c>
      <c r="M214" s="15" t="str">
        <f t="shared" si="51"/>
        <v/>
      </c>
      <c r="N214" s="144" t="str">
        <f t="shared" si="45"/>
        <v/>
      </c>
      <c r="P214" s="52" t="str">
        <f>IF(A213=$D$8,XIRR(R$24:R213,C$24:C213),"")</f>
        <v/>
      </c>
      <c r="Q214" s="15" t="str">
        <f t="shared" si="43"/>
        <v/>
      </c>
      <c r="R214" s="144">
        <f t="shared" ca="1" si="39"/>
        <v>41055.931604305733</v>
      </c>
      <c r="S214" s="168">
        <f t="shared" ca="1" si="40"/>
        <v>2037</v>
      </c>
      <c r="T214" s="168">
        <f t="shared" ca="1" si="41"/>
        <v>365</v>
      </c>
    </row>
    <row r="215" spans="1:20" x14ac:dyDescent="0.35">
      <c r="A215" s="13">
        <f t="shared" si="42"/>
        <v>191</v>
      </c>
      <c r="B215" s="50">
        <f t="shared" ca="1" si="52"/>
        <v>50203</v>
      </c>
      <c r="C215" s="50">
        <f t="shared" ca="1" si="44"/>
        <v>50203</v>
      </c>
      <c r="D215" s="13">
        <f t="shared" ca="1" si="47"/>
        <v>31</v>
      </c>
      <c r="E215" s="15">
        <f t="shared" ca="1" si="46"/>
        <v>1614429.0196319316</v>
      </c>
      <c r="F215" s="15">
        <f ca="1">IF(AND(A214="",A216=""),"",IF(A215="",SUM($F$25:F214),IF(A215=$D$8,$E$24-SUM($F$25:F214),$F$21-G215)))</f>
        <v>25594.775768761123</v>
      </c>
      <c r="G215" s="15">
        <f ca="1">IF(A214=$D$8,SUM($G$25:G214),IF(A214&gt;$D$8,"",E214*D215*$F$18/T214))</f>
        <v>15461.155835544612</v>
      </c>
      <c r="H215" s="15">
        <f ca="1">IF(A214=$D$8,SUM($H$25:H214),IF(A214="","",(G215+F215)))</f>
        <v>41055.931604305733</v>
      </c>
      <c r="I215" s="15" t="str">
        <f t="shared" si="48"/>
        <v/>
      </c>
      <c r="J215" s="15" t="str">
        <f t="shared" si="49"/>
        <v/>
      </c>
      <c r="K215" s="15"/>
      <c r="L215" s="15" t="str">
        <f t="shared" si="50"/>
        <v/>
      </c>
      <c r="M215" s="15" t="str">
        <f t="shared" si="51"/>
        <v/>
      </c>
      <c r="N215" s="144" t="str">
        <f t="shared" si="45"/>
        <v/>
      </c>
      <c r="P215" s="52" t="str">
        <f>IF(A214=$D$8,XIRR(R$24:R214,C$24:C214),"")</f>
        <v/>
      </c>
      <c r="Q215" s="15" t="str">
        <f t="shared" si="43"/>
        <v/>
      </c>
      <c r="R215" s="144">
        <f t="shared" ca="1" si="39"/>
        <v>41055.931604305733</v>
      </c>
      <c r="S215" s="168">
        <f t="shared" ca="1" si="40"/>
        <v>2037</v>
      </c>
      <c r="T215" s="168">
        <f t="shared" ca="1" si="41"/>
        <v>365</v>
      </c>
    </row>
    <row r="216" spans="1:20" x14ac:dyDescent="0.35">
      <c r="A216" s="13">
        <f t="shared" si="42"/>
        <v>192</v>
      </c>
      <c r="B216" s="50">
        <f t="shared" ca="1" si="52"/>
        <v>50233</v>
      </c>
      <c r="C216" s="50">
        <f t="shared" ca="1" si="44"/>
        <v>50233</v>
      </c>
      <c r="D216" s="13">
        <f t="shared" ca="1" si="47"/>
        <v>30</v>
      </c>
      <c r="E216" s="15">
        <f t="shared" ca="1" si="46"/>
        <v>1588101.9883985145</v>
      </c>
      <c r="F216" s="15">
        <f ca="1">IF(AND(A215="",A217=""),"",IF(A216="",SUM($F$25:F215),IF(A216=$D$8,$E$24-SUM($F$25:F215),$F$21-G216)))</f>
        <v>26327.03123341715</v>
      </c>
      <c r="G216" s="15">
        <f ca="1">IF(A215=$D$8,SUM($G$25:G215),IF(A215&gt;$D$8,"",E215*D216*$F$18/T215))</f>
        <v>14728.900370888583</v>
      </c>
      <c r="H216" s="15">
        <f ca="1">IF(A215=$D$8,SUM($H$25:H215),IF(A215="","",(G216+F216)))</f>
        <v>41055.931604305733</v>
      </c>
      <c r="I216" s="15" t="str">
        <f t="shared" si="48"/>
        <v/>
      </c>
      <c r="J216" s="15" t="str">
        <f t="shared" si="49"/>
        <v/>
      </c>
      <c r="K216" s="15"/>
      <c r="L216" s="15" t="str">
        <f t="shared" si="50"/>
        <v/>
      </c>
      <c r="M216" s="15" t="str">
        <f t="shared" si="51"/>
        <v/>
      </c>
      <c r="N216" s="144" t="str">
        <f t="shared" si="45"/>
        <v/>
      </c>
      <c r="P216" s="52" t="str">
        <f>IF(A215=$D$8,XIRR(R$24:R215,C$24:C215),"")</f>
        <v/>
      </c>
      <c r="Q216" s="15" t="str">
        <f t="shared" si="43"/>
        <v/>
      </c>
      <c r="R216" s="144">
        <f t="shared" ca="1" si="39"/>
        <v>41055.931604305733</v>
      </c>
      <c r="S216" s="168">
        <f t="shared" ca="1" si="40"/>
        <v>2037</v>
      </c>
      <c r="T216" s="168">
        <f t="shared" ca="1" si="41"/>
        <v>365</v>
      </c>
    </row>
    <row r="217" spans="1:20" x14ac:dyDescent="0.35">
      <c r="A217" s="13">
        <f t="shared" si="42"/>
        <v>193</v>
      </c>
      <c r="B217" s="50">
        <f t="shared" ca="1" si="52"/>
        <v>50264</v>
      </c>
      <c r="C217" s="50">
        <f t="shared" ca="1" si="44"/>
        <v>50264</v>
      </c>
      <c r="D217" s="13">
        <f t="shared" ca="1" si="47"/>
        <v>31</v>
      </c>
      <c r="E217" s="15">
        <f t="shared" ca="1" si="46"/>
        <v>1562017.7251286726</v>
      </c>
      <c r="F217" s="15">
        <f ca="1">IF(AND(A216="",A218=""),"",IF(A217="",SUM($F$25:F216),IF(A217=$D$8,$E$24-SUM($F$25:F216),$F$21-G217)))</f>
        <v>26084.263269841933</v>
      </c>
      <c r="G217" s="15">
        <f ca="1">IF(A216=$D$8,SUM($G$25:G216),IF(A216&gt;$D$8,"",E216*D217*$F$18/T216))</f>
        <v>14971.668334463802</v>
      </c>
      <c r="H217" s="15">
        <f ca="1">IF(A216=$D$8,SUM($H$25:H216),IF(A216="","",(G217+F217)))</f>
        <v>41055.931604305733</v>
      </c>
      <c r="I217" s="15" t="str">
        <f t="shared" si="48"/>
        <v/>
      </c>
      <c r="J217" s="15" t="str">
        <f t="shared" si="49"/>
        <v/>
      </c>
      <c r="K217" s="15">
        <f>IF($F$8&gt;192,($O$8+$O$10),IF($A$216=$F$8,$K$24*$G$8,""))</f>
        <v>17142.858</v>
      </c>
      <c r="L217" s="15" t="str">
        <f t="shared" si="50"/>
        <v/>
      </c>
      <c r="M217" s="15" t="str">
        <f t="shared" si="51"/>
        <v/>
      </c>
      <c r="N217" s="15">
        <f>IF($F$8&gt;192,($N$14),IF(A216=$F$8,N205+N193+N181+N169+N157+N145+N133+N121+N109+N97+N85+N73+N61+N49+N37+N24,""))</f>
        <v>2500</v>
      </c>
      <c r="P217" s="52" t="str">
        <f>IF(A216=$D$8,XIRR(R$24:R216,C$24:C216),"")</f>
        <v/>
      </c>
      <c r="Q217" s="15" t="str">
        <f t="shared" si="43"/>
        <v/>
      </c>
      <c r="R217" s="144">
        <f t="shared" ca="1" si="39"/>
        <v>60698.789604305734</v>
      </c>
      <c r="S217" s="168">
        <f t="shared" ca="1" si="40"/>
        <v>2037</v>
      </c>
      <c r="T217" s="168">
        <f t="shared" ca="1" si="41"/>
        <v>365</v>
      </c>
    </row>
    <row r="218" spans="1:20" x14ac:dyDescent="0.35">
      <c r="A218" s="13">
        <f t="shared" si="42"/>
        <v>194</v>
      </c>
      <c r="B218" s="50">
        <f t="shared" ca="1" si="52"/>
        <v>50295</v>
      </c>
      <c r="C218" s="50">
        <f t="shared" ca="1" si="44"/>
        <v>50295</v>
      </c>
      <c r="D218" s="13">
        <f t="shared" ca="1" si="47"/>
        <v>31</v>
      </c>
      <c r="E218" s="15">
        <f t="shared" ca="1" si="46"/>
        <v>1535687.5551467442</v>
      </c>
      <c r="F218" s="15">
        <f ca="1">IF(AND(A217="",A219=""),"",IF(A218="",SUM($F$25:F217),IF(A218=$D$8,$E$24-SUM($F$25:F217),$F$21-G218)))</f>
        <v>26330.169981928302</v>
      </c>
      <c r="G218" s="15">
        <f ca="1">IF(A217=$D$8,SUM($G$25:G217),IF(A217&gt;$D$8,"",E217*D218*$F$18/T217))</f>
        <v>14725.761622377431</v>
      </c>
      <c r="H218" s="15">
        <f ca="1">IF(A217=$D$8,SUM($H$25:H217),IF(A217="","",(G218+F218)))</f>
        <v>41055.931604305733</v>
      </c>
      <c r="I218" s="15" t="str">
        <f t="shared" si="48"/>
        <v/>
      </c>
      <c r="J218" s="15" t="str">
        <f t="shared" si="49"/>
        <v/>
      </c>
      <c r="K218" s="15"/>
      <c r="L218" s="15" t="str">
        <f t="shared" si="50"/>
        <v/>
      </c>
      <c r="M218" s="15" t="str">
        <f t="shared" si="51"/>
        <v/>
      </c>
      <c r="N218" s="144" t="str">
        <f t="shared" si="45"/>
        <v/>
      </c>
      <c r="P218" s="52" t="str">
        <f>IF(A217=$D$8,XIRR(R$24:R217,C$24:C217),"")</f>
        <v/>
      </c>
      <c r="Q218" s="15" t="str">
        <f t="shared" si="43"/>
        <v/>
      </c>
      <c r="R218" s="144">
        <f t="shared" ref="R218:R264" ca="1" si="53">SUM(H218:Q218)</f>
        <v>41055.931604305733</v>
      </c>
      <c r="S218" s="168">
        <f t="shared" ref="S218:S264" ca="1" si="54">IF(C218="","",YEAR(C218))</f>
        <v>2037</v>
      </c>
      <c r="T218" s="168">
        <f t="shared" ref="T218:T264" ca="1" si="55">IF(OR(S218=2024,S218=2028,S218=2016,S218=2020,S218=2024,S218=2028,S218=2032,S218=2036,S218=2040),366,365)</f>
        <v>365</v>
      </c>
    </row>
    <row r="219" spans="1:20" x14ac:dyDescent="0.35">
      <c r="A219" s="13">
        <f t="shared" ref="A219:A275" si="56">IF(A218&lt;$D$8,A218+1,"")</f>
        <v>195</v>
      </c>
      <c r="B219" s="50">
        <f t="shared" ca="1" si="52"/>
        <v>50325</v>
      </c>
      <c r="C219" s="50">
        <f t="shared" ca="1" si="44"/>
        <v>50325</v>
      </c>
      <c r="D219" s="13">
        <f t="shared" ca="1" si="47"/>
        <v>30</v>
      </c>
      <c r="E219" s="15">
        <f t="shared" ca="1" si="46"/>
        <v>1508642.1428811746</v>
      </c>
      <c r="F219" s="15">
        <f ca="1">IF(AND(A218="",A220=""),"",IF(A219="",SUM($F$25:F218),IF(A219=$D$8,$E$24-SUM($F$25:F218),$F$21-G219)))</f>
        <v>27045.412265569685</v>
      </c>
      <c r="G219" s="15">
        <f ca="1">IF(A218=$D$8,SUM($G$25:G218),IF(A218&gt;$D$8,"",E218*D219*$F$18/T218))</f>
        <v>14010.51933873605</v>
      </c>
      <c r="H219" s="15">
        <f ca="1">IF(A218=$D$8,SUM($H$25:H218),IF(A218="","",(G219+F219)))</f>
        <v>41055.931604305733</v>
      </c>
      <c r="I219" s="15" t="str">
        <f t="shared" si="48"/>
        <v/>
      </c>
      <c r="J219" s="15" t="str">
        <f t="shared" si="49"/>
        <v/>
      </c>
      <c r="K219" s="15"/>
      <c r="L219" s="15" t="str">
        <f t="shared" si="50"/>
        <v/>
      </c>
      <c r="M219" s="15" t="str">
        <f t="shared" si="51"/>
        <v/>
      </c>
      <c r="N219" s="144" t="str">
        <f t="shared" si="45"/>
        <v/>
      </c>
      <c r="P219" s="52" t="str">
        <f>IF(A218=$D$8,XIRR(R$24:R218,C$24:C218),"")</f>
        <v/>
      </c>
      <c r="Q219" s="15" t="str">
        <f t="shared" si="43"/>
        <v/>
      </c>
      <c r="R219" s="144">
        <f t="shared" ca="1" si="53"/>
        <v>41055.931604305733</v>
      </c>
      <c r="S219" s="168">
        <f t="shared" ca="1" si="54"/>
        <v>2037</v>
      </c>
      <c r="T219" s="168">
        <f t="shared" ca="1" si="55"/>
        <v>365</v>
      </c>
    </row>
    <row r="220" spans="1:20" x14ac:dyDescent="0.35">
      <c r="A220" s="13">
        <f t="shared" si="56"/>
        <v>196</v>
      </c>
      <c r="B220" s="50">
        <f t="shared" ca="1" si="52"/>
        <v>50356</v>
      </c>
      <c r="C220" s="50">
        <f t="shared" ca="1" si="44"/>
        <v>50356</v>
      </c>
      <c r="D220" s="13">
        <f t="shared" ca="1" si="47"/>
        <v>31</v>
      </c>
      <c r="E220" s="15">
        <f t="shared" ca="1" si="46"/>
        <v>1481808.7800814006</v>
      </c>
      <c r="F220" s="15">
        <f ca="1">IF(AND(A219="",A221=""),"",IF(A220="",SUM($F$25:F219),IF(A220=$D$8,$E$24-SUM($F$25:F219),$F$21-G220)))</f>
        <v>26833.362799773895</v>
      </c>
      <c r="G220" s="15">
        <f ca="1">IF(A219=$D$8,SUM($G$25:G219),IF(A219&gt;$D$8,"",E219*D220*$F$18/T219))</f>
        <v>14222.56880453184</v>
      </c>
      <c r="H220" s="15">
        <f ca="1">IF(A219=$D$8,SUM($H$25:H219),IF(A219="","",(G220+F220)))</f>
        <v>41055.931604305733</v>
      </c>
      <c r="I220" s="15" t="str">
        <f t="shared" si="48"/>
        <v/>
      </c>
      <c r="J220" s="15" t="str">
        <f t="shared" si="49"/>
        <v/>
      </c>
      <c r="K220" s="15"/>
      <c r="L220" s="15" t="str">
        <f t="shared" si="50"/>
        <v/>
      </c>
      <c r="M220" s="15" t="str">
        <f t="shared" si="51"/>
        <v/>
      </c>
      <c r="N220" s="144" t="str">
        <f t="shared" si="45"/>
        <v/>
      </c>
      <c r="P220" s="52" t="str">
        <f>IF(A219=$D$8,XIRR(R$24:R219,C$24:C219),"")</f>
        <v/>
      </c>
      <c r="Q220" s="15" t="str">
        <f t="shared" ref="Q220:Q265" si="57">IF(A219=$D$8,G220+M220+F220+I220+J220+K220+L220+N220+O220,"")</f>
        <v/>
      </c>
      <c r="R220" s="144">
        <f t="shared" ca="1" si="53"/>
        <v>41055.931604305733</v>
      </c>
      <c r="S220" s="168">
        <f t="shared" ca="1" si="54"/>
        <v>2037</v>
      </c>
      <c r="T220" s="168">
        <f t="shared" ca="1" si="55"/>
        <v>365</v>
      </c>
    </row>
    <row r="221" spans="1:20" x14ac:dyDescent="0.35">
      <c r="A221" s="13">
        <f t="shared" si="56"/>
        <v>197</v>
      </c>
      <c r="B221" s="50">
        <f t="shared" ca="1" si="52"/>
        <v>50386</v>
      </c>
      <c r="C221" s="50">
        <f t="shared" ref="C221:C264" ca="1" si="58">IF(B221&gt;$E$20,"",IF(B221=$E$20,B221-1,B221))</f>
        <v>50386</v>
      </c>
      <c r="D221" s="13">
        <f t="shared" ca="1" si="47"/>
        <v>30</v>
      </c>
      <c r="E221" s="15">
        <f t="shared" ca="1" si="46"/>
        <v>1454271.8162515361</v>
      </c>
      <c r="F221" s="15">
        <f ca="1">IF(AND(A220="",A222=""),"",IF(A221="",SUM($F$25:F220),IF(A221=$D$8,$E$24-SUM($F$25:F220),$F$21-G221)))</f>
        <v>27536.963829864464</v>
      </c>
      <c r="G221" s="15">
        <f ca="1">IF(A220=$D$8,SUM($G$25:G220),IF(A220&gt;$D$8,"",E220*D221*$F$18/T220))</f>
        <v>13518.967774441271</v>
      </c>
      <c r="H221" s="15">
        <f ca="1">IF(A220=$D$8,SUM($H$25:H220),IF(A220="","",(G221+F221)))</f>
        <v>41055.931604305733</v>
      </c>
      <c r="I221" s="15" t="str">
        <f t="shared" si="48"/>
        <v/>
      </c>
      <c r="J221" s="15" t="str">
        <f t="shared" si="49"/>
        <v/>
      </c>
      <c r="K221" s="15"/>
      <c r="L221" s="15" t="str">
        <f t="shared" si="50"/>
        <v/>
      </c>
      <c r="M221" s="15" t="str">
        <f t="shared" si="51"/>
        <v/>
      </c>
      <c r="N221" s="144" t="str">
        <f t="shared" si="45"/>
        <v/>
      </c>
      <c r="P221" s="52" t="str">
        <f>IF(A220=$D$8,XIRR(R$24:R220,C$24:C220),"")</f>
        <v/>
      </c>
      <c r="Q221" s="15" t="str">
        <f t="shared" si="57"/>
        <v/>
      </c>
      <c r="R221" s="144">
        <f t="shared" ca="1" si="53"/>
        <v>41055.931604305733</v>
      </c>
      <c r="S221" s="168">
        <f t="shared" ca="1" si="54"/>
        <v>2037</v>
      </c>
      <c r="T221" s="168">
        <f t="shared" ca="1" si="55"/>
        <v>365</v>
      </c>
    </row>
    <row r="222" spans="1:20" x14ac:dyDescent="0.35">
      <c r="A222" s="13">
        <f t="shared" si="56"/>
        <v>198</v>
      </c>
      <c r="B222" s="50">
        <f t="shared" ca="1" si="52"/>
        <v>50417</v>
      </c>
      <c r="C222" s="50">
        <f t="shared" ca="1" si="58"/>
        <v>50417</v>
      </c>
      <c r="D222" s="13">
        <f t="shared" ca="1" si="47"/>
        <v>31</v>
      </c>
      <c r="E222" s="15">
        <f t="shared" ca="1" si="46"/>
        <v>1426925.8827834537</v>
      </c>
      <c r="F222" s="15">
        <f ca="1">IF(AND(A221="",A223=""),"",IF(A222="",SUM($F$25:F221),IF(A222=$D$8,$E$24-SUM($F$25:F221),$F$21-G222)))</f>
        <v>27345.933468082349</v>
      </c>
      <c r="G222" s="15">
        <f ca="1">IF(A221=$D$8,SUM($G$25:G221),IF(A221&gt;$D$8,"",E221*D222*$F$18/T221))</f>
        <v>13709.998136223385</v>
      </c>
      <c r="H222" s="15">
        <f ca="1">IF(A221=$D$8,SUM($H$25:H221),IF(A221="","",(G222+F222)))</f>
        <v>41055.931604305733</v>
      </c>
      <c r="I222" s="15" t="str">
        <f t="shared" si="48"/>
        <v/>
      </c>
      <c r="J222" s="15" t="str">
        <f t="shared" si="49"/>
        <v/>
      </c>
      <c r="K222" s="15"/>
      <c r="L222" s="15" t="str">
        <f t="shared" si="50"/>
        <v/>
      </c>
      <c r="M222" s="15" t="str">
        <f t="shared" si="51"/>
        <v/>
      </c>
      <c r="N222" s="144" t="str">
        <f t="shared" ref="N222:N264" si="59">IF(A221=$D$8,$N$24,"")</f>
        <v/>
      </c>
      <c r="P222" s="52" t="str">
        <f>IF(A221=$D$8,XIRR(R$24:R221,C$24:C221),"")</f>
        <v/>
      </c>
      <c r="Q222" s="15" t="str">
        <f t="shared" si="57"/>
        <v/>
      </c>
      <c r="R222" s="144">
        <f t="shared" ca="1" si="53"/>
        <v>41055.931604305733</v>
      </c>
      <c r="S222" s="168">
        <f t="shared" ca="1" si="54"/>
        <v>2038</v>
      </c>
      <c r="T222" s="168">
        <f t="shared" ca="1" si="55"/>
        <v>365</v>
      </c>
    </row>
    <row r="223" spans="1:20" x14ac:dyDescent="0.35">
      <c r="A223" s="13">
        <f t="shared" si="56"/>
        <v>199</v>
      </c>
      <c r="B223" s="50">
        <f t="shared" ca="1" si="52"/>
        <v>50448</v>
      </c>
      <c r="C223" s="50">
        <f t="shared" ca="1" si="58"/>
        <v>50448</v>
      </c>
      <c r="D223" s="13">
        <f t="shared" ca="1" si="47"/>
        <v>31</v>
      </c>
      <c r="E223" s="15">
        <f t="shared" ca="1" si="46"/>
        <v>1399322.1483371146</v>
      </c>
      <c r="F223" s="15">
        <f ca="1">IF(AND(A222="",A224=""),"",IF(A223="",SUM($F$25:F222),IF(A223=$D$8,$E$24-SUM($F$25:F222),$F$21-G223)))</f>
        <v>27603.734446338982</v>
      </c>
      <c r="G223" s="15">
        <f ca="1">IF(A222=$D$8,SUM($G$25:G222),IF(A222&gt;$D$8,"",E222*D223*$F$18/T222))</f>
        <v>13452.197157966752</v>
      </c>
      <c r="H223" s="15">
        <f ca="1">IF(A222=$D$8,SUM($H$25:H222),IF(A222="","",(G223+F223)))</f>
        <v>41055.931604305733</v>
      </c>
      <c r="I223" s="15" t="str">
        <f t="shared" si="48"/>
        <v/>
      </c>
      <c r="J223" s="15" t="str">
        <f t="shared" si="49"/>
        <v/>
      </c>
      <c r="K223" s="15"/>
      <c r="L223" s="15" t="str">
        <f t="shared" si="50"/>
        <v/>
      </c>
      <c r="M223" s="15" t="str">
        <f t="shared" si="51"/>
        <v/>
      </c>
      <c r="N223" s="144" t="str">
        <f t="shared" si="59"/>
        <v/>
      </c>
      <c r="P223" s="52" t="str">
        <f>IF(A222=$D$8,XIRR(R$24:R222,C$24:C222),"")</f>
        <v/>
      </c>
      <c r="Q223" s="15" t="str">
        <f t="shared" si="57"/>
        <v/>
      </c>
      <c r="R223" s="144">
        <f t="shared" ca="1" si="53"/>
        <v>41055.931604305733</v>
      </c>
      <c r="S223" s="168">
        <f t="shared" ca="1" si="54"/>
        <v>2038</v>
      </c>
      <c r="T223" s="168">
        <f t="shared" ca="1" si="55"/>
        <v>365</v>
      </c>
    </row>
    <row r="224" spans="1:20" x14ac:dyDescent="0.35">
      <c r="A224" s="13">
        <f t="shared" si="56"/>
        <v>200</v>
      </c>
      <c r="B224" s="50">
        <f t="shared" ca="1" si="52"/>
        <v>50476</v>
      </c>
      <c r="C224" s="50">
        <f t="shared" ca="1" si="58"/>
        <v>50476</v>
      </c>
      <c r="D224" s="13">
        <f t="shared" ca="1" si="47"/>
        <v>28</v>
      </c>
      <c r="E224" s="15">
        <f t="shared" ca="1" si="46"/>
        <v>1370181.5406698822</v>
      </c>
      <c r="F224" s="15">
        <f ca="1">IF(AND(A223="",A225=""),"",IF(A224="",SUM($F$25:F223),IF(A224=$D$8,$E$24-SUM($F$25:F223),$F$21-G224)))</f>
        <v>29140.607667232442</v>
      </c>
      <c r="G224" s="15">
        <f ca="1">IF(A223=$D$8,SUM($G$25:G223),IF(A223&gt;$D$8,"",E223*D224*$F$18/T223))</f>
        <v>11915.323937073294</v>
      </c>
      <c r="H224" s="15">
        <f ca="1">IF(A223=$D$8,SUM($H$25:H223),IF(A223="","",(G224+F224)))</f>
        <v>41055.931604305733</v>
      </c>
      <c r="I224" s="15" t="str">
        <f t="shared" si="48"/>
        <v/>
      </c>
      <c r="J224" s="15" t="str">
        <f t="shared" si="49"/>
        <v/>
      </c>
      <c r="K224" s="15"/>
      <c r="L224" s="15" t="str">
        <f t="shared" si="50"/>
        <v/>
      </c>
      <c r="M224" s="15" t="str">
        <f t="shared" si="51"/>
        <v/>
      </c>
      <c r="N224" s="144" t="str">
        <f t="shared" si="59"/>
        <v/>
      </c>
      <c r="P224" s="52" t="str">
        <f>IF(A223=$D$8,XIRR(R$24:R223,C$24:C223),"")</f>
        <v/>
      </c>
      <c r="Q224" s="15" t="str">
        <f t="shared" si="57"/>
        <v/>
      </c>
      <c r="R224" s="144">
        <f t="shared" ca="1" si="53"/>
        <v>41055.931604305733</v>
      </c>
      <c r="S224" s="168">
        <f t="shared" ca="1" si="54"/>
        <v>2038</v>
      </c>
      <c r="T224" s="168">
        <f t="shared" ca="1" si="55"/>
        <v>365</v>
      </c>
    </row>
    <row r="225" spans="1:20" x14ac:dyDescent="0.35">
      <c r="A225" s="13">
        <f t="shared" si="56"/>
        <v>201</v>
      </c>
      <c r="B225" s="50">
        <f t="shared" ca="1" si="52"/>
        <v>50507</v>
      </c>
      <c r="C225" s="50">
        <f t="shared" ca="1" si="58"/>
        <v>50507</v>
      </c>
      <c r="D225" s="13">
        <f t="shared" ca="1" si="47"/>
        <v>31</v>
      </c>
      <c r="E225" s="15">
        <f t="shared" ca="1" si="46"/>
        <v>1342042.8547681656</v>
      </c>
      <c r="F225" s="15">
        <f ca="1">IF(AND(A224="",A226=""),"",IF(A225="",SUM($F$25:F224),IF(A225=$D$8,$E$24-SUM($F$25:F224),$F$21-G225)))</f>
        <v>28138.685901716512</v>
      </c>
      <c r="G225" s="15">
        <f ca="1">IF(A224=$D$8,SUM($G$25:G224),IF(A224&gt;$D$8,"",E224*D225*$F$18/T224))</f>
        <v>12917.24570258922</v>
      </c>
      <c r="H225" s="15">
        <f ca="1">IF(A224=$D$8,SUM($H$25:H224),IF(A224="","",(G225+F225)))</f>
        <v>41055.931604305733</v>
      </c>
      <c r="I225" s="15" t="str">
        <f t="shared" si="48"/>
        <v/>
      </c>
      <c r="J225" s="15" t="str">
        <f t="shared" si="49"/>
        <v/>
      </c>
      <c r="K225" s="15"/>
      <c r="L225" s="15" t="str">
        <f t="shared" si="50"/>
        <v/>
      </c>
      <c r="M225" s="15" t="str">
        <f t="shared" si="51"/>
        <v/>
      </c>
      <c r="N225" s="144" t="str">
        <f t="shared" si="59"/>
        <v/>
      </c>
      <c r="P225" s="52" t="str">
        <f>IF(A224=$D$8,XIRR(R$24:R224,C$24:C224),"")</f>
        <v/>
      </c>
      <c r="Q225" s="15" t="str">
        <f t="shared" si="57"/>
        <v/>
      </c>
      <c r="R225" s="144">
        <f t="shared" ca="1" si="53"/>
        <v>41055.931604305733</v>
      </c>
      <c r="S225" s="168">
        <f t="shared" ca="1" si="54"/>
        <v>2038</v>
      </c>
      <c r="T225" s="168">
        <f t="shared" ca="1" si="55"/>
        <v>365</v>
      </c>
    </row>
    <row r="226" spans="1:20" x14ac:dyDescent="0.35">
      <c r="A226" s="13">
        <f t="shared" si="56"/>
        <v>202</v>
      </c>
      <c r="B226" s="50">
        <f t="shared" ca="1" si="52"/>
        <v>50537</v>
      </c>
      <c r="C226" s="50">
        <f t="shared" ca="1" si="58"/>
        <v>50537</v>
      </c>
      <c r="D226" s="13">
        <f t="shared" ca="1" si="47"/>
        <v>30</v>
      </c>
      <c r="E226" s="15">
        <f t="shared" ca="1" si="46"/>
        <v>1313230.7661950325</v>
      </c>
      <c r="F226" s="15">
        <f ca="1">IF(AND(A225="",A227=""),"",IF(A226="",SUM($F$25:F225),IF(A226=$D$8,$E$24-SUM($F$25:F225),$F$21-G226)))</f>
        <v>28812.088573133155</v>
      </c>
      <c r="G226" s="15">
        <f ca="1">IF(A225=$D$8,SUM($G$25:G225),IF(A225&gt;$D$8,"",E225*D226*$F$18/T225))</f>
        <v>12243.843031172579</v>
      </c>
      <c r="H226" s="15">
        <f ca="1">IF(A225=$D$8,SUM($H$25:H225),IF(A225="","",(G226+F226)))</f>
        <v>41055.931604305733</v>
      </c>
      <c r="I226" s="15" t="str">
        <f t="shared" si="48"/>
        <v/>
      </c>
      <c r="J226" s="15" t="str">
        <f t="shared" si="49"/>
        <v/>
      </c>
      <c r="K226" s="15"/>
      <c r="L226" s="15" t="str">
        <f t="shared" si="50"/>
        <v/>
      </c>
      <c r="M226" s="15" t="str">
        <f t="shared" si="51"/>
        <v/>
      </c>
      <c r="N226" s="144" t="str">
        <f t="shared" si="59"/>
        <v/>
      </c>
      <c r="P226" s="52" t="str">
        <f>IF(A225=$D$8,XIRR(R$24:R225,C$24:C225),"")</f>
        <v/>
      </c>
      <c r="Q226" s="15" t="str">
        <f t="shared" si="57"/>
        <v/>
      </c>
      <c r="R226" s="144">
        <f t="shared" ca="1" si="53"/>
        <v>41055.931604305733</v>
      </c>
      <c r="S226" s="168">
        <f t="shared" ca="1" si="54"/>
        <v>2038</v>
      </c>
      <c r="T226" s="168">
        <f t="shared" ca="1" si="55"/>
        <v>365</v>
      </c>
    </row>
    <row r="227" spans="1:20" x14ac:dyDescent="0.35">
      <c r="A227" s="13">
        <f t="shared" si="56"/>
        <v>203</v>
      </c>
      <c r="B227" s="50">
        <f t="shared" ca="1" si="52"/>
        <v>50568</v>
      </c>
      <c r="C227" s="50">
        <f t="shared" ca="1" si="58"/>
        <v>50568</v>
      </c>
      <c r="D227" s="13">
        <f t="shared" ca="1" si="47"/>
        <v>31</v>
      </c>
      <c r="E227" s="15">
        <f t="shared" ca="1" si="46"/>
        <v>1284555.1827180614</v>
      </c>
      <c r="F227" s="15">
        <f ca="1">IF(AND(A226="",A228=""),"",IF(A227="",SUM($F$25:F226),IF(A227=$D$8,$E$24-SUM($F$25:F226),$F$21-G227)))</f>
        <v>28675.583476971195</v>
      </c>
      <c r="G227" s="15">
        <f ca="1">IF(A226=$D$8,SUM($G$25:G226),IF(A226&gt;$D$8,"",E226*D227*$F$18/T226))</f>
        <v>12380.348127334539</v>
      </c>
      <c r="H227" s="15">
        <f ca="1">IF(A226=$D$8,SUM($H$25:H226),IF(A226="","",(G227+F227)))</f>
        <v>41055.931604305733</v>
      </c>
      <c r="I227" s="15" t="str">
        <f t="shared" si="48"/>
        <v/>
      </c>
      <c r="J227" s="15" t="str">
        <f t="shared" si="49"/>
        <v/>
      </c>
      <c r="K227" s="15"/>
      <c r="L227" s="15" t="str">
        <f t="shared" si="50"/>
        <v/>
      </c>
      <c r="M227" s="15" t="str">
        <f t="shared" si="51"/>
        <v/>
      </c>
      <c r="N227" s="144" t="str">
        <f t="shared" si="59"/>
        <v/>
      </c>
      <c r="P227" s="52" t="str">
        <f>IF(A226=$D$8,XIRR(R$24:R226,C$24:C226),"")</f>
        <v/>
      </c>
      <c r="Q227" s="15" t="str">
        <f t="shared" si="57"/>
        <v/>
      </c>
      <c r="R227" s="144">
        <f t="shared" ca="1" si="53"/>
        <v>41055.931604305733</v>
      </c>
      <c r="S227" s="168">
        <f t="shared" ca="1" si="54"/>
        <v>2038</v>
      </c>
      <c r="T227" s="168">
        <f t="shared" ca="1" si="55"/>
        <v>365</v>
      </c>
    </row>
    <row r="228" spans="1:20" x14ac:dyDescent="0.35">
      <c r="A228" s="13">
        <f t="shared" si="56"/>
        <v>204</v>
      </c>
      <c r="B228" s="50">
        <f t="shared" ca="1" si="52"/>
        <v>50598</v>
      </c>
      <c r="C228" s="50">
        <f t="shared" ca="1" si="58"/>
        <v>50598</v>
      </c>
      <c r="D228" s="13">
        <f t="shared" ca="1" si="47"/>
        <v>30</v>
      </c>
      <c r="E228" s="15">
        <f t="shared" ca="1" si="46"/>
        <v>1255218.6175752657</v>
      </c>
      <c r="F228" s="15">
        <f ca="1">IF(AND(A227="",A229=""),"",IF(A228="",SUM($F$25:F227),IF(A228=$D$8,$E$24-SUM($F$25:F227),$F$21-G228)))</f>
        <v>29336.565142795749</v>
      </c>
      <c r="G228" s="15">
        <f ca="1">IF(A227=$D$8,SUM($G$25:G227),IF(A227&gt;$D$8,"",E227*D228*$F$18/T227))</f>
        <v>11719.366461509984</v>
      </c>
      <c r="H228" s="15">
        <f ca="1">IF(A227=$D$8,SUM($H$25:H227),IF(A227="","",(G228+F228)))</f>
        <v>41055.931604305733</v>
      </c>
      <c r="I228" s="15" t="str">
        <f t="shared" si="48"/>
        <v/>
      </c>
      <c r="J228" s="15" t="str">
        <f t="shared" si="49"/>
        <v/>
      </c>
      <c r="K228" s="15"/>
      <c r="L228" s="15" t="str">
        <f t="shared" si="50"/>
        <v/>
      </c>
      <c r="M228" s="15" t="str">
        <f t="shared" si="51"/>
        <v/>
      </c>
      <c r="N228" s="144" t="str">
        <f t="shared" si="59"/>
        <v/>
      </c>
      <c r="P228" s="52" t="str">
        <f>IF(A227=$D$8,XIRR(R$24:R227,C$24:C227),"")</f>
        <v/>
      </c>
      <c r="Q228" s="15" t="str">
        <f t="shared" si="57"/>
        <v/>
      </c>
      <c r="R228" s="144">
        <f t="shared" ca="1" si="53"/>
        <v>41055.931604305733</v>
      </c>
      <c r="S228" s="168">
        <f t="shared" ca="1" si="54"/>
        <v>2038</v>
      </c>
      <c r="T228" s="168">
        <f t="shared" ca="1" si="55"/>
        <v>365</v>
      </c>
    </row>
    <row r="229" spans="1:20" x14ac:dyDescent="0.35">
      <c r="A229" s="13">
        <f t="shared" si="56"/>
        <v>205</v>
      </c>
      <c r="B229" s="50">
        <f t="shared" ca="1" si="52"/>
        <v>50629</v>
      </c>
      <c r="C229" s="50">
        <f t="shared" ca="1" si="58"/>
        <v>50629</v>
      </c>
      <c r="D229" s="13">
        <f t="shared" ca="1" si="47"/>
        <v>31</v>
      </c>
      <c r="E229" s="15">
        <f t="shared" ref="E229:E265" ca="1" si="60">IF(A229&gt;$D$8,"",E228-F229)</f>
        <v>1225996.1305273338</v>
      </c>
      <c r="F229" s="15">
        <f ca="1">IF(AND(A228="",A230=""),"",IF(A229="",SUM($F$25:F228),IF(A229=$D$8,$E$24-SUM($F$25:F228),$F$21-G229)))</f>
        <v>29222.487047931791</v>
      </c>
      <c r="G229" s="15">
        <f ca="1">IF(A228=$D$8,SUM($G$25:G228),IF(A228&gt;$D$8,"",E228*D229*$F$18/T228))</f>
        <v>11833.444556373945</v>
      </c>
      <c r="H229" s="15">
        <f ca="1">IF(A228=$D$8,SUM($H$25:H228),IF(A228="","",(G229+F229)))</f>
        <v>41055.931604305733</v>
      </c>
      <c r="I229" s="15" t="str">
        <f t="shared" si="48"/>
        <v/>
      </c>
      <c r="J229" s="15" t="str">
        <f t="shared" si="49"/>
        <v/>
      </c>
      <c r="K229" s="15">
        <f>IF($F$8&gt;204,($O$8+$O$10),IF($A$228=$F$8,$K$24*$G$8,""))</f>
        <v>17142.858</v>
      </c>
      <c r="L229" s="15" t="str">
        <f t="shared" si="50"/>
        <v/>
      </c>
      <c r="M229" s="15" t="str">
        <f t="shared" si="51"/>
        <v/>
      </c>
      <c r="N229" s="15">
        <f>IF($F$8&gt;204,($N$14),IF(A228=$F$8,N217+N205+N193+N181+N169+N157+N145+N133+N121+N109+N97+N85+N73+N61+N49+N37+N24,""))</f>
        <v>2500</v>
      </c>
      <c r="P229" s="52" t="str">
        <f>IF(A228=$D$8,XIRR(R$24:R228,C$24:C228),"")</f>
        <v/>
      </c>
      <c r="Q229" s="15" t="str">
        <f t="shared" si="57"/>
        <v/>
      </c>
      <c r="R229" s="144">
        <f t="shared" ca="1" si="53"/>
        <v>60698.789604305734</v>
      </c>
      <c r="S229" s="168">
        <f t="shared" ca="1" si="54"/>
        <v>2038</v>
      </c>
      <c r="T229" s="168">
        <f t="shared" ca="1" si="55"/>
        <v>365</v>
      </c>
    </row>
    <row r="230" spans="1:20" x14ac:dyDescent="0.35">
      <c r="A230" s="13">
        <f t="shared" si="56"/>
        <v>206</v>
      </c>
      <c r="B230" s="50">
        <f t="shared" ca="1" si="52"/>
        <v>50660</v>
      </c>
      <c r="C230" s="50">
        <f t="shared" ca="1" si="58"/>
        <v>50660</v>
      </c>
      <c r="D230" s="13">
        <f t="shared" ref="D230:D264" ca="1" si="61">IF(A230&gt;$D$8,"",C230-C229)</f>
        <v>31</v>
      </c>
      <c r="E230" s="15">
        <f t="shared" ca="1" si="60"/>
        <v>1196498.151485068</v>
      </c>
      <c r="F230" s="15">
        <f ca="1">IF(AND(A229="",A231=""),"",IF(A230="",SUM($F$25:F229),IF(A230=$D$8,$E$24-SUM($F$25:F229),$F$21-G230)))</f>
        <v>29497.979042265855</v>
      </c>
      <c r="G230" s="15">
        <f ca="1">IF(A229=$D$8,SUM($G$25:G229),IF(A229&gt;$D$8,"",E229*D230*$F$18/T229))</f>
        <v>11557.952562039878</v>
      </c>
      <c r="H230" s="15">
        <f ca="1">IF(A229=$D$8,SUM($H$25:H229),IF(A229="","",(G230+F230)))</f>
        <v>41055.931604305733</v>
      </c>
      <c r="I230" s="15" t="str">
        <f t="shared" ref="I230:I265" si="62">IF(A229=$F$8,$I$24,"")</f>
        <v/>
      </c>
      <c r="J230" s="15" t="str">
        <f t="shared" ref="J230:J265" si="63">IF(A229=$F$8,$J$24,"")</f>
        <v/>
      </c>
      <c r="K230" s="15"/>
      <c r="L230" s="15" t="str">
        <f t="shared" ref="L230:L265" si="64">IF(A229=$F$8,$L$24,"")</f>
        <v/>
      </c>
      <c r="M230" s="15" t="str">
        <f t="shared" ref="M230:M265" si="65">IF(A229=$F$8,$M$24,"")</f>
        <v/>
      </c>
      <c r="N230" s="144" t="str">
        <f t="shared" si="59"/>
        <v/>
      </c>
      <c r="P230" s="52" t="str">
        <f>IF(A229=$D$8,XIRR(R$24:R229,C$24:C229),"")</f>
        <v/>
      </c>
      <c r="Q230" s="15" t="str">
        <f t="shared" si="57"/>
        <v/>
      </c>
      <c r="R230" s="144">
        <f t="shared" ca="1" si="53"/>
        <v>41055.931604305733</v>
      </c>
      <c r="S230" s="168">
        <f t="shared" ca="1" si="54"/>
        <v>2038</v>
      </c>
      <c r="T230" s="168">
        <f t="shared" ca="1" si="55"/>
        <v>365</v>
      </c>
    </row>
    <row r="231" spans="1:20" x14ac:dyDescent="0.35">
      <c r="A231" s="13">
        <f t="shared" si="56"/>
        <v>207</v>
      </c>
      <c r="B231" s="50">
        <f t="shared" ca="1" si="52"/>
        <v>50690</v>
      </c>
      <c r="C231" s="50">
        <f t="shared" ca="1" si="58"/>
        <v>50690</v>
      </c>
      <c r="D231" s="13">
        <f t="shared" ca="1" si="61"/>
        <v>30</v>
      </c>
      <c r="E231" s="15">
        <f t="shared" ca="1" si="60"/>
        <v>1166358.216714859</v>
      </c>
      <c r="F231" s="15">
        <f ca="1">IF(AND(A230="",A232=""),"",IF(A231="",SUM($F$25:F230),IF(A231=$D$8,$E$24-SUM($F$25:F230),$F$21-G231)))</f>
        <v>30139.934770209082</v>
      </c>
      <c r="G231" s="15">
        <f ca="1">IF(A230=$D$8,SUM($G$25:G230),IF(A230&gt;$D$8,"",E230*D231*$F$18/T230))</f>
        <v>10915.99683409665</v>
      </c>
      <c r="H231" s="15">
        <f ca="1">IF(A230=$D$8,SUM($H$25:H230),IF(A230="","",(G231+F231)))</f>
        <v>41055.931604305733</v>
      </c>
      <c r="I231" s="15" t="str">
        <f t="shared" si="62"/>
        <v/>
      </c>
      <c r="J231" s="15" t="str">
        <f t="shared" si="63"/>
        <v/>
      </c>
      <c r="K231" s="15"/>
      <c r="L231" s="15" t="str">
        <f t="shared" si="64"/>
        <v/>
      </c>
      <c r="M231" s="15" t="str">
        <f t="shared" si="65"/>
        <v/>
      </c>
      <c r="N231" s="144" t="str">
        <f t="shared" si="59"/>
        <v/>
      </c>
      <c r="P231" s="52" t="str">
        <f>IF(A230=$D$8,XIRR(R$24:R230,C$24:C230),"")</f>
        <v/>
      </c>
      <c r="Q231" s="15" t="str">
        <f t="shared" si="57"/>
        <v/>
      </c>
      <c r="R231" s="144">
        <f t="shared" ca="1" si="53"/>
        <v>41055.931604305733</v>
      </c>
      <c r="S231" s="168">
        <f t="shared" ca="1" si="54"/>
        <v>2038</v>
      </c>
      <c r="T231" s="168">
        <f t="shared" ca="1" si="55"/>
        <v>365</v>
      </c>
    </row>
    <row r="232" spans="1:20" x14ac:dyDescent="0.35">
      <c r="A232" s="13">
        <f t="shared" si="56"/>
        <v>208</v>
      </c>
      <c r="B232" s="50">
        <f t="shared" ca="1" si="52"/>
        <v>50721</v>
      </c>
      <c r="C232" s="50">
        <f t="shared" ca="1" si="58"/>
        <v>50721</v>
      </c>
      <c r="D232" s="13">
        <f t="shared" ca="1" si="61"/>
        <v>31</v>
      </c>
      <c r="E232" s="15">
        <f t="shared" ca="1" si="60"/>
        <v>1136298.007367309</v>
      </c>
      <c r="F232" s="15">
        <f ca="1">IF(AND(A231="",A233=""),"",IF(A232="",SUM($F$25:F231),IF(A232=$D$8,$E$24-SUM($F$25:F231),$F$21-G232)))</f>
        <v>30060.209347550037</v>
      </c>
      <c r="G232" s="15">
        <f ca="1">IF(A231=$D$8,SUM($G$25:G231),IF(A231&gt;$D$8,"",E231*D232*$F$18/T231))</f>
        <v>10995.722256755698</v>
      </c>
      <c r="H232" s="15">
        <f ca="1">IF(A231=$D$8,SUM($H$25:H231),IF(A231="","",(G232+F232)))</f>
        <v>41055.931604305733</v>
      </c>
      <c r="I232" s="15" t="str">
        <f t="shared" si="62"/>
        <v/>
      </c>
      <c r="J232" s="15" t="str">
        <f t="shared" si="63"/>
        <v/>
      </c>
      <c r="K232" s="15"/>
      <c r="L232" s="15" t="str">
        <f t="shared" si="64"/>
        <v/>
      </c>
      <c r="M232" s="15" t="str">
        <f t="shared" si="65"/>
        <v/>
      </c>
      <c r="N232" s="144" t="str">
        <f t="shared" si="59"/>
        <v/>
      </c>
      <c r="P232" s="52" t="str">
        <f>IF(A231=$D$8,XIRR(R$24:R231,C$24:C231),"")</f>
        <v/>
      </c>
      <c r="Q232" s="15" t="str">
        <f t="shared" si="57"/>
        <v/>
      </c>
      <c r="R232" s="144">
        <f t="shared" ca="1" si="53"/>
        <v>41055.931604305733</v>
      </c>
      <c r="S232" s="168">
        <f t="shared" ca="1" si="54"/>
        <v>2038</v>
      </c>
      <c r="T232" s="168">
        <f t="shared" ca="1" si="55"/>
        <v>365</v>
      </c>
    </row>
    <row r="233" spans="1:20" x14ac:dyDescent="0.35">
      <c r="A233" s="13">
        <f t="shared" si="56"/>
        <v>209</v>
      </c>
      <c r="B233" s="50">
        <f t="shared" ca="1" si="52"/>
        <v>50751</v>
      </c>
      <c r="C233" s="50">
        <f t="shared" ca="1" si="58"/>
        <v>50751</v>
      </c>
      <c r="D233" s="13">
        <f t="shared" ca="1" si="61"/>
        <v>30</v>
      </c>
      <c r="E233" s="15">
        <f t="shared" ca="1" si="60"/>
        <v>1105608.8493644639</v>
      </c>
      <c r="F233" s="15">
        <f ca="1">IF(AND(A232="",A234=""),"",IF(A233="",SUM($F$25:F232),IF(A233=$D$8,$E$24-SUM($F$25:F232),$F$21-G233)))</f>
        <v>30689.158002845077</v>
      </c>
      <c r="G233" s="15">
        <f ca="1">IF(A232=$D$8,SUM($G$25:G232),IF(A232&gt;$D$8,"",E232*D233*$F$18/T232))</f>
        <v>10366.773601460654</v>
      </c>
      <c r="H233" s="15">
        <f ca="1">IF(A232=$D$8,SUM($H$25:H232),IF(A232="","",(G233+F233)))</f>
        <v>41055.931604305733</v>
      </c>
      <c r="I233" s="15" t="str">
        <f t="shared" si="62"/>
        <v/>
      </c>
      <c r="J233" s="15" t="str">
        <f t="shared" si="63"/>
        <v/>
      </c>
      <c r="K233" s="15"/>
      <c r="L233" s="15" t="str">
        <f t="shared" si="64"/>
        <v/>
      </c>
      <c r="M233" s="15" t="str">
        <f t="shared" si="65"/>
        <v/>
      </c>
      <c r="N233" s="144" t="str">
        <f t="shared" si="59"/>
        <v/>
      </c>
      <c r="P233" s="52" t="str">
        <f>IF(A232=$D$8,XIRR(R$24:R232,C$24:C232),"")</f>
        <v/>
      </c>
      <c r="Q233" s="15" t="str">
        <f t="shared" si="57"/>
        <v/>
      </c>
      <c r="R233" s="144">
        <f t="shared" ca="1" si="53"/>
        <v>41055.931604305733</v>
      </c>
      <c r="S233" s="168">
        <f t="shared" ca="1" si="54"/>
        <v>2038</v>
      </c>
      <c r="T233" s="168">
        <f t="shared" ca="1" si="55"/>
        <v>365</v>
      </c>
    </row>
    <row r="234" spans="1:20" x14ac:dyDescent="0.35">
      <c r="A234" s="13">
        <f t="shared" si="56"/>
        <v>210</v>
      </c>
      <c r="B234" s="50">
        <f t="shared" ca="1" si="52"/>
        <v>50782</v>
      </c>
      <c r="C234" s="50">
        <f t="shared" ca="1" si="58"/>
        <v>50782</v>
      </c>
      <c r="D234" s="13">
        <f t="shared" ca="1" si="61"/>
        <v>31</v>
      </c>
      <c r="E234" s="15">
        <f t="shared" ca="1" si="60"/>
        <v>1074975.9315975914</v>
      </c>
      <c r="F234" s="15">
        <f ca="1">IF(AND(A233="",A235=""),"",IF(A234="",SUM($F$25:F233),IF(A234=$D$8,$E$24-SUM($F$25:F233),$F$21-G234)))</f>
        <v>30632.917766872528</v>
      </c>
      <c r="G234" s="15">
        <f ca="1">IF(A233=$D$8,SUM($G$25:G233),IF(A233&gt;$D$8,"",E233*D234*$F$18/T233))</f>
        <v>10423.013837433205</v>
      </c>
      <c r="H234" s="15">
        <f ca="1">IF(A233=$D$8,SUM($H$25:H233),IF(A233="","",(G234+F234)))</f>
        <v>41055.931604305733</v>
      </c>
      <c r="I234" s="15" t="str">
        <f t="shared" si="62"/>
        <v/>
      </c>
      <c r="J234" s="15" t="str">
        <f t="shared" si="63"/>
        <v/>
      </c>
      <c r="K234" s="15"/>
      <c r="L234" s="15" t="str">
        <f t="shared" si="64"/>
        <v/>
      </c>
      <c r="M234" s="15" t="str">
        <f t="shared" si="65"/>
        <v/>
      </c>
      <c r="N234" s="144" t="str">
        <f t="shared" si="59"/>
        <v/>
      </c>
      <c r="P234" s="52" t="str">
        <f>IF(A233=$D$8,XIRR(R$24:R233,C$24:C233),"")</f>
        <v/>
      </c>
      <c r="Q234" s="15" t="str">
        <f t="shared" si="57"/>
        <v/>
      </c>
      <c r="R234" s="144">
        <f t="shared" ca="1" si="53"/>
        <v>41055.931604305733</v>
      </c>
      <c r="S234" s="168">
        <f t="shared" ca="1" si="54"/>
        <v>2039</v>
      </c>
      <c r="T234" s="168">
        <f t="shared" ca="1" si="55"/>
        <v>365</v>
      </c>
    </row>
    <row r="235" spans="1:20" x14ac:dyDescent="0.35">
      <c r="A235" s="13">
        <f t="shared" si="56"/>
        <v>211</v>
      </c>
      <c r="B235" s="50">
        <f t="shared" ca="1" si="52"/>
        <v>50813</v>
      </c>
      <c r="C235" s="50">
        <f t="shared" ca="1" si="58"/>
        <v>50813</v>
      </c>
      <c r="D235" s="13">
        <f t="shared" ca="1" si="61"/>
        <v>31</v>
      </c>
      <c r="E235" s="15">
        <f t="shared" ca="1" si="60"/>
        <v>1044054.2251456892</v>
      </c>
      <c r="F235" s="15">
        <f ca="1">IF(AND(A234="",A236=""),"",IF(A235="",SUM($F$25:F234),IF(A235=$D$8,$E$24-SUM($F$25:F234),$F$21-G235)))</f>
        <v>30921.706451902137</v>
      </c>
      <c r="G235" s="15">
        <f ca="1">IF(A234=$D$8,SUM($G$25:G234),IF(A234&gt;$D$8,"",E234*D235*$F$18/T234))</f>
        <v>10134.225152403595</v>
      </c>
      <c r="H235" s="15">
        <f ca="1">IF(A234=$D$8,SUM($H$25:H234),IF(A234="","",(G235+F235)))</f>
        <v>41055.931604305733</v>
      </c>
      <c r="I235" s="15" t="str">
        <f t="shared" si="62"/>
        <v/>
      </c>
      <c r="J235" s="15" t="str">
        <f t="shared" si="63"/>
        <v/>
      </c>
      <c r="K235" s="15"/>
      <c r="L235" s="15" t="str">
        <f t="shared" si="64"/>
        <v/>
      </c>
      <c r="M235" s="15" t="str">
        <f t="shared" si="65"/>
        <v/>
      </c>
      <c r="N235" s="144" t="str">
        <f t="shared" si="59"/>
        <v/>
      </c>
      <c r="P235" s="52" t="str">
        <f>IF(A234=$D$8,XIRR(R$24:R234,C$24:C234),"")</f>
        <v/>
      </c>
      <c r="Q235" s="15" t="str">
        <f t="shared" si="57"/>
        <v/>
      </c>
      <c r="R235" s="144">
        <f t="shared" ca="1" si="53"/>
        <v>41055.931604305733</v>
      </c>
      <c r="S235" s="168">
        <f t="shared" ca="1" si="54"/>
        <v>2039</v>
      </c>
      <c r="T235" s="168">
        <f t="shared" ca="1" si="55"/>
        <v>365</v>
      </c>
    </row>
    <row r="236" spans="1:20" x14ac:dyDescent="0.35">
      <c r="A236" s="13">
        <f t="shared" si="56"/>
        <v>212</v>
      </c>
      <c r="B236" s="50">
        <f t="shared" ca="1" si="52"/>
        <v>50841</v>
      </c>
      <c r="C236" s="50">
        <f t="shared" ca="1" si="58"/>
        <v>50841</v>
      </c>
      <c r="D236" s="13">
        <f t="shared" ca="1" si="61"/>
        <v>28</v>
      </c>
      <c r="E236" s="15">
        <f t="shared" ca="1" si="60"/>
        <v>1011888.4867790624</v>
      </c>
      <c r="F236" s="15">
        <f ca="1">IF(AND(A235="",A237=""),"",IF(A236="",SUM($F$25:F235),IF(A236=$D$8,$E$24-SUM($F$25:F235),$F$21-G236)))</f>
        <v>32165.738366626822</v>
      </c>
      <c r="G236" s="15">
        <f ca="1">IF(A235=$D$8,SUM($G$25:G235),IF(A235&gt;$D$8,"",E235*D236*$F$18/T235))</f>
        <v>8890.19323767891</v>
      </c>
      <c r="H236" s="15">
        <f ca="1">IF(A235=$D$8,SUM($H$25:H235),IF(A235="","",(G236+F236)))</f>
        <v>41055.931604305733</v>
      </c>
      <c r="I236" s="15" t="str">
        <f t="shared" si="62"/>
        <v/>
      </c>
      <c r="J236" s="15" t="str">
        <f t="shared" si="63"/>
        <v/>
      </c>
      <c r="K236" s="15"/>
      <c r="L236" s="15" t="str">
        <f t="shared" si="64"/>
        <v/>
      </c>
      <c r="M236" s="15" t="str">
        <f t="shared" si="65"/>
        <v/>
      </c>
      <c r="N236" s="144" t="str">
        <f t="shared" si="59"/>
        <v/>
      </c>
      <c r="P236" s="52" t="str">
        <f>IF(A235=$D$8,XIRR(R$24:R235,C$24:C235),"")</f>
        <v/>
      </c>
      <c r="Q236" s="15" t="str">
        <f t="shared" si="57"/>
        <v/>
      </c>
      <c r="R236" s="144">
        <f t="shared" ca="1" si="53"/>
        <v>41055.931604305733</v>
      </c>
      <c r="S236" s="168">
        <f t="shared" ca="1" si="54"/>
        <v>2039</v>
      </c>
      <c r="T236" s="168">
        <f t="shared" ca="1" si="55"/>
        <v>365</v>
      </c>
    </row>
    <row r="237" spans="1:20" x14ac:dyDescent="0.35">
      <c r="A237" s="13">
        <f t="shared" si="56"/>
        <v>213</v>
      </c>
      <c r="B237" s="50">
        <f t="shared" ca="1" si="52"/>
        <v>50872</v>
      </c>
      <c r="C237" s="50">
        <f t="shared" ca="1" si="58"/>
        <v>50872</v>
      </c>
      <c r="D237" s="13">
        <f t="shared" ca="1" si="61"/>
        <v>31</v>
      </c>
      <c r="E237" s="15">
        <f t="shared" ca="1" si="60"/>
        <v>980372.02992272039</v>
      </c>
      <c r="F237" s="15">
        <f ca="1">IF(AND(A236="",A238=""),"",IF(A237="",SUM($F$25:F236),IF(A237=$D$8,$E$24-SUM($F$25:F236),$F$21-G237)))</f>
        <v>31516.456856342025</v>
      </c>
      <c r="G237" s="15">
        <f ca="1">IF(A236=$D$8,SUM($G$25:G236),IF(A236&gt;$D$8,"",E236*D237*$F$18/T236))</f>
        <v>9539.4747479637081</v>
      </c>
      <c r="H237" s="15">
        <f ca="1">IF(A236=$D$8,SUM($H$25:H236),IF(A236="","",(G237+F237)))</f>
        <v>41055.931604305733</v>
      </c>
      <c r="I237" s="15" t="str">
        <f t="shared" si="62"/>
        <v/>
      </c>
      <c r="J237" s="15" t="str">
        <f t="shared" si="63"/>
        <v/>
      </c>
      <c r="K237" s="15"/>
      <c r="L237" s="15" t="str">
        <f t="shared" si="64"/>
        <v/>
      </c>
      <c r="M237" s="15" t="str">
        <f t="shared" si="65"/>
        <v/>
      </c>
      <c r="N237" s="144" t="str">
        <f t="shared" si="59"/>
        <v/>
      </c>
      <c r="P237" s="52" t="str">
        <f>IF(A236=$D$8,XIRR(R$24:R236,C$24:C236),"")</f>
        <v/>
      </c>
      <c r="Q237" s="15" t="str">
        <f t="shared" si="57"/>
        <v/>
      </c>
      <c r="R237" s="144">
        <f t="shared" ca="1" si="53"/>
        <v>41055.931604305733</v>
      </c>
      <c r="S237" s="168">
        <f t="shared" ca="1" si="54"/>
        <v>2039</v>
      </c>
      <c r="T237" s="168">
        <f t="shared" ca="1" si="55"/>
        <v>365</v>
      </c>
    </row>
    <row r="238" spans="1:20" x14ac:dyDescent="0.35">
      <c r="A238" s="13">
        <f t="shared" si="56"/>
        <v>214</v>
      </c>
      <c r="B238" s="50">
        <f t="shared" ref="B238:B264" ca="1" si="66">EDATE($B$24,A238)</f>
        <v>50902</v>
      </c>
      <c r="C238" s="50">
        <f t="shared" ca="1" si="58"/>
        <v>50902</v>
      </c>
      <c r="D238" s="13">
        <f t="shared" ca="1" si="61"/>
        <v>30</v>
      </c>
      <c r="E238" s="15">
        <f t="shared" ca="1" si="60"/>
        <v>948260.3143722302</v>
      </c>
      <c r="F238" s="15">
        <f ca="1">IF(AND(A237="",A239=""),"",IF(A238="",SUM($F$25:F237),IF(A238=$D$8,$E$24-SUM($F$25:F237),$F$21-G238)))</f>
        <v>32111.715550490229</v>
      </c>
      <c r="G238" s="15">
        <f ca="1">IF(A237=$D$8,SUM($G$25:G237),IF(A237&gt;$D$8,"",E237*D238*$F$18/T237))</f>
        <v>8944.216053815504</v>
      </c>
      <c r="H238" s="15">
        <f ca="1">IF(A237=$D$8,SUM($H$25:H237),IF(A237="","",(G238+F238)))</f>
        <v>41055.931604305733</v>
      </c>
      <c r="I238" s="15" t="str">
        <f t="shared" si="62"/>
        <v/>
      </c>
      <c r="J238" s="15" t="str">
        <f t="shared" si="63"/>
        <v/>
      </c>
      <c r="K238" s="15"/>
      <c r="L238" s="15" t="str">
        <f t="shared" si="64"/>
        <v/>
      </c>
      <c r="M238" s="15" t="str">
        <f t="shared" si="65"/>
        <v/>
      </c>
      <c r="N238" s="144" t="str">
        <f t="shared" si="59"/>
        <v/>
      </c>
      <c r="P238" s="52" t="str">
        <f>IF(A237=$D$8,XIRR(R$24:R237,C$24:C237),"")</f>
        <v/>
      </c>
      <c r="Q238" s="15" t="str">
        <f t="shared" si="57"/>
        <v/>
      </c>
      <c r="R238" s="144">
        <f t="shared" ca="1" si="53"/>
        <v>41055.931604305733</v>
      </c>
      <c r="S238" s="168">
        <f t="shared" ca="1" si="54"/>
        <v>2039</v>
      </c>
      <c r="T238" s="168">
        <f t="shared" ca="1" si="55"/>
        <v>365</v>
      </c>
    </row>
    <row r="239" spans="1:20" x14ac:dyDescent="0.35">
      <c r="A239" s="13">
        <f t="shared" si="56"/>
        <v>215</v>
      </c>
      <c r="B239" s="50">
        <f t="shared" ca="1" si="66"/>
        <v>50933</v>
      </c>
      <c r="C239" s="50">
        <f t="shared" ca="1" si="58"/>
        <v>50933</v>
      </c>
      <c r="D239" s="13">
        <f t="shared" ca="1" si="61"/>
        <v>31</v>
      </c>
      <c r="E239" s="15">
        <f t="shared" ca="1" si="60"/>
        <v>916144.00945766375</v>
      </c>
      <c r="F239" s="15">
        <f ca="1">IF(AND(A238="",A240=""),"",IF(A239="",SUM($F$25:F238),IF(A239=$D$8,$E$24-SUM($F$25:F238),$F$21-G239)))</f>
        <v>32116.304914566434</v>
      </c>
      <c r="G239" s="15">
        <f ca="1">IF(A238=$D$8,SUM($G$25:G238),IF(A238&gt;$D$8,"",E238*D239*$F$18/T238))</f>
        <v>8939.6266897392998</v>
      </c>
      <c r="H239" s="15">
        <f ca="1">IF(A238=$D$8,SUM($H$25:H238),IF(A238="","",(G239+F239)))</f>
        <v>41055.931604305733</v>
      </c>
      <c r="I239" s="15" t="str">
        <f t="shared" si="62"/>
        <v/>
      </c>
      <c r="J239" s="15" t="str">
        <f t="shared" si="63"/>
        <v/>
      </c>
      <c r="K239" s="15"/>
      <c r="L239" s="15" t="str">
        <f t="shared" si="64"/>
        <v/>
      </c>
      <c r="M239" s="15" t="str">
        <f t="shared" si="65"/>
        <v/>
      </c>
      <c r="N239" s="144" t="str">
        <f t="shared" si="59"/>
        <v/>
      </c>
      <c r="P239" s="52" t="str">
        <f>IF(A238=$D$8,XIRR(R$24:R238,C$24:C238),"")</f>
        <v/>
      </c>
      <c r="Q239" s="15" t="str">
        <f t="shared" si="57"/>
        <v/>
      </c>
      <c r="R239" s="144">
        <f t="shared" ca="1" si="53"/>
        <v>41055.931604305733</v>
      </c>
      <c r="S239" s="168">
        <f t="shared" ca="1" si="54"/>
        <v>2039</v>
      </c>
      <c r="T239" s="168">
        <f t="shared" ca="1" si="55"/>
        <v>365</v>
      </c>
    </row>
    <row r="240" spans="1:20" x14ac:dyDescent="0.35">
      <c r="A240" s="13">
        <f t="shared" si="56"/>
        <v>216</v>
      </c>
      <c r="B240" s="50">
        <f t="shared" ca="1" si="66"/>
        <v>50963</v>
      </c>
      <c r="C240" s="50">
        <f t="shared" ca="1" si="58"/>
        <v>50963</v>
      </c>
      <c r="D240" s="13">
        <f t="shared" ca="1" si="61"/>
        <v>30</v>
      </c>
      <c r="E240" s="15">
        <f t="shared" ca="1" si="60"/>
        <v>883446.32319991698</v>
      </c>
      <c r="F240" s="15">
        <f ca="1">IF(AND(A239="",A241=""),"",IF(A240="",SUM($F$25:F239),IF(A240=$D$8,$E$24-SUM($F$25:F239),$F$21-G240)))</f>
        <v>32697.686257746776</v>
      </c>
      <c r="G240" s="15">
        <f ca="1">IF(A239=$D$8,SUM($G$25:G239),IF(A239&gt;$D$8,"",E239*D240*$F$18/T239))</f>
        <v>8358.2453465589588</v>
      </c>
      <c r="H240" s="15">
        <f ca="1">IF(A239=$D$8,SUM($H$25:H239),IF(A239="","",(G240+F240)))</f>
        <v>41055.931604305733</v>
      </c>
      <c r="I240" s="15" t="str">
        <f t="shared" si="62"/>
        <v/>
      </c>
      <c r="J240" s="15" t="str">
        <f t="shared" si="63"/>
        <v/>
      </c>
      <c r="K240" s="15"/>
      <c r="L240" s="15" t="str">
        <f t="shared" si="64"/>
        <v/>
      </c>
      <c r="M240" s="15" t="str">
        <f t="shared" si="65"/>
        <v/>
      </c>
      <c r="N240" s="144" t="str">
        <f t="shared" si="59"/>
        <v/>
      </c>
      <c r="P240" s="52" t="str">
        <f>IF(A239=$D$8,XIRR(R$24:R239,C$24:C239),"")</f>
        <v/>
      </c>
      <c r="Q240" s="15" t="str">
        <f t="shared" si="57"/>
        <v/>
      </c>
      <c r="R240" s="144">
        <f t="shared" ca="1" si="53"/>
        <v>41055.931604305733</v>
      </c>
      <c r="S240" s="168">
        <f t="shared" ca="1" si="54"/>
        <v>2039</v>
      </c>
      <c r="T240" s="168">
        <f t="shared" ca="1" si="55"/>
        <v>365</v>
      </c>
    </row>
    <row r="241" spans="1:20" x14ac:dyDescent="0.35">
      <c r="A241" s="13">
        <f t="shared" si="56"/>
        <v>217</v>
      </c>
      <c r="B241" s="50">
        <f t="shared" ca="1" si="66"/>
        <v>50994</v>
      </c>
      <c r="C241" s="50">
        <f t="shared" ca="1" si="58"/>
        <v>50994</v>
      </c>
      <c r="D241" s="13">
        <f t="shared" ca="1" si="61"/>
        <v>31</v>
      </c>
      <c r="E241" s="15">
        <f t="shared" ca="1" si="60"/>
        <v>850718.9910425453</v>
      </c>
      <c r="F241" s="15">
        <f ca="1">IF(AND(A240="",A242=""),"",IF(A241="",SUM($F$25:F240),IF(A241=$D$8,$E$24-SUM($F$25:F240),$F$21-G241)))</f>
        <v>32727.332157371718</v>
      </c>
      <c r="G241" s="15">
        <f ca="1">IF(A240=$D$8,SUM($G$25:G240),IF(A240&gt;$D$8,"",E240*D241*$F$18/T240))</f>
        <v>8328.599446934013</v>
      </c>
      <c r="H241" s="15">
        <f ca="1">IF(A240=$D$8,SUM($H$25:H240),IF(A240="","",(G241+F241)))</f>
        <v>41055.931604305733</v>
      </c>
      <c r="I241" s="15" t="str">
        <f t="shared" si="62"/>
        <v/>
      </c>
      <c r="J241" s="15" t="str">
        <f t="shared" si="63"/>
        <v/>
      </c>
      <c r="K241" s="15">
        <f>IF($F$8&gt;216,($O$8+$O$10),IF($A$240=$F$8,$K$24*$G$8,""))</f>
        <v>17142.858</v>
      </c>
      <c r="L241" s="15" t="str">
        <f t="shared" si="64"/>
        <v/>
      </c>
      <c r="M241" s="15" t="str">
        <f t="shared" si="65"/>
        <v/>
      </c>
      <c r="N241" s="15">
        <f>IF($F$8&gt;216,($N$14),IF(A240=$F$8,N229+N217+N205+N193+N181+N169+N157+N145+N133+N121+N109+N97+N85+N73+N61+N49+N37+N24,""))</f>
        <v>2500</v>
      </c>
      <c r="P241" s="52" t="str">
        <f>IF(A240=$D$8,XIRR(R$24:R240,C$24:C240),"")</f>
        <v/>
      </c>
      <c r="Q241" s="15" t="str">
        <f t="shared" si="57"/>
        <v/>
      </c>
      <c r="R241" s="144">
        <f t="shared" ca="1" si="53"/>
        <v>60698.789604305734</v>
      </c>
      <c r="S241" s="168">
        <f t="shared" ca="1" si="54"/>
        <v>2039</v>
      </c>
      <c r="T241" s="168">
        <f t="shared" ca="1" si="55"/>
        <v>365</v>
      </c>
    </row>
    <row r="242" spans="1:20" x14ac:dyDescent="0.35">
      <c r="A242" s="13">
        <f t="shared" si="56"/>
        <v>218</v>
      </c>
      <c r="B242" s="50">
        <f t="shared" ca="1" si="66"/>
        <v>51025</v>
      </c>
      <c r="C242" s="50">
        <f t="shared" ca="1" si="58"/>
        <v>51025</v>
      </c>
      <c r="D242" s="13">
        <f t="shared" ca="1" si="61"/>
        <v>31</v>
      </c>
      <c r="E242" s="15">
        <f t="shared" ca="1" si="60"/>
        <v>817683.12532365706</v>
      </c>
      <c r="F242" s="15">
        <f ca="1">IF(AND(A241="",A243=""),"",IF(A242="",SUM($F$25:F241),IF(A242=$D$8,$E$24-SUM($F$25:F241),$F$21-G242)))</f>
        <v>33035.865718888206</v>
      </c>
      <c r="G242" s="15">
        <f ca="1">IF(A241=$D$8,SUM($G$25:G241),IF(A241&gt;$D$8,"",E241*D242*$F$18/T241))</f>
        <v>8020.0658854175299</v>
      </c>
      <c r="H242" s="15">
        <f ca="1">IF(A241=$D$8,SUM($H$25:H241),IF(A241="","",(G242+F242)))</f>
        <v>41055.931604305733</v>
      </c>
      <c r="I242" s="15" t="str">
        <f t="shared" si="62"/>
        <v/>
      </c>
      <c r="J242" s="15" t="str">
        <f t="shared" si="63"/>
        <v/>
      </c>
      <c r="K242" s="15"/>
      <c r="L242" s="15" t="str">
        <f t="shared" si="64"/>
        <v/>
      </c>
      <c r="M242" s="15" t="str">
        <f t="shared" si="65"/>
        <v/>
      </c>
      <c r="N242" s="144" t="str">
        <f t="shared" si="59"/>
        <v/>
      </c>
      <c r="P242" s="52" t="str">
        <f>IF(A241=$D$8,XIRR(R$24:R241,C$24:C241),"")</f>
        <v/>
      </c>
      <c r="Q242" s="15" t="str">
        <f t="shared" si="57"/>
        <v/>
      </c>
      <c r="R242" s="144">
        <f t="shared" ca="1" si="53"/>
        <v>41055.931604305733</v>
      </c>
      <c r="S242" s="168">
        <f t="shared" ca="1" si="54"/>
        <v>2039</v>
      </c>
      <c r="T242" s="168">
        <f t="shared" ca="1" si="55"/>
        <v>365</v>
      </c>
    </row>
    <row r="243" spans="1:20" x14ac:dyDescent="0.35">
      <c r="A243" s="13">
        <f t="shared" si="56"/>
        <v>219</v>
      </c>
      <c r="B243" s="50">
        <f t="shared" ca="1" si="66"/>
        <v>51055</v>
      </c>
      <c r="C243" s="50">
        <f t="shared" ca="1" si="58"/>
        <v>51055</v>
      </c>
      <c r="D243" s="13">
        <f t="shared" ca="1" si="61"/>
        <v>30</v>
      </c>
      <c r="E243" s="15">
        <f t="shared" ca="1" si="60"/>
        <v>784087.15209559177</v>
      </c>
      <c r="F243" s="15">
        <f ca="1">IF(AND(A242="",A244=""),"",IF(A243="",SUM($F$25:F242),IF(A243=$D$8,$E$24-SUM($F$25:F242),$F$21-G243)))</f>
        <v>33595.973228065246</v>
      </c>
      <c r="G243" s="15">
        <f ca="1">IF(A242=$D$8,SUM($G$25:G242),IF(A242&gt;$D$8,"",E242*D243*$F$18/T242))</f>
        <v>7459.9583762404882</v>
      </c>
      <c r="H243" s="15">
        <f ca="1">IF(A242=$D$8,SUM($H$25:H242),IF(A242="","",(G243+F243)))</f>
        <v>41055.931604305733</v>
      </c>
      <c r="I243" s="15" t="str">
        <f t="shared" si="62"/>
        <v/>
      </c>
      <c r="J243" s="15" t="str">
        <f t="shared" si="63"/>
        <v/>
      </c>
      <c r="K243" s="15"/>
      <c r="L243" s="15" t="str">
        <f t="shared" si="64"/>
        <v/>
      </c>
      <c r="M243" s="15" t="str">
        <f t="shared" si="65"/>
        <v/>
      </c>
      <c r="N243" s="144" t="str">
        <f t="shared" si="59"/>
        <v/>
      </c>
      <c r="P243" s="52" t="str">
        <f>IF(A242=$D$8,XIRR(R$24:R242,C$24:C242),"")</f>
        <v/>
      </c>
      <c r="Q243" s="15" t="str">
        <f t="shared" si="57"/>
        <v/>
      </c>
      <c r="R243" s="144">
        <f t="shared" ca="1" si="53"/>
        <v>41055.931604305733</v>
      </c>
      <c r="S243" s="168">
        <f t="shared" ca="1" si="54"/>
        <v>2039</v>
      </c>
      <c r="T243" s="168">
        <f t="shared" ca="1" si="55"/>
        <v>365</v>
      </c>
    </row>
    <row r="244" spans="1:20" x14ac:dyDescent="0.35">
      <c r="A244" s="13">
        <f t="shared" si="56"/>
        <v>220</v>
      </c>
      <c r="B244" s="50">
        <f t="shared" ca="1" si="66"/>
        <v>51086</v>
      </c>
      <c r="C244" s="50">
        <f t="shared" ca="1" si="58"/>
        <v>51086</v>
      </c>
      <c r="D244" s="13">
        <f t="shared" ca="1" si="61"/>
        <v>31</v>
      </c>
      <c r="E244" s="15">
        <f t="shared" ca="1" si="60"/>
        <v>750423.12156076799</v>
      </c>
      <c r="F244" s="15">
        <f ca="1">IF(AND(A243="",A245=""),"",IF(A244="",SUM($F$25:F243),IF(A244=$D$8,$E$24-SUM($F$25:F243),$F$21-G244)))</f>
        <v>33664.030534823731</v>
      </c>
      <c r="G244" s="15">
        <f ca="1">IF(A243=$D$8,SUM($G$25:G243),IF(A243&gt;$D$8,"",E243*D244*$F$18/T243))</f>
        <v>7391.9010694820026</v>
      </c>
      <c r="H244" s="15">
        <f ca="1">IF(A243=$D$8,SUM($H$25:H243),IF(A243="","",(G244+F244)))</f>
        <v>41055.931604305733</v>
      </c>
      <c r="I244" s="15" t="str">
        <f t="shared" si="62"/>
        <v/>
      </c>
      <c r="J244" s="15" t="str">
        <f t="shared" si="63"/>
        <v/>
      </c>
      <c r="K244" s="15"/>
      <c r="L244" s="15" t="str">
        <f t="shared" si="64"/>
        <v/>
      </c>
      <c r="M244" s="15" t="str">
        <f t="shared" si="65"/>
        <v/>
      </c>
      <c r="N244" s="144" t="str">
        <f t="shared" si="59"/>
        <v/>
      </c>
      <c r="P244" s="52" t="str">
        <f>IF(A243=$D$8,XIRR(R$24:R243,C$24:C243),"")</f>
        <v/>
      </c>
      <c r="Q244" s="15" t="str">
        <f t="shared" si="57"/>
        <v/>
      </c>
      <c r="R244" s="144">
        <f t="shared" ca="1" si="53"/>
        <v>41055.931604305733</v>
      </c>
      <c r="S244" s="168">
        <f t="shared" ca="1" si="54"/>
        <v>2039</v>
      </c>
      <c r="T244" s="168">
        <f t="shared" ca="1" si="55"/>
        <v>365</v>
      </c>
    </row>
    <row r="245" spans="1:20" x14ac:dyDescent="0.35">
      <c r="A245" s="13">
        <f t="shared" si="56"/>
        <v>221</v>
      </c>
      <c r="B245" s="50">
        <f t="shared" ca="1" si="66"/>
        <v>51116</v>
      </c>
      <c r="C245" s="50">
        <f t="shared" ca="1" si="58"/>
        <v>51116</v>
      </c>
      <c r="D245" s="13">
        <f t="shared" ca="1" si="61"/>
        <v>30</v>
      </c>
      <c r="E245" s="15">
        <f t="shared" ca="1" si="60"/>
        <v>716213.51596960565</v>
      </c>
      <c r="F245" s="15">
        <f ca="1">IF(AND(A244="",A246=""),"",IF(A245="",SUM($F$25:F244),IF(A245=$D$8,$E$24-SUM($F$25:F244),$F$21-G245)))</f>
        <v>34209.60559116229</v>
      </c>
      <c r="G245" s="15">
        <f ca="1">IF(A244=$D$8,SUM($G$25:G244),IF(A244&gt;$D$8,"",E244*D245*$F$18/T244))</f>
        <v>6846.3260131434463</v>
      </c>
      <c r="H245" s="15">
        <f ca="1">IF(A244=$D$8,SUM($H$25:H244),IF(A244="","",(G245+F245)))</f>
        <v>41055.931604305733</v>
      </c>
      <c r="I245" s="15" t="str">
        <f t="shared" si="62"/>
        <v/>
      </c>
      <c r="J245" s="15" t="str">
        <f t="shared" si="63"/>
        <v/>
      </c>
      <c r="K245" s="15"/>
      <c r="L245" s="15" t="str">
        <f t="shared" si="64"/>
        <v/>
      </c>
      <c r="M245" s="15" t="str">
        <f t="shared" si="65"/>
        <v/>
      </c>
      <c r="N245" s="144" t="str">
        <f t="shared" si="59"/>
        <v/>
      </c>
      <c r="P245" s="52" t="str">
        <f>IF(A244=$D$8,XIRR(R$24:R244,C$24:C244),"")</f>
        <v/>
      </c>
      <c r="Q245" s="15" t="str">
        <f t="shared" si="57"/>
        <v/>
      </c>
      <c r="R245" s="144">
        <f t="shared" ca="1" si="53"/>
        <v>41055.931604305733</v>
      </c>
      <c r="S245" s="168">
        <f t="shared" ca="1" si="54"/>
        <v>2039</v>
      </c>
      <c r="T245" s="168">
        <f t="shared" ca="1" si="55"/>
        <v>365</v>
      </c>
    </row>
    <row r="246" spans="1:20" x14ac:dyDescent="0.35">
      <c r="A246" s="13">
        <f t="shared" si="56"/>
        <v>222</v>
      </c>
      <c r="B246" s="50">
        <f t="shared" ca="1" si="66"/>
        <v>51147</v>
      </c>
      <c r="C246" s="50">
        <f t="shared" ca="1" si="58"/>
        <v>51147</v>
      </c>
      <c r="D246" s="13">
        <f t="shared" ca="1" si="61"/>
        <v>31</v>
      </c>
      <c r="E246" s="15">
        <f t="shared" ca="1" si="60"/>
        <v>681909.61370352295</v>
      </c>
      <c r="F246" s="15">
        <f ca="1">IF(AND(A245="",A247=""),"",IF(A246="",SUM($F$25:F245),IF(A246=$D$8,$E$24-SUM($F$25:F245),$F$21-G246)))</f>
        <v>34303.902266082681</v>
      </c>
      <c r="G246" s="15">
        <f ca="1">IF(A245=$D$8,SUM($G$25:G245),IF(A245&gt;$D$8,"",E245*D246*$F$18/T245))</f>
        <v>6752.0293382230493</v>
      </c>
      <c r="H246" s="15">
        <f ca="1">IF(A245=$D$8,SUM($H$25:H245),IF(A245="","",(G246+F246)))</f>
        <v>41055.931604305733</v>
      </c>
      <c r="I246" s="15" t="str">
        <f t="shared" si="62"/>
        <v/>
      </c>
      <c r="J246" s="15" t="str">
        <f t="shared" si="63"/>
        <v/>
      </c>
      <c r="K246" s="15"/>
      <c r="L246" s="15" t="str">
        <f t="shared" si="64"/>
        <v/>
      </c>
      <c r="M246" s="15" t="str">
        <f t="shared" si="65"/>
        <v/>
      </c>
      <c r="N246" s="144" t="str">
        <f t="shared" si="59"/>
        <v/>
      </c>
      <c r="P246" s="52" t="str">
        <f>IF(A245=$D$8,XIRR(R$24:R245,C$24:C245),"")</f>
        <v/>
      </c>
      <c r="Q246" s="15" t="str">
        <f t="shared" si="57"/>
        <v/>
      </c>
      <c r="R246" s="144">
        <f t="shared" ca="1" si="53"/>
        <v>41055.931604305733</v>
      </c>
      <c r="S246" s="168">
        <f t="shared" ca="1" si="54"/>
        <v>2040</v>
      </c>
      <c r="T246" s="168">
        <f t="shared" ca="1" si="55"/>
        <v>366</v>
      </c>
    </row>
    <row r="247" spans="1:20" x14ac:dyDescent="0.35">
      <c r="A247" s="13">
        <f t="shared" si="56"/>
        <v>223</v>
      </c>
      <c r="B247" s="50">
        <f t="shared" ca="1" si="66"/>
        <v>51178</v>
      </c>
      <c r="C247" s="50">
        <f t="shared" ca="1" si="58"/>
        <v>51178</v>
      </c>
      <c r="D247" s="13">
        <f t="shared" ca="1" si="61"/>
        <v>31</v>
      </c>
      <c r="E247" s="15">
        <f t="shared" ca="1" si="60"/>
        <v>647264.75035264296</v>
      </c>
      <c r="F247" s="15">
        <f ca="1">IF(AND(A246="",A248=""),"",IF(A247="",SUM($F$25:F246),IF(A247=$D$8,$E$24-SUM($F$25:F246),$F$21-G247)))</f>
        <v>34644.86335087999</v>
      </c>
      <c r="G247" s="15">
        <f ca="1">IF(A246=$D$8,SUM($G$25:G246),IF(A246&gt;$D$8,"",E246*D247*$F$18/T246))</f>
        <v>6411.0682534257448</v>
      </c>
      <c r="H247" s="15">
        <f ca="1">IF(A246=$D$8,SUM($H$25:H246),IF(A246="","",(G247+F247)))</f>
        <v>41055.931604305733</v>
      </c>
      <c r="I247" s="15" t="str">
        <f t="shared" si="62"/>
        <v/>
      </c>
      <c r="J247" s="15" t="str">
        <f t="shared" si="63"/>
        <v/>
      </c>
      <c r="K247" s="15"/>
      <c r="L247" s="15" t="str">
        <f t="shared" si="64"/>
        <v/>
      </c>
      <c r="M247" s="15" t="str">
        <f t="shared" si="65"/>
        <v/>
      </c>
      <c r="N247" s="144" t="str">
        <f t="shared" si="59"/>
        <v/>
      </c>
      <c r="P247" s="52" t="str">
        <f>IF(A246=$D$8,XIRR(R$24:R246,C$24:C246),"")</f>
        <v/>
      </c>
      <c r="Q247" s="15" t="str">
        <f t="shared" si="57"/>
        <v/>
      </c>
      <c r="R247" s="144">
        <f t="shared" ca="1" si="53"/>
        <v>41055.931604305733</v>
      </c>
      <c r="S247" s="168">
        <f t="shared" ca="1" si="54"/>
        <v>2040</v>
      </c>
      <c r="T247" s="168">
        <f t="shared" ca="1" si="55"/>
        <v>366</v>
      </c>
    </row>
    <row r="248" spans="1:20" x14ac:dyDescent="0.35">
      <c r="A248" s="13">
        <f t="shared" si="56"/>
        <v>224</v>
      </c>
      <c r="B248" s="50">
        <f t="shared" ca="1" si="66"/>
        <v>51207</v>
      </c>
      <c r="C248" s="50">
        <f t="shared" ca="1" si="58"/>
        <v>51207</v>
      </c>
      <c r="D248" s="13">
        <f t="shared" ca="1" si="61"/>
        <v>29</v>
      </c>
      <c r="E248" s="15">
        <f t="shared" ca="1" si="60"/>
        <v>611901.56528217648</v>
      </c>
      <c r="F248" s="15">
        <f ca="1">IF(AND(A247="",A249=""),"",IF(A248="",SUM($F$25:F247),IF(A248=$D$8,$E$24-SUM($F$25:F247),$F$21-G248)))</f>
        <v>35363.185070466505</v>
      </c>
      <c r="G248" s="15">
        <f ca="1">IF(A247=$D$8,SUM($G$25:G247),IF(A247&gt;$D$8,"",E247*D248*$F$18/T247))</f>
        <v>5692.7465338392285</v>
      </c>
      <c r="H248" s="15">
        <f ca="1">IF(A247=$D$8,SUM($H$25:H247),IF(A247="","",(G248+F248)))</f>
        <v>41055.931604305733</v>
      </c>
      <c r="I248" s="15" t="str">
        <f t="shared" si="62"/>
        <v/>
      </c>
      <c r="J248" s="15" t="str">
        <f t="shared" si="63"/>
        <v/>
      </c>
      <c r="K248" s="15"/>
      <c r="L248" s="15" t="str">
        <f t="shared" si="64"/>
        <v/>
      </c>
      <c r="M248" s="15" t="str">
        <f t="shared" si="65"/>
        <v/>
      </c>
      <c r="N248" s="144" t="str">
        <f t="shared" si="59"/>
        <v/>
      </c>
      <c r="P248" s="52" t="str">
        <f>IF(A247=$D$8,XIRR(R$24:R247,C$24:C247),"")</f>
        <v/>
      </c>
      <c r="Q248" s="15" t="str">
        <f t="shared" si="57"/>
        <v/>
      </c>
      <c r="R248" s="144">
        <f t="shared" ca="1" si="53"/>
        <v>41055.931604305733</v>
      </c>
      <c r="S248" s="168">
        <f t="shared" ca="1" si="54"/>
        <v>2040</v>
      </c>
      <c r="T248" s="168">
        <f t="shared" ca="1" si="55"/>
        <v>366</v>
      </c>
    </row>
    <row r="249" spans="1:20" x14ac:dyDescent="0.35">
      <c r="A249" s="13">
        <f t="shared" si="56"/>
        <v>225</v>
      </c>
      <c r="B249" s="50">
        <f t="shared" ca="1" si="66"/>
        <v>51238</v>
      </c>
      <c r="C249" s="50">
        <f t="shared" ca="1" si="58"/>
        <v>51238</v>
      </c>
      <c r="D249" s="13">
        <f t="shared" ca="1" si="61"/>
        <v>31</v>
      </c>
      <c r="E249" s="15">
        <f t="shared" ca="1" si="60"/>
        <v>576598.5115088434</v>
      </c>
      <c r="F249" s="15">
        <f ca="1">IF(AND(A248="",A250=""),"",IF(A249="",SUM($F$25:F248),IF(A249=$D$8,$E$24-SUM($F$25:F248),$F$21-G249)))</f>
        <v>35303.053773333144</v>
      </c>
      <c r="G249" s="15">
        <f ca="1">IF(A248=$D$8,SUM($G$25:G248),IF(A248&gt;$D$8,"",E248*D249*$F$18/T248))</f>
        <v>5752.8778309725931</v>
      </c>
      <c r="H249" s="15">
        <f ca="1">IF(A248=$D$8,SUM($H$25:H248),IF(A248="","",(G249+F249)))</f>
        <v>41055.931604305733</v>
      </c>
      <c r="I249" s="15" t="str">
        <f t="shared" si="62"/>
        <v/>
      </c>
      <c r="J249" s="15" t="str">
        <f t="shared" si="63"/>
        <v/>
      </c>
      <c r="K249" s="15"/>
      <c r="L249" s="15" t="str">
        <f t="shared" si="64"/>
        <v/>
      </c>
      <c r="M249" s="15" t="str">
        <f t="shared" si="65"/>
        <v/>
      </c>
      <c r="N249" s="144" t="str">
        <f t="shared" si="59"/>
        <v/>
      </c>
      <c r="P249" s="52" t="str">
        <f>IF(A248=$D$8,XIRR(R$24:R248,C$24:C248),"")</f>
        <v/>
      </c>
      <c r="Q249" s="15" t="str">
        <f t="shared" si="57"/>
        <v/>
      </c>
      <c r="R249" s="144">
        <f t="shared" ca="1" si="53"/>
        <v>41055.931604305733</v>
      </c>
      <c r="S249" s="168">
        <f t="shared" ca="1" si="54"/>
        <v>2040</v>
      </c>
      <c r="T249" s="168">
        <f t="shared" ca="1" si="55"/>
        <v>366</v>
      </c>
    </row>
    <row r="250" spans="1:20" x14ac:dyDescent="0.35">
      <c r="A250" s="13">
        <f t="shared" si="56"/>
        <v>226</v>
      </c>
      <c r="B250" s="50">
        <f t="shared" ca="1" si="66"/>
        <v>51268</v>
      </c>
      <c r="C250" s="50">
        <f t="shared" ca="1" si="58"/>
        <v>51268</v>
      </c>
      <c r="D250" s="13">
        <f t="shared" ca="1" si="61"/>
        <v>30</v>
      </c>
      <c r="E250" s="15">
        <f t="shared" ca="1" si="60"/>
        <v>540788.68111580668</v>
      </c>
      <c r="F250" s="15">
        <f ca="1">IF(AND(A249="",A251=""),"",IF(A250="",SUM($F$25:F249),IF(A250=$D$8,$E$24-SUM($F$25:F249),$F$21-G250)))</f>
        <v>35809.830393036747</v>
      </c>
      <c r="G250" s="15">
        <f ca="1">IF(A249=$D$8,SUM($G$25:G249),IF(A249&gt;$D$8,"",E249*D250*$F$18/T249))</f>
        <v>5246.101211268985</v>
      </c>
      <c r="H250" s="15">
        <f ca="1">IF(A249=$D$8,SUM($H$25:H249),IF(A249="","",(G250+F250)))</f>
        <v>41055.931604305733</v>
      </c>
      <c r="I250" s="15" t="str">
        <f t="shared" si="62"/>
        <v/>
      </c>
      <c r="J250" s="15" t="str">
        <f t="shared" si="63"/>
        <v/>
      </c>
      <c r="K250" s="15"/>
      <c r="L250" s="15" t="str">
        <f t="shared" si="64"/>
        <v/>
      </c>
      <c r="M250" s="15" t="str">
        <f t="shared" si="65"/>
        <v/>
      </c>
      <c r="N250" s="144" t="str">
        <f t="shared" si="59"/>
        <v/>
      </c>
      <c r="P250" s="52" t="str">
        <f>IF(A249=$D$8,XIRR(R$24:R249,C$24:C249),"")</f>
        <v/>
      </c>
      <c r="Q250" s="15" t="str">
        <f t="shared" si="57"/>
        <v/>
      </c>
      <c r="R250" s="144">
        <f t="shared" ca="1" si="53"/>
        <v>41055.931604305733</v>
      </c>
      <c r="S250" s="168">
        <f t="shared" ca="1" si="54"/>
        <v>2040</v>
      </c>
      <c r="T250" s="168">
        <f t="shared" ca="1" si="55"/>
        <v>366</v>
      </c>
    </row>
    <row r="251" spans="1:20" x14ac:dyDescent="0.35">
      <c r="A251" s="13">
        <f t="shared" si="56"/>
        <v>227</v>
      </c>
      <c r="B251" s="50">
        <f t="shared" ca="1" si="66"/>
        <v>51299</v>
      </c>
      <c r="C251" s="50">
        <f t="shared" ca="1" si="58"/>
        <v>51299</v>
      </c>
      <c r="D251" s="13">
        <f t="shared" ca="1" si="61"/>
        <v>31</v>
      </c>
      <c r="E251" s="15">
        <f t="shared" ca="1" si="60"/>
        <v>504817.04965281102</v>
      </c>
      <c r="F251" s="15">
        <f ca="1">IF(AND(A250="",A252=""),"",IF(A251="",SUM($F$25:F250),IF(A251=$D$8,$E$24-SUM($F$25:F250),$F$21-G251)))</f>
        <v>35971.631462995647</v>
      </c>
      <c r="G251" s="15">
        <f ca="1">IF(A250=$D$8,SUM($G$25:G250),IF(A250&gt;$D$8,"",E250*D251*$F$18/T250))</f>
        <v>5084.3001413100847</v>
      </c>
      <c r="H251" s="15">
        <f ca="1">IF(A250=$D$8,SUM($H$25:H250),IF(A250="","",(G251+F251)))</f>
        <v>41055.931604305733</v>
      </c>
      <c r="I251" s="15" t="str">
        <f t="shared" si="62"/>
        <v/>
      </c>
      <c r="J251" s="15" t="str">
        <f t="shared" si="63"/>
        <v/>
      </c>
      <c r="K251" s="15"/>
      <c r="L251" s="15" t="str">
        <f t="shared" si="64"/>
        <v/>
      </c>
      <c r="M251" s="15" t="str">
        <f t="shared" si="65"/>
        <v/>
      </c>
      <c r="N251" s="144" t="str">
        <f t="shared" si="59"/>
        <v/>
      </c>
      <c r="P251" s="52" t="str">
        <f>IF(A250=$D$8,XIRR(R$24:R250,C$24:C250),"")</f>
        <v/>
      </c>
      <c r="Q251" s="15" t="str">
        <f t="shared" si="57"/>
        <v/>
      </c>
      <c r="R251" s="144">
        <f t="shared" ca="1" si="53"/>
        <v>41055.931604305733</v>
      </c>
      <c r="S251" s="168">
        <f t="shared" ca="1" si="54"/>
        <v>2040</v>
      </c>
      <c r="T251" s="168">
        <f t="shared" ca="1" si="55"/>
        <v>366</v>
      </c>
    </row>
    <row r="252" spans="1:20" x14ac:dyDescent="0.35">
      <c r="A252" s="13">
        <f t="shared" si="56"/>
        <v>228</v>
      </c>
      <c r="B252" s="50">
        <f t="shared" ca="1" si="66"/>
        <v>51329</v>
      </c>
      <c r="C252" s="50">
        <f t="shared" ca="1" si="58"/>
        <v>51329</v>
      </c>
      <c r="D252" s="13">
        <f t="shared" ca="1" si="61"/>
        <v>30</v>
      </c>
      <c r="E252" s="15">
        <f t="shared" ca="1" si="60"/>
        <v>468354.12563141203</v>
      </c>
      <c r="F252" s="15">
        <f ca="1">IF(AND(A251="",A253=""),"",IF(A252="",SUM($F$25:F251),IF(A252=$D$8,$E$24-SUM($F$25:F251),$F$21-G252)))</f>
        <v>36462.924021399012</v>
      </c>
      <c r="G252" s="15">
        <f ca="1">IF(A251=$D$8,SUM($G$25:G251),IF(A251&gt;$D$8,"",E251*D252*$F$18/T251))</f>
        <v>4593.0075829067237</v>
      </c>
      <c r="H252" s="15">
        <f ca="1">IF(A251=$D$8,SUM($H$25:H251),IF(A251="","",(G252+F252)))</f>
        <v>41055.931604305733</v>
      </c>
      <c r="I252" s="15" t="str">
        <f t="shared" si="62"/>
        <v/>
      </c>
      <c r="J252" s="15" t="str">
        <f t="shared" si="63"/>
        <v/>
      </c>
      <c r="K252" s="15"/>
      <c r="L252" s="15" t="str">
        <f t="shared" si="64"/>
        <v/>
      </c>
      <c r="M252" s="15" t="str">
        <f t="shared" si="65"/>
        <v/>
      </c>
      <c r="N252" s="144" t="str">
        <f t="shared" si="59"/>
        <v/>
      </c>
      <c r="P252" s="52" t="str">
        <f>IF(A251=$D$8,XIRR(R$24:R251,C$24:C251),"")</f>
        <v/>
      </c>
      <c r="Q252" s="15" t="str">
        <f t="shared" si="57"/>
        <v/>
      </c>
      <c r="R252" s="144">
        <f t="shared" ca="1" si="53"/>
        <v>41055.931604305733</v>
      </c>
      <c r="S252" s="168">
        <f t="shared" ca="1" si="54"/>
        <v>2040</v>
      </c>
      <c r="T252" s="168">
        <f t="shared" ca="1" si="55"/>
        <v>366</v>
      </c>
    </row>
    <row r="253" spans="1:20" x14ac:dyDescent="0.35">
      <c r="A253" s="13">
        <f t="shared" si="56"/>
        <v>229</v>
      </c>
      <c r="B253" s="50">
        <f t="shared" ca="1" si="66"/>
        <v>51360</v>
      </c>
      <c r="C253" s="50">
        <f t="shared" ca="1" si="58"/>
        <v>51360</v>
      </c>
      <c r="D253" s="13">
        <f t="shared" ca="1" si="61"/>
        <v>31</v>
      </c>
      <c r="E253" s="15">
        <f t="shared" ca="1" si="60"/>
        <v>431701.49060169014</v>
      </c>
      <c r="F253" s="15">
        <f ca="1">IF(AND(A252="",A254=""),"",IF(A253="",SUM($F$25:F252),IF(A253=$D$8,$E$24-SUM($F$25:F252),$F$21-G253)))</f>
        <v>36652.635029721881</v>
      </c>
      <c r="G253" s="15">
        <f ca="1">IF(A252=$D$8,SUM($G$25:G252),IF(A252&gt;$D$8,"",E252*D253*$F$18/T252))</f>
        <v>4403.2965745838492</v>
      </c>
      <c r="H253" s="15">
        <f ca="1">IF(A252=$D$8,SUM($H$25:H252),IF(A252="","",(G253+F253)))</f>
        <v>41055.931604305733</v>
      </c>
      <c r="I253" s="15" t="str">
        <f t="shared" si="62"/>
        <v/>
      </c>
      <c r="J253" s="15" t="str">
        <f t="shared" si="63"/>
        <v/>
      </c>
      <c r="K253" s="15">
        <f>IF($F$8&gt;228,($O$8+$O$10),IF($A$252=$F$8,$K$24*$G$8,""))</f>
        <v>17142.858</v>
      </c>
      <c r="L253" s="15" t="str">
        <f t="shared" si="64"/>
        <v/>
      </c>
      <c r="M253" s="15" t="str">
        <f t="shared" si="65"/>
        <v/>
      </c>
      <c r="N253" s="15">
        <f>IF($F$8&gt;228,($N$14),IF(A252=$F$8,N241+N229+N217+N205+N193+N181+N169+N157+N145+N133+N121+N109+N97+N85+N73+N61+N49+N37+N24,""))</f>
        <v>2500</v>
      </c>
      <c r="P253" s="52" t="str">
        <f>IF(A252=$D$8,XIRR(R$24:R252,C$24:C252),"")</f>
        <v/>
      </c>
      <c r="Q253" s="15" t="str">
        <f t="shared" si="57"/>
        <v/>
      </c>
      <c r="R253" s="144">
        <f t="shared" ca="1" si="53"/>
        <v>60698.789604305734</v>
      </c>
      <c r="S253" s="168">
        <f t="shared" ca="1" si="54"/>
        <v>2040</v>
      </c>
      <c r="T253" s="168">
        <f t="shared" ca="1" si="55"/>
        <v>366</v>
      </c>
    </row>
    <row r="254" spans="1:20" x14ac:dyDescent="0.35">
      <c r="A254" s="13">
        <f t="shared" si="56"/>
        <v>230</v>
      </c>
      <c r="B254" s="50">
        <f t="shared" ca="1" si="66"/>
        <v>51391</v>
      </c>
      <c r="C254" s="50">
        <f t="shared" ca="1" si="58"/>
        <v>51391</v>
      </c>
      <c r="D254" s="13">
        <f t="shared" ca="1" si="61"/>
        <v>31</v>
      </c>
      <c r="E254" s="15">
        <f t="shared" ca="1" si="60"/>
        <v>394704.26071640191</v>
      </c>
      <c r="F254" s="15">
        <f ca="1">IF(AND(A253="",A255=""),"",IF(A254="",SUM($F$25:F253),IF(A254=$D$8,$E$24-SUM($F$25:F253),$F$21-G254)))</f>
        <v>36997.229885288201</v>
      </c>
      <c r="G254" s="15">
        <f ca="1">IF(A253=$D$8,SUM($G$25:G253),IF(A253&gt;$D$8,"",E253*D254*$F$18/T253))</f>
        <v>4058.7017190175293</v>
      </c>
      <c r="H254" s="15">
        <f ca="1">IF(A253=$D$8,SUM($H$25:H253),IF(A253="","",(G254+F254)))</f>
        <v>41055.931604305733</v>
      </c>
      <c r="I254" s="15" t="str">
        <f t="shared" si="62"/>
        <v/>
      </c>
      <c r="J254" s="15" t="str">
        <f t="shared" si="63"/>
        <v/>
      </c>
      <c r="K254" s="15" t="str">
        <f t="shared" ref="K254:K264" si="67">IF(A253=$F$8,$K$24,"")</f>
        <v/>
      </c>
      <c r="L254" s="15" t="str">
        <f t="shared" si="64"/>
        <v/>
      </c>
      <c r="M254" s="15" t="str">
        <f t="shared" si="65"/>
        <v/>
      </c>
      <c r="N254" s="144" t="str">
        <f t="shared" si="59"/>
        <v/>
      </c>
      <c r="P254" s="52" t="str">
        <f>IF(A253=$D$8,XIRR(R$24:R253,C$24:C253),"")</f>
        <v/>
      </c>
      <c r="Q254" s="15" t="str">
        <f t="shared" si="57"/>
        <v/>
      </c>
      <c r="R254" s="144">
        <f t="shared" ca="1" si="53"/>
        <v>41055.931604305733</v>
      </c>
      <c r="S254" s="168">
        <f t="shared" ca="1" si="54"/>
        <v>2040</v>
      </c>
      <c r="T254" s="168">
        <f t="shared" ca="1" si="55"/>
        <v>366</v>
      </c>
    </row>
    <row r="255" spans="1:20" x14ac:dyDescent="0.35">
      <c r="A255" s="13">
        <f t="shared" si="56"/>
        <v>231</v>
      </c>
      <c r="B255" s="50">
        <f t="shared" ca="1" si="66"/>
        <v>51421</v>
      </c>
      <c r="C255" s="50">
        <f t="shared" ca="1" si="58"/>
        <v>51421</v>
      </c>
      <c r="D255" s="13">
        <f t="shared" ca="1" si="61"/>
        <v>30</v>
      </c>
      <c r="E255" s="15">
        <f t="shared" ca="1" si="60"/>
        <v>357239.4908284503</v>
      </c>
      <c r="F255" s="15">
        <f ca="1">IF(AND(A254="",A256=""),"",IF(A255="",SUM($F$25:F254),IF(A255=$D$8,$E$24-SUM($F$25:F254),$F$21-G255)))</f>
        <v>37464.769887951581</v>
      </c>
      <c r="G255" s="15">
        <f ca="1">IF(A254=$D$8,SUM($G$25:G254),IF(A254&gt;$D$8,"",E254*D255*$F$18/T254))</f>
        <v>3591.1617163541487</v>
      </c>
      <c r="H255" s="15">
        <f ca="1">IF(A254=$D$8,SUM($H$25:H254),IF(A254="","",(G255+F255)))</f>
        <v>41055.931604305733</v>
      </c>
      <c r="I255" s="15" t="str">
        <f t="shared" si="62"/>
        <v/>
      </c>
      <c r="J255" s="15" t="str">
        <f t="shared" si="63"/>
        <v/>
      </c>
      <c r="K255" s="15" t="str">
        <f t="shared" si="67"/>
        <v/>
      </c>
      <c r="L255" s="15" t="str">
        <f t="shared" si="64"/>
        <v/>
      </c>
      <c r="M255" s="15" t="str">
        <f t="shared" si="65"/>
        <v/>
      </c>
      <c r="N255" s="144" t="str">
        <f t="shared" si="59"/>
        <v/>
      </c>
      <c r="P255" s="52" t="str">
        <f>IF(A254=$D$8,XIRR(R$24:R254,C$24:C254),"")</f>
        <v/>
      </c>
      <c r="Q255" s="15" t="str">
        <f t="shared" si="57"/>
        <v/>
      </c>
      <c r="R255" s="144">
        <f t="shared" ca="1" si="53"/>
        <v>41055.931604305733</v>
      </c>
      <c r="S255" s="168">
        <f t="shared" ca="1" si="54"/>
        <v>2040</v>
      </c>
      <c r="T255" s="168">
        <f t="shared" ca="1" si="55"/>
        <v>366</v>
      </c>
    </row>
    <row r="256" spans="1:20" x14ac:dyDescent="0.35">
      <c r="A256" s="13">
        <f t="shared" si="56"/>
        <v>232</v>
      </c>
      <c r="B256" s="50">
        <f t="shared" ca="1" si="66"/>
        <v>51452</v>
      </c>
      <c r="C256" s="50">
        <f t="shared" ca="1" si="58"/>
        <v>51452</v>
      </c>
      <c r="D256" s="13">
        <f t="shared" ca="1" si="61"/>
        <v>31</v>
      </c>
      <c r="E256" s="15">
        <f t="shared" ca="1" si="60"/>
        <v>319542.19607644156</v>
      </c>
      <c r="F256" s="15">
        <f ca="1">IF(AND(A255="",A257=""),"",IF(A256="",SUM($F$25:F255),IF(A256=$D$8,$E$24-SUM($F$25:F255),$F$21-G256)))</f>
        <v>37697.294752008747</v>
      </c>
      <c r="G256" s="15">
        <f ca="1">IF(A255=$D$8,SUM($G$25:G255),IF(A255&gt;$D$8,"",E255*D256*$F$18/T255))</f>
        <v>3358.6368522969879</v>
      </c>
      <c r="H256" s="15">
        <f ca="1">IF(A255=$D$8,SUM($H$25:H255),IF(A255="","",(G256+F256)))</f>
        <v>41055.931604305733</v>
      </c>
      <c r="I256" s="15" t="str">
        <f t="shared" si="62"/>
        <v/>
      </c>
      <c r="J256" s="15" t="str">
        <f t="shared" si="63"/>
        <v/>
      </c>
      <c r="K256" s="15" t="str">
        <f t="shared" si="67"/>
        <v/>
      </c>
      <c r="L256" s="15" t="str">
        <f t="shared" si="64"/>
        <v/>
      </c>
      <c r="M256" s="15" t="str">
        <f t="shared" si="65"/>
        <v/>
      </c>
      <c r="N256" s="144" t="str">
        <f t="shared" si="59"/>
        <v/>
      </c>
      <c r="P256" s="52" t="str">
        <f>IF(A255=$D$8,XIRR(R$24:R255,C$24:C255),"")</f>
        <v/>
      </c>
      <c r="Q256" s="15" t="str">
        <f t="shared" si="57"/>
        <v/>
      </c>
      <c r="R256" s="144">
        <f t="shared" ca="1" si="53"/>
        <v>41055.931604305733</v>
      </c>
      <c r="S256" s="168">
        <f t="shared" ca="1" si="54"/>
        <v>2040</v>
      </c>
      <c r="T256" s="168">
        <f t="shared" ca="1" si="55"/>
        <v>366</v>
      </c>
    </row>
    <row r="257" spans="1:20" x14ac:dyDescent="0.35">
      <c r="A257" s="13">
        <f t="shared" si="56"/>
        <v>233</v>
      </c>
      <c r="B257" s="50">
        <f t="shared" ca="1" si="66"/>
        <v>51482</v>
      </c>
      <c r="C257" s="50">
        <f t="shared" ca="1" si="58"/>
        <v>51482</v>
      </c>
      <c r="D257" s="13">
        <f t="shared" ca="1" si="61"/>
        <v>30</v>
      </c>
      <c r="E257" s="15">
        <f t="shared" ca="1" si="60"/>
        <v>281393.57461676572</v>
      </c>
      <c r="F257" s="15">
        <f ca="1">IF(AND(A256="",A258=""),"",IF(A257="",SUM($F$25:F256),IF(A257=$D$8,$E$24-SUM($F$25:F256),$F$21-G257)))</f>
        <v>38148.621459675815</v>
      </c>
      <c r="G257" s="15">
        <f ca="1">IF(A256=$D$8,SUM($G$25:G256),IF(A256&gt;$D$8,"",E256*D257*$F$18/T256))</f>
        <v>2907.3101446299193</v>
      </c>
      <c r="H257" s="15">
        <f ca="1">IF(A256=$D$8,SUM($H$25:H256),IF(A256="","",(G257+F257)))</f>
        <v>41055.931604305733</v>
      </c>
      <c r="I257" s="15" t="str">
        <f t="shared" si="62"/>
        <v/>
      </c>
      <c r="J257" s="15" t="str">
        <f t="shared" si="63"/>
        <v/>
      </c>
      <c r="K257" s="15" t="str">
        <f t="shared" si="67"/>
        <v/>
      </c>
      <c r="L257" s="15" t="str">
        <f t="shared" si="64"/>
        <v/>
      </c>
      <c r="M257" s="15" t="str">
        <f t="shared" si="65"/>
        <v/>
      </c>
      <c r="N257" s="144" t="str">
        <f t="shared" si="59"/>
        <v/>
      </c>
      <c r="P257" s="52" t="str">
        <f>IF(A256=$D$8,XIRR(R$24:R256,C$24:C256),"")</f>
        <v/>
      </c>
      <c r="Q257" s="15" t="str">
        <f t="shared" si="57"/>
        <v/>
      </c>
      <c r="R257" s="144">
        <f t="shared" ca="1" si="53"/>
        <v>41055.931604305733</v>
      </c>
      <c r="S257" s="168">
        <f t="shared" ca="1" si="54"/>
        <v>2040</v>
      </c>
      <c r="T257" s="168">
        <f t="shared" ca="1" si="55"/>
        <v>366</v>
      </c>
    </row>
    <row r="258" spans="1:20" x14ac:dyDescent="0.35">
      <c r="A258" s="13">
        <f t="shared" si="56"/>
        <v>234</v>
      </c>
      <c r="B258" s="50">
        <f t="shared" ca="1" si="66"/>
        <v>51513</v>
      </c>
      <c r="C258" s="50">
        <f t="shared" ca="1" si="58"/>
        <v>51513</v>
      </c>
      <c r="D258" s="13">
        <f t="shared" ca="1" si="61"/>
        <v>31</v>
      </c>
      <c r="E258" s="15">
        <f t="shared" ca="1" si="60"/>
        <v>242983.20391479958</v>
      </c>
      <c r="F258" s="15">
        <f ca="1">IF(AND(A257="",A259=""),"",IF(A258="",SUM($F$25:F257),IF(A258=$D$8,$E$24-SUM($F$25:F257),$F$21-G258)))</f>
        <v>38410.370701966138</v>
      </c>
      <c r="G258" s="15">
        <f ca="1">IF(A257=$D$8,SUM($G$25:G257),IF(A257&gt;$D$8,"",E257*D258*$F$18/T257))</f>
        <v>2645.5609023395923</v>
      </c>
      <c r="H258" s="15">
        <f ca="1">IF(A257=$D$8,SUM($H$25:H257),IF(A257="","",(G258+F258)))</f>
        <v>41055.931604305733</v>
      </c>
      <c r="I258" s="15" t="str">
        <f t="shared" si="62"/>
        <v/>
      </c>
      <c r="J258" s="15" t="str">
        <f t="shared" si="63"/>
        <v/>
      </c>
      <c r="K258" s="15" t="str">
        <f t="shared" si="67"/>
        <v/>
      </c>
      <c r="L258" s="15" t="str">
        <f t="shared" si="64"/>
        <v/>
      </c>
      <c r="M258" s="15" t="str">
        <f t="shared" si="65"/>
        <v/>
      </c>
      <c r="N258" s="144" t="str">
        <f t="shared" si="59"/>
        <v/>
      </c>
      <c r="P258" s="52" t="str">
        <f>IF(A257=$D$8,XIRR(R$24:R257,C$24:C257),"")</f>
        <v/>
      </c>
      <c r="Q258" s="15" t="str">
        <f t="shared" si="57"/>
        <v/>
      </c>
      <c r="R258" s="144">
        <f t="shared" ca="1" si="53"/>
        <v>41055.931604305733</v>
      </c>
      <c r="S258" s="168">
        <f t="shared" ca="1" si="54"/>
        <v>2041</v>
      </c>
      <c r="T258" s="168">
        <f t="shared" ca="1" si="55"/>
        <v>365</v>
      </c>
    </row>
    <row r="259" spans="1:20" x14ac:dyDescent="0.35">
      <c r="A259" s="13">
        <f t="shared" si="56"/>
        <v>235</v>
      </c>
      <c r="B259" s="50">
        <f t="shared" ca="1" si="66"/>
        <v>51544</v>
      </c>
      <c r="C259" s="50">
        <f t="shared" ca="1" si="58"/>
        <v>51544</v>
      </c>
      <c r="D259" s="13">
        <f t="shared" ca="1" si="61"/>
        <v>31</v>
      </c>
      <c r="E259" s="15">
        <f t="shared" ca="1" si="60"/>
        <v>204217.97150137281</v>
      </c>
      <c r="F259" s="15">
        <f ca="1">IF(AND(A258="",A260=""),"",IF(A259="",SUM($F$25:F258),IF(A259=$D$8,$E$24-SUM($F$25:F258),$F$21-G259)))</f>
        <v>38765.232413426762</v>
      </c>
      <c r="G259" s="15">
        <f ca="1">IF(A258=$D$8,SUM($G$25:G258),IF(A258&gt;$D$8,"",E258*D259*$F$18/T258))</f>
        <v>2290.6991908789737</v>
      </c>
      <c r="H259" s="15">
        <f ca="1">IF(A258=$D$8,SUM($H$25:H258),IF(A258="","",(G259+F259)))</f>
        <v>41055.931604305733</v>
      </c>
      <c r="I259" s="15" t="str">
        <f t="shared" si="62"/>
        <v/>
      </c>
      <c r="J259" s="15" t="str">
        <f t="shared" si="63"/>
        <v/>
      </c>
      <c r="K259" s="15" t="str">
        <f t="shared" si="67"/>
        <v/>
      </c>
      <c r="L259" s="15" t="str">
        <f t="shared" si="64"/>
        <v/>
      </c>
      <c r="M259" s="15" t="str">
        <f t="shared" si="65"/>
        <v/>
      </c>
      <c r="N259" s="144" t="str">
        <f t="shared" si="59"/>
        <v/>
      </c>
      <c r="P259" s="52" t="str">
        <f>IF(A258=$D$8,XIRR(R$24:R258,C$24:C258),"")</f>
        <v/>
      </c>
      <c r="Q259" s="15" t="str">
        <f t="shared" si="57"/>
        <v/>
      </c>
      <c r="R259" s="144">
        <f t="shared" ca="1" si="53"/>
        <v>41055.931604305733</v>
      </c>
      <c r="S259" s="168">
        <f t="shared" ca="1" si="54"/>
        <v>2041</v>
      </c>
      <c r="T259" s="168">
        <f t="shared" ca="1" si="55"/>
        <v>365</v>
      </c>
    </row>
    <row r="260" spans="1:20" x14ac:dyDescent="0.35">
      <c r="A260" s="13">
        <f t="shared" si="56"/>
        <v>236</v>
      </c>
      <c r="B260" s="50">
        <f t="shared" ca="1" si="66"/>
        <v>51572</v>
      </c>
      <c r="C260" s="50">
        <f t="shared" ca="1" si="58"/>
        <v>51572</v>
      </c>
      <c r="D260" s="13">
        <f t="shared" ca="1" si="61"/>
        <v>28</v>
      </c>
      <c r="E260" s="15">
        <f t="shared" ca="1" si="60"/>
        <v>164900.96991193356</v>
      </c>
      <c r="F260" s="15">
        <f ca="1">IF(AND(A259="",A261=""),"",IF(A260="",SUM($F$25:F259),IF(A260=$D$8,$E$24-SUM($F$25:F259),$F$21-G260)))</f>
        <v>39317.001589439249</v>
      </c>
      <c r="G260" s="15">
        <f ca="1">IF(A259=$D$8,SUM($G$25:G259),IF(A259&gt;$D$8,"",E259*D260*$F$18/T259))</f>
        <v>1738.9300148664843</v>
      </c>
      <c r="H260" s="15">
        <f ca="1">IF(A259=$D$8,SUM($H$25:H259),IF(A259="","",(G260+F260)))</f>
        <v>41055.931604305733</v>
      </c>
      <c r="I260" s="15" t="str">
        <f t="shared" si="62"/>
        <v/>
      </c>
      <c r="J260" s="15" t="str">
        <f t="shared" si="63"/>
        <v/>
      </c>
      <c r="K260" s="15" t="str">
        <f t="shared" si="67"/>
        <v/>
      </c>
      <c r="L260" s="15" t="str">
        <f t="shared" si="64"/>
        <v/>
      </c>
      <c r="M260" s="15" t="str">
        <f t="shared" si="65"/>
        <v/>
      </c>
      <c r="N260" s="144" t="str">
        <f t="shared" si="59"/>
        <v/>
      </c>
      <c r="P260" s="52" t="str">
        <f>IF(A259=$D$8,XIRR(R$24:R259,C$24:C259),"")</f>
        <v/>
      </c>
      <c r="Q260" s="15" t="str">
        <f t="shared" si="57"/>
        <v/>
      </c>
      <c r="R260" s="144">
        <f t="shared" ca="1" si="53"/>
        <v>41055.931604305733</v>
      </c>
      <c r="S260" s="168">
        <f t="shared" ca="1" si="54"/>
        <v>2041</v>
      </c>
      <c r="T260" s="168">
        <f t="shared" ca="1" si="55"/>
        <v>365</v>
      </c>
    </row>
    <row r="261" spans="1:20" x14ac:dyDescent="0.35">
      <c r="A261" s="13">
        <f t="shared" si="56"/>
        <v>237</v>
      </c>
      <c r="B261" s="50">
        <f t="shared" ca="1" si="66"/>
        <v>51603</v>
      </c>
      <c r="C261" s="50">
        <f t="shared" ca="1" si="58"/>
        <v>51603</v>
      </c>
      <c r="D261" s="13">
        <f t="shared" ca="1" si="61"/>
        <v>31</v>
      </c>
      <c r="E261" s="15">
        <f t="shared" ca="1" si="60"/>
        <v>125399.62525959211</v>
      </c>
      <c r="F261" s="15">
        <f ca="1">IF(AND(A260="",A262=""),"",IF(A261="",SUM($F$25:F260),IF(A261=$D$8,$E$24-SUM($F$25:F260),$F$21-G261)))</f>
        <v>39501.344652341453</v>
      </c>
      <c r="G261" s="15">
        <f ca="1">IF(A260=$D$8,SUM($G$25:G260),IF(A260&gt;$D$8,"",E260*D261*$F$18/T260))</f>
        <v>1554.5869519642831</v>
      </c>
      <c r="H261" s="15">
        <f ca="1">IF(A260=$D$8,SUM($H$25:H260),IF(A260="","",(G261+F261)))</f>
        <v>41055.931604305733</v>
      </c>
      <c r="I261" s="15" t="str">
        <f t="shared" si="62"/>
        <v/>
      </c>
      <c r="J261" s="15" t="str">
        <f t="shared" si="63"/>
        <v/>
      </c>
      <c r="K261" s="15" t="str">
        <f t="shared" si="67"/>
        <v/>
      </c>
      <c r="L261" s="15" t="str">
        <f t="shared" si="64"/>
        <v/>
      </c>
      <c r="M261" s="15" t="str">
        <f t="shared" si="65"/>
        <v/>
      </c>
      <c r="N261" s="144" t="str">
        <f t="shared" si="59"/>
        <v/>
      </c>
      <c r="P261" s="52" t="str">
        <f>IF(A260=$D$8,XIRR(R$24:R260,C$24:C260),"")</f>
        <v/>
      </c>
      <c r="Q261" s="15" t="str">
        <f t="shared" si="57"/>
        <v/>
      </c>
      <c r="R261" s="144">
        <f t="shared" ca="1" si="53"/>
        <v>41055.931604305733</v>
      </c>
      <c r="S261" s="168">
        <f t="shared" ca="1" si="54"/>
        <v>2041</v>
      </c>
      <c r="T261" s="168">
        <f t="shared" ca="1" si="55"/>
        <v>365</v>
      </c>
    </row>
    <row r="262" spans="1:20" x14ac:dyDescent="0.35">
      <c r="A262" s="13">
        <f t="shared" si="56"/>
        <v>238</v>
      </c>
      <c r="B262" s="50">
        <f t="shared" ca="1" si="66"/>
        <v>51633</v>
      </c>
      <c r="C262" s="50">
        <f t="shared" ca="1" si="58"/>
        <v>51633</v>
      </c>
      <c r="D262" s="13">
        <f t="shared" ca="1" si="61"/>
        <v>30</v>
      </c>
      <c r="E262" s="15">
        <f t="shared" ca="1" si="60"/>
        <v>85487.750510394428</v>
      </c>
      <c r="F262" s="15">
        <f ca="1">IF(AND(A261="",A263=""),"",IF(A262="",SUM($F$25:F261),IF(A262=$D$8,$E$24-SUM($F$25:F261),$F$21-G262)))</f>
        <v>39911.874749197676</v>
      </c>
      <c r="G262" s="15">
        <f ca="1">IF(A261=$D$8,SUM($G$25:G261),IF(A261&gt;$D$8,"",E261*D262*$F$18/T261))</f>
        <v>1144.0568551080594</v>
      </c>
      <c r="H262" s="15">
        <f ca="1">IF(A261=$D$8,SUM($H$25:H261),IF(A261="","",(G262+F262)))</f>
        <v>41055.931604305733</v>
      </c>
      <c r="I262" s="15" t="str">
        <f t="shared" si="62"/>
        <v/>
      </c>
      <c r="J262" s="15" t="str">
        <f t="shared" si="63"/>
        <v/>
      </c>
      <c r="K262" s="15" t="str">
        <f t="shared" si="67"/>
        <v/>
      </c>
      <c r="L262" s="15" t="str">
        <f t="shared" si="64"/>
        <v/>
      </c>
      <c r="M262" s="15" t="str">
        <f t="shared" si="65"/>
        <v/>
      </c>
      <c r="N262" s="144" t="str">
        <f t="shared" si="59"/>
        <v/>
      </c>
      <c r="P262" s="52" t="str">
        <f>IF(A261=$D$8,XIRR(R$24:R261,C$24:C261),"")</f>
        <v/>
      </c>
      <c r="Q262" s="15" t="str">
        <f t="shared" si="57"/>
        <v/>
      </c>
      <c r="R262" s="144">
        <f t="shared" ca="1" si="53"/>
        <v>41055.931604305733</v>
      </c>
      <c r="S262" s="168">
        <f t="shared" ca="1" si="54"/>
        <v>2041</v>
      </c>
      <c r="T262" s="168">
        <f t="shared" ca="1" si="55"/>
        <v>365</v>
      </c>
    </row>
    <row r="263" spans="1:20" x14ac:dyDescent="0.35">
      <c r="A263" s="13">
        <f t="shared" si="56"/>
        <v>239</v>
      </c>
      <c r="B263" s="50">
        <f t="shared" ca="1" si="66"/>
        <v>51664</v>
      </c>
      <c r="C263" s="50">
        <f t="shared" ca="1" si="58"/>
        <v>51664</v>
      </c>
      <c r="D263" s="13">
        <f t="shared" ca="1" si="61"/>
        <v>31</v>
      </c>
      <c r="E263" s="15">
        <f t="shared" ca="1" si="60"/>
        <v>45237.745891037375</v>
      </c>
      <c r="F263" s="15">
        <f ca="1">IF(AND(A262="",A264=""),"",IF(A263="",SUM($F$25:F262),IF(A263=$D$8,$E$24-SUM($F$25:F262),$F$21-G263)))</f>
        <v>40250.004619357052</v>
      </c>
      <c r="G263" s="15">
        <f ca="1">IF(A262=$D$8,SUM($G$25:G262),IF(A262&gt;$D$8,"",E262*D263*$F$18/T262))</f>
        <v>805.92698494867739</v>
      </c>
      <c r="H263" s="15">
        <f ca="1">IF(A262=$D$8,SUM($H$25:H262),IF(A262="","",(G263+F263)))</f>
        <v>41055.931604305733</v>
      </c>
      <c r="I263" s="15" t="str">
        <f t="shared" si="62"/>
        <v/>
      </c>
      <c r="J263" s="15" t="str">
        <f t="shared" si="63"/>
        <v/>
      </c>
      <c r="K263" s="15" t="str">
        <f t="shared" si="67"/>
        <v/>
      </c>
      <c r="L263" s="15" t="str">
        <f t="shared" si="64"/>
        <v/>
      </c>
      <c r="M263" s="15" t="str">
        <f t="shared" si="65"/>
        <v/>
      </c>
      <c r="N263" s="144" t="str">
        <f t="shared" si="59"/>
        <v/>
      </c>
      <c r="P263" s="52" t="str">
        <f>IF(A262=$D$8,XIRR(R$24:R262,C$24:C262),"")</f>
        <v/>
      </c>
      <c r="Q263" s="15" t="str">
        <f t="shared" si="57"/>
        <v/>
      </c>
      <c r="R263" s="144">
        <f t="shared" ca="1" si="53"/>
        <v>41055.931604305733</v>
      </c>
      <c r="S263" s="168">
        <f t="shared" ca="1" si="54"/>
        <v>2041</v>
      </c>
      <c r="T263" s="168">
        <f t="shared" ca="1" si="55"/>
        <v>365</v>
      </c>
    </row>
    <row r="264" spans="1:20" x14ac:dyDescent="0.35">
      <c r="A264" s="13">
        <f t="shared" si="56"/>
        <v>240</v>
      </c>
      <c r="B264" s="50">
        <f t="shared" ca="1" si="66"/>
        <v>51694</v>
      </c>
      <c r="C264" s="50">
        <f t="shared" ca="1" si="58"/>
        <v>51693</v>
      </c>
      <c r="D264" s="13">
        <f t="shared" ca="1" si="61"/>
        <v>29</v>
      </c>
      <c r="E264" s="15">
        <f t="shared" ca="1" si="60"/>
        <v>4.4383341446518898E-10</v>
      </c>
      <c r="F264" s="15">
        <f ca="1">IF(AND(A263="",A265=""),"",IF(A264="",SUM($F$25:F263),IF(A264=$D$8,$E$24-SUM($F$25:F263),$F$21-G264)))</f>
        <v>45237.745891036931</v>
      </c>
      <c r="G264" s="15">
        <f ca="1">IF(A263=$D$8,SUM($G$25:G263),IF(A263&gt;$D$8,"",E263*D264*$F$18/T263))</f>
        <v>398.95973704999813</v>
      </c>
      <c r="H264" s="15">
        <f ca="1">IF(A263=$D$8,SUM($H$25:H263),IF(A263="","",(G264+F264)))</f>
        <v>45636.705628086929</v>
      </c>
      <c r="I264" s="15" t="str">
        <f t="shared" si="62"/>
        <v/>
      </c>
      <c r="J264" s="15" t="str">
        <f t="shared" si="63"/>
        <v/>
      </c>
      <c r="K264" s="15" t="str">
        <f t="shared" si="67"/>
        <v/>
      </c>
      <c r="L264" s="15" t="str">
        <f t="shared" si="64"/>
        <v/>
      </c>
      <c r="M264" s="15" t="str">
        <f t="shared" si="65"/>
        <v/>
      </c>
      <c r="N264" s="144" t="str">
        <f t="shared" si="59"/>
        <v/>
      </c>
      <c r="P264" s="52" t="str">
        <f>IF(A263=$D$8,XIRR(R$24:R263,C$24:C263),"")</f>
        <v/>
      </c>
      <c r="Q264" s="15" t="str">
        <f t="shared" si="57"/>
        <v/>
      </c>
      <c r="R264" s="144">
        <f t="shared" ca="1" si="53"/>
        <v>45636.705628086929</v>
      </c>
      <c r="S264" s="168">
        <f t="shared" ca="1" si="54"/>
        <v>2041</v>
      </c>
      <c r="T264" s="168">
        <f t="shared" ca="1" si="55"/>
        <v>365</v>
      </c>
    </row>
    <row r="265" spans="1:20" x14ac:dyDescent="0.35">
      <c r="A265" s="13" t="str">
        <f t="shared" si="56"/>
        <v/>
      </c>
      <c r="E265" s="15" t="str">
        <f t="shared" si="60"/>
        <v/>
      </c>
      <c r="F265" s="15">
        <f ca="1">IF(AND(A264="",A266=""),"",IF(A265="",SUM($F$25:F264),IF(A265=$D$8,$E$24-SUM($F$25:F264),$F$21-G265)))</f>
        <v>4000000</v>
      </c>
      <c r="G265" s="15">
        <f ca="1">IF(A264=$D$8,SUM($G$25:G264),IF(A264&gt;$D$8,"",E264*D265*$F$18/T264))</f>
        <v>5709110.5268276939</v>
      </c>
      <c r="H265" s="15">
        <f ca="1">IF(A264=$D$8,SUM($H$25:H264),IF(A264="","",(G265+F265)))</f>
        <v>9709110.5268276371</v>
      </c>
      <c r="I265" s="15">
        <f t="shared" si="62"/>
        <v>10000</v>
      </c>
      <c r="J265" s="15">
        <f t="shared" si="63"/>
        <v>2000</v>
      </c>
      <c r="K265" s="15">
        <f>IF($F$8&gt;240,($O$8+$O$10),IF($A$264=$F$8,$K$24*$G$8,""))</f>
        <v>342857.16000000003</v>
      </c>
      <c r="L265" s="15">
        <f t="shared" si="64"/>
        <v>0</v>
      </c>
      <c r="M265" s="15">
        <f t="shared" si="65"/>
        <v>119600</v>
      </c>
      <c r="N265" s="15">
        <f>IF($F$8&gt;240,($N$14),IF(A264=$F$8,N253+N241+N229+N217+N205+N193+N181+N169+N157+N145+N133+N121+N109+N97+N85+N73+N61+N49+N37+N24,""))</f>
        <v>50000</v>
      </c>
      <c r="P265" s="287">
        <f ca="1">IF(A264=$D$8,XIRR(R$24:R264,C$24:C264),"")</f>
        <v>0.12249302268028259</v>
      </c>
      <c r="Q265" s="15">
        <f t="shared" ca="1" si="57"/>
        <v>10233567.686827693</v>
      </c>
      <c r="R265" s="15"/>
    </row>
    <row r="266" spans="1:20" x14ac:dyDescent="0.35">
      <c r="A266" s="13" t="str">
        <f t="shared" si="56"/>
        <v/>
      </c>
    </row>
    <row r="267" spans="1:20" x14ac:dyDescent="0.35">
      <c r="A267" s="13" t="str">
        <f t="shared" si="56"/>
        <v/>
      </c>
    </row>
    <row r="268" spans="1:20" x14ac:dyDescent="0.35">
      <c r="A268" s="13" t="str">
        <f t="shared" si="56"/>
        <v/>
      </c>
    </row>
    <row r="269" spans="1:20" x14ac:dyDescent="0.35">
      <c r="A269" s="13" t="str">
        <f t="shared" si="56"/>
        <v/>
      </c>
    </row>
    <row r="270" spans="1:20" x14ac:dyDescent="0.35">
      <c r="A270" s="13" t="str">
        <f t="shared" si="56"/>
        <v/>
      </c>
    </row>
    <row r="271" spans="1:20" x14ac:dyDescent="0.35">
      <c r="A271" s="13" t="str">
        <f t="shared" si="56"/>
        <v/>
      </c>
    </row>
    <row r="272" spans="1:20" x14ac:dyDescent="0.35">
      <c r="A272" s="13" t="str">
        <f t="shared" si="56"/>
        <v/>
      </c>
    </row>
    <row r="273" spans="1:1" x14ac:dyDescent="0.35">
      <c r="A273" s="13" t="str">
        <f t="shared" si="56"/>
        <v/>
      </c>
    </row>
    <row r="274" spans="1:1" x14ac:dyDescent="0.35">
      <c r="A274" s="13" t="str">
        <f t="shared" si="56"/>
        <v/>
      </c>
    </row>
    <row r="275" spans="1:1" x14ac:dyDescent="0.35">
      <c r="A275" s="13" t="str">
        <f t="shared" si="56"/>
        <v/>
      </c>
    </row>
  </sheetData>
  <sheetProtection algorithmName="SHA-512" hashValue="u9OkAZ1ga7n3foKqt7wJ71GlX4Wx+EVsB2ycf7m1hEfMOg37ilDRyIt7JL63QLRLAy6dHUraU0GsSvq29DYpbQ==" saltValue="JuYmWHW9nRavY/2AKyS64w==" spinCount="100000" sheet="1" objects="1" scenarios="1"/>
  <protectedRanges>
    <protectedRange password="C797" sqref="B25:B264" name="Диапазон1_1"/>
    <protectedRange password="C797" sqref="P22:Q23" name="Диапазон1"/>
    <protectedRange password="C797" sqref="R24" name="Диапазон1_2"/>
    <protectedRange password="C797" sqref="R25:R264" name="Диапазон1_2_1"/>
    <protectedRange password="C797" sqref="N24:N36 N38:N48 N50:N60 N62:N72 N74:N84 N86:N96 N98:N108 N110:N120 N122:N132 N134:N144 N146:N156 N158:N168 N170:N180 N182:N192 N194:N204 N206:N216 N218:N228 N230:N240 N242:N252 N254:N264" name="Диапазон1_2_2"/>
  </protectedRanges>
  <mergeCells count="23">
    <mergeCell ref="I10:M10"/>
    <mergeCell ref="I11:M11"/>
    <mergeCell ref="N11:O11"/>
    <mergeCell ref="N12:O12"/>
    <mergeCell ref="A1:Q1"/>
    <mergeCell ref="I6:O6"/>
    <mergeCell ref="N7:O7"/>
    <mergeCell ref="I9:M9"/>
    <mergeCell ref="N9:O9"/>
    <mergeCell ref="H3:M3"/>
    <mergeCell ref="N3:O3"/>
    <mergeCell ref="H4:M4"/>
    <mergeCell ref="N4:O4"/>
    <mergeCell ref="N5:O5"/>
    <mergeCell ref="H14:H15"/>
    <mergeCell ref="N13:O13"/>
    <mergeCell ref="N14:O14"/>
    <mergeCell ref="N22:N23"/>
    <mergeCell ref="R22:R23"/>
    <mergeCell ref="I22:L22"/>
    <mergeCell ref="L15:M15"/>
    <mergeCell ref="N15:O15"/>
    <mergeCell ref="L14:M14"/>
  </mergeCells>
  <dataValidations disablePrompts="1" count="1">
    <dataValidation type="list" allowBlank="1" showInputMessage="1" showErrorMessage="1" sqref="Q8:R8">
      <formula1>$S$8:$S$9</formula1>
    </dataValidation>
  </dataValidations>
  <pageMargins left="0.7" right="0.7" top="0.75" bottom="0.75" header="0.3" footer="0.3"/>
  <pageSetup paperSize="9" scale="35" fitToHeight="0" orientation="portrait" r:id="rId1"/>
  <ignoredErrors>
    <ignoredError sqref="F6:F7 F3 F15"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0"/>
  <sheetViews>
    <sheetView topLeftCell="D29" zoomScale="90" zoomScaleNormal="90" workbookViewId="0">
      <selection activeCell="P44" sqref="P44"/>
    </sheetView>
  </sheetViews>
  <sheetFormatPr defaultRowHeight="14.5" x14ac:dyDescent="0.35"/>
  <cols>
    <col min="2" max="2" width="10.453125" bestFit="1" customWidth="1"/>
    <col min="3" max="3" width="12.81640625" customWidth="1"/>
    <col min="4" max="4" width="16" customWidth="1"/>
    <col min="5" max="5" width="15.453125" customWidth="1"/>
    <col min="6" max="6" width="14.1796875" customWidth="1"/>
    <col min="7" max="7" width="17.1796875" customWidth="1"/>
    <col min="8" max="8" width="13.1796875" customWidth="1"/>
    <col min="9" max="14" width="13.453125" customWidth="1"/>
    <col min="15" max="15" width="13.1796875" customWidth="1"/>
    <col min="16" max="16" width="14.54296875" style="158" customWidth="1"/>
  </cols>
  <sheetData>
    <row r="1" spans="1:16" x14ac:dyDescent="0.35">
      <c r="A1" s="20" t="s">
        <v>83</v>
      </c>
    </row>
    <row r="2" spans="1:16" ht="40.5" customHeight="1" x14ac:dyDescent="0.35">
      <c r="A2" s="411" t="s">
        <v>121</v>
      </c>
      <c r="B2" s="411"/>
      <c r="C2" s="411"/>
      <c r="D2" s="411"/>
      <c r="E2" s="411"/>
      <c r="F2" s="411"/>
      <c r="G2" s="411"/>
      <c r="H2" s="411"/>
      <c r="I2" s="411"/>
      <c r="J2" s="411"/>
      <c r="K2" s="411"/>
      <c r="L2" s="411"/>
      <c r="M2" s="411"/>
      <c r="N2" s="411"/>
      <c r="O2" s="411"/>
      <c r="P2" s="411"/>
    </row>
    <row r="4" spans="1:16" x14ac:dyDescent="0.35">
      <c r="A4" s="180" t="str">
        <f>'график анн'!C4</f>
        <v>Вартість нерухомості, грн</v>
      </c>
      <c r="B4" s="180"/>
      <c r="C4" s="180"/>
      <c r="D4" s="180"/>
      <c r="E4" s="412">
        <f>'график анн'!F4</f>
        <v>5714286</v>
      </c>
      <c r="F4" s="412"/>
      <c r="G4" s="23"/>
      <c r="H4" s="23"/>
      <c r="I4" s="26"/>
      <c r="J4" s="26"/>
      <c r="K4" s="26"/>
      <c r="L4" s="26"/>
      <c r="M4" s="26"/>
      <c r="N4" s="22" t="s">
        <v>177</v>
      </c>
      <c r="O4" s="22"/>
      <c r="P4" s="22"/>
    </row>
    <row r="5" spans="1:16" ht="15" customHeight="1" x14ac:dyDescent="0.35">
      <c r="A5" s="180" t="str">
        <f>'график анн'!C5</f>
        <v>Перший внесок, грн</v>
      </c>
      <c r="B5" s="180"/>
      <c r="C5" s="180"/>
      <c r="D5" s="180"/>
      <c r="E5" s="413">
        <f>'график анн'!F5</f>
        <v>1714286</v>
      </c>
      <c r="F5" s="413"/>
      <c r="G5" s="29"/>
      <c r="H5" s="29"/>
      <c r="I5" s="30"/>
      <c r="J5" s="30"/>
      <c r="K5" s="30"/>
      <c r="L5" s="30"/>
      <c r="M5" s="30"/>
      <c r="N5" s="415" t="s">
        <v>178</v>
      </c>
      <c r="O5" s="416"/>
      <c r="P5" s="388">
        <f>I29</f>
        <v>119600</v>
      </c>
    </row>
    <row r="6" spans="1:16" ht="22.5" customHeight="1" x14ac:dyDescent="0.35">
      <c r="A6" s="21" t="s">
        <v>84</v>
      </c>
      <c r="B6" s="21"/>
      <c r="C6" s="21"/>
      <c r="D6" s="21"/>
      <c r="E6" s="414">
        <f>'график анн'!F7</f>
        <v>4000000</v>
      </c>
      <c r="F6" s="414"/>
      <c r="G6" s="29"/>
      <c r="H6" s="29"/>
      <c r="I6" s="30"/>
      <c r="J6" s="30"/>
      <c r="K6" s="30"/>
      <c r="L6" s="30"/>
      <c r="M6" s="30"/>
      <c r="N6" s="417"/>
      <c r="O6" s="418"/>
      <c r="P6" s="389"/>
    </row>
    <row r="7" spans="1:16" x14ac:dyDescent="0.35">
      <c r="A7" s="21" t="s">
        <v>85</v>
      </c>
      <c r="B7" s="21"/>
      <c r="C7" s="21"/>
      <c r="D7" s="21"/>
      <c r="E7" s="398">
        <f ca="1">'график анн'!F3</f>
        <v>44389</v>
      </c>
      <c r="F7" s="399"/>
      <c r="G7" s="31"/>
      <c r="H7" s="31"/>
      <c r="I7" s="30"/>
      <c r="J7" s="30"/>
      <c r="K7" s="30"/>
      <c r="L7" s="30"/>
      <c r="M7" s="30"/>
      <c r="N7" s="384" t="s">
        <v>143</v>
      </c>
      <c r="O7" s="385"/>
      <c r="P7" s="388">
        <f>K29+L29+N29+'график анн'!P9+'график анн'!P11</f>
        <v>354857.16000000009</v>
      </c>
    </row>
    <row r="8" spans="1:16" x14ac:dyDescent="0.35">
      <c r="A8" s="21" t="s">
        <v>86</v>
      </c>
      <c r="B8" s="21"/>
      <c r="C8" s="21"/>
      <c r="D8" s="21"/>
      <c r="E8" s="398">
        <f ca="1">EDATE(E7,'график анн'!F8)-1</f>
        <v>51693</v>
      </c>
      <c r="F8" s="399"/>
      <c r="G8" s="29"/>
      <c r="H8" s="29"/>
      <c r="I8" s="30"/>
      <c r="J8" s="30"/>
      <c r="K8" s="30"/>
      <c r="L8" s="30"/>
      <c r="M8" s="30"/>
      <c r="N8" s="386"/>
      <c r="O8" s="387"/>
      <c r="P8" s="389"/>
    </row>
    <row r="9" spans="1:16" x14ac:dyDescent="0.35">
      <c r="A9" s="21"/>
      <c r="B9" s="21"/>
      <c r="C9" s="21"/>
      <c r="D9" s="21"/>
      <c r="E9" s="27"/>
      <c r="F9" s="28"/>
      <c r="G9" s="29"/>
      <c r="H9" s="29"/>
      <c r="I9" s="30"/>
      <c r="J9" s="30"/>
      <c r="K9" s="30"/>
      <c r="L9" s="30"/>
      <c r="M9" s="30"/>
      <c r="N9" s="30"/>
      <c r="O9" s="25"/>
      <c r="P9" s="159"/>
    </row>
    <row r="10" spans="1:16" x14ac:dyDescent="0.35">
      <c r="A10" s="21" t="s">
        <v>87</v>
      </c>
      <c r="B10" s="21"/>
      <c r="C10" s="21"/>
      <c r="D10" s="21"/>
      <c r="E10" s="407">
        <f>'график анн'!F8</f>
        <v>240</v>
      </c>
      <c r="F10" s="407"/>
      <c r="G10" s="29"/>
      <c r="H10" s="29"/>
      <c r="I10" s="30"/>
      <c r="J10" s="30"/>
      <c r="K10" s="30"/>
      <c r="L10" s="30"/>
      <c r="M10" s="30"/>
      <c r="N10" s="30"/>
      <c r="O10" s="25"/>
      <c r="P10" s="159"/>
    </row>
    <row r="11" spans="1:16" x14ac:dyDescent="0.35">
      <c r="A11" s="21"/>
      <c r="B11" s="21"/>
      <c r="C11" s="21"/>
      <c r="D11" s="21"/>
      <c r="E11" s="27"/>
      <c r="F11" s="28"/>
      <c r="G11" s="31"/>
      <c r="H11" s="31"/>
      <c r="I11" s="30"/>
      <c r="J11" s="30"/>
      <c r="K11" s="30"/>
      <c r="L11" s="30"/>
      <c r="M11" s="30"/>
      <c r="N11" s="30"/>
      <c r="O11" s="32"/>
      <c r="P11" s="160"/>
    </row>
    <row r="12" spans="1:16" x14ac:dyDescent="0.35">
      <c r="A12" s="21" t="s">
        <v>88</v>
      </c>
      <c r="B12" s="21"/>
      <c r="C12" s="21"/>
      <c r="D12" s="21"/>
      <c r="E12" s="408" t="s">
        <v>89</v>
      </c>
      <c r="F12" s="408"/>
      <c r="G12" s="29"/>
      <c r="H12" s="29"/>
      <c r="I12" s="30"/>
      <c r="J12" s="30"/>
      <c r="K12" s="30"/>
      <c r="L12" s="30"/>
      <c r="M12" s="30"/>
      <c r="N12" s="30"/>
      <c r="O12" s="33"/>
      <c r="P12" s="161"/>
    </row>
    <row r="13" spans="1:16" x14ac:dyDescent="0.35">
      <c r="A13" s="21" t="s">
        <v>90</v>
      </c>
      <c r="B13" s="21"/>
      <c r="C13" s="21"/>
      <c r="D13" s="21"/>
      <c r="E13" s="408" t="s">
        <v>91</v>
      </c>
      <c r="F13" s="408"/>
      <c r="G13" s="29"/>
      <c r="H13" s="29"/>
      <c r="I13" s="24"/>
      <c r="J13" s="24"/>
      <c r="K13" s="24"/>
      <c r="L13" s="24"/>
      <c r="M13" s="24"/>
      <c r="N13" s="24"/>
      <c r="O13" s="25"/>
      <c r="P13" s="159"/>
    </row>
    <row r="14" spans="1:16" hidden="1" x14ac:dyDescent="0.35">
      <c r="A14" s="21"/>
      <c r="B14" s="21"/>
      <c r="C14" s="21"/>
      <c r="D14" s="21"/>
      <c r="E14" s="48"/>
      <c r="F14" s="48"/>
      <c r="G14" s="29"/>
      <c r="H14" s="29"/>
      <c r="I14" s="24"/>
      <c r="J14" s="24"/>
      <c r="K14" s="24"/>
      <c r="L14" s="24"/>
      <c r="M14" s="24"/>
      <c r="N14" s="24"/>
      <c r="O14" s="25"/>
      <c r="P14" s="159"/>
    </row>
    <row r="15" spans="1:16" hidden="1" x14ac:dyDescent="0.35">
      <c r="A15" s="400" t="s">
        <v>92</v>
      </c>
      <c r="B15" s="400"/>
      <c r="C15" s="400"/>
      <c r="D15" s="400"/>
      <c r="E15" s="400"/>
      <c r="F15" s="400"/>
      <c r="G15" s="34"/>
      <c r="H15" s="34"/>
      <c r="I15" s="24"/>
      <c r="J15" s="24"/>
      <c r="K15" s="24"/>
      <c r="L15" s="24"/>
      <c r="M15" s="24"/>
      <c r="N15" s="24"/>
      <c r="O15" s="25"/>
      <c r="P15" s="159"/>
    </row>
    <row r="16" spans="1:16" hidden="1" x14ac:dyDescent="0.35">
      <c r="A16" s="390" t="s">
        <v>93</v>
      </c>
      <c r="B16" s="391"/>
      <c r="C16" s="35"/>
      <c r="D16" s="35"/>
      <c r="E16" s="35" t="s">
        <v>94</v>
      </c>
      <c r="F16" s="36" t="s">
        <v>95</v>
      </c>
      <c r="G16" s="36" t="s">
        <v>96</v>
      </c>
      <c r="H16" s="71"/>
      <c r="I16" s="37"/>
      <c r="J16" s="37"/>
      <c r="K16" s="37"/>
      <c r="L16" s="37"/>
      <c r="M16" s="37"/>
      <c r="N16" s="37"/>
      <c r="O16" s="25"/>
      <c r="P16" s="159"/>
    </row>
    <row r="17" spans="1:16" hidden="1" x14ac:dyDescent="0.35">
      <c r="A17" s="38"/>
      <c r="B17" s="39"/>
      <c r="C17" s="35"/>
      <c r="D17" s="35"/>
      <c r="E17" s="35"/>
      <c r="F17" s="36"/>
      <c r="G17" s="36"/>
      <c r="H17" s="71"/>
      <c r="I17" s="37"/>
      <c r="J17" s="37"/>
      <c r="K17" s="37"/>
      <c r="L17" s="37"/>
      <c r="M17" s="37"/>
      <c r="N17" s="37"/>
      <c r="O17" s="41"/>
      <c r="P17" s="162"/>
    </row>
    <row r="18" spans="1:16" hidden="1" x14ac:dyDescent="0.35">
      <c r="A18" s="42" t="s">
        <v>101</v>
      </c>
      <c r="B18" s="40"/>
      <c r="C18" s="40"/>
      <c r="D18" s="40"/>
      <c r="E18" s="40"/>
      <c r="F18" s="40"/>
      <c r="G18" s="40"/>
      <c r="H18" s="40"/>
      <c r="I18" s="43"/>
      <c r="J18" s="43"/>
      <c r="K18" s="43"/>
      <c r="L18" s="43"/>
      <c r="M18" s="43"/>
      <c r="N18" s="43"/>
      <c r="O18" s="40"/>
      <c r="P18" s="163"/>
    </row>
    <row r="19" spans="1:16" hidden="1" x14ac:dyDescent="0.35">
      <c r="A19" s="44"/>
      <c r="B19" s="45"/>
      <c r="C19" s="45"/>
      <c r="D19" s="45"/>
      <c r="E19" s="45"/>
      <c r="F19" s="45"/>
      <c r="G19" s="45"/>
      <c r="H19" s="45"/>
      <c r="I19" s="45"/>
      <c r="J19" s="45"/>
      <c r="K19" s="45"/>
      <c r="L19" s="45"/>
      <c r="M19" s="45"/>
      <c r="N19" s="45"/>
      <c r="O19" s="46"/>
      <c r="P19" s="164"/>
    </row>
    <row r="20" spans="1:16" x14ac:dyDescent="0.35">
      <c r="A20" s="69"/>
      <c r="B20" s="69"/>
      <c r="C20" s="69"/>
      <c r="D20" s="69"/>
      <c r="E20" s="69"/>
      <c r="F20" s="69"/>
      <c r="G20" s="69"/>
      <c r="H20" s="69"/>
      <c r="I20" s="69"/>
      <c r="J20" s="69"/>
      <c r="K20" s="69"/>
      <c r="L20" s="69"/>
      <c r="M20" s="69"/>
      <c r="N20" s="69"/>
      <c r="O20" s="70"/>
      <c r="P20" s="165"/>
    </row>
    <row r="21" spans="1:16" ht="24" customHeight="1" x14ac:dyDescent="0.35">
      <c r="A21" s="392" t="s">
        <v>71</v>
      </c>
      <c r="B21" s="395" t="s">
        <v>72</v>
      </c>
      <c r="C21" s="401" t="s">
        <v>73</v>
      </c>
      <c r="D21" s="401" t="s">
        <v>74</v>
      </c>
      <c r="E21" s="404" t="s">
        <v>97</v>
      </c>
      <c r="F21" s="72" t="s">
        <v>98</v>
      </c>
      <c r="G21" s="73"/>
      <c r="H21" s="73"/>
      <c r="I21" s="73"/>
      <c r="J21" s="73"/>
      <c r="K21" s="422" t="s">
        <v>176</v>
      </c>
      <c r="L21" s="423"/>
      <c r="M21" s="222"/>
      <c r="N21" s="223"/>
      <c r="O21" s="395" t="s">
        <v>79</v>
      </c>
      <c r="P21" s="409" t="s">
        <v>99</v>
      </c>
    </row>
    <row r="22" spans="1:16" ht="72" customHeight="1" x14ac:dyDescent="0.35">
      <c r="A22" s="393"/>
      <c r="B22" s="396"/>
      <c r="C22" s="402"/>
      <c r="D22" s="402"/>
      <c r="E22" s="405"/>
      <c r="F22" s="410" t="s">
        <v>75</v>
      </c>
      <c r="G22" s="419" t="s">
        <v>76</v>
      </c>
      <c r="H22" s="410" t="s">
        <v>119</v>
      </c>
      <c r="I22" s="410" t="s">
        <v>100</v>
      </c>
      <c r="J22" s="420" t="s">
        <v>154</v>
      </c>
      <c r="K22" s="420" t="s">
        <v>144</v>
      </c>
      <c r="L22" s="424" t="s">
        <v>145</v>
      </c>
      <c r="M22" s="420" t="s">
        <v>146</v>
      </c>
      <c r="N22" s="420" t="s">
        <v>147</v>
      </c>
      <c r="O22" s="396"/>
      <c r="P22" s="409"/>
    </row>
    <row r="23" spans="1:16" ht="45" customHeight="1" x14ac:dyDescent="0.35">
      <c r="A23" s="393"/>
      <c r="B23" s="396"/>
      <c r="C23" s="402"/>
      <c r="D23" s="402"/>
      <c r="E23" s="405"/>
      <c r="F23" s="402"/>
      <c r="G23" s="396"/>
      <c r="H23" s="402"/>
      <c r="I23" s="402"/>
      <c r="J23" s="421"/>
      <c r="K23" s="421"/>
      <c r="L23" s="425"/>
      <c r="M23" s="421"/>
      <c r="N23" s="421"/>
      <c r="O23" s="396"/>
      <c r="P23" s="409"/>
    </row>
    <row r="24" spans="1:16" hidden="1" x14ac:dyDescent="0.35">
      <c r="A24" s="393"/>
      <c r="B24" s="396"/>
      <c r="C24" s="402"/>
      <c r="D24" s="402"/>
      <c r="E24" s="405"/>
      <c r="F24" s="402"/>
      <c r="G24" s="396"/>
      <c r="H24" s="402"/>
      <c r="I24" s="402"/>
      <c r="J24" s="182"/>
      <c r="K24" s="182"/>
      <c r="L24" s="182"/>
      <c r="M24" s="182"/>
      <c r="N24" s="182"/>
      <c r="O24" s="396"/>
      <c r="P24" s="409"/>
    </row>
    <row r="25" spans="1:16" hidden="1" x14ac:dyDescent="0.35">
      <c r="A25" s="393"/>
      <c r="B25" s="396"/>
      <c r="C25" s="402"/>
      <c r="D25" s="402"/>
      <c r="E25" s="405"/>
      <c r="F25" s="402"/>
      <c r="G25" s="396"/>
      <c r="H25" s="402"/>
      <c r="I25" s="402"/>
      <c r="J25" s="182"/>
      <c r="K25" s="182"/>
      <c r="L25" s="182"/>
      <c r="M25" s="182"/>
      <c r="N25" s="182"/>
      <c r="O25" s="396"/>
      <c r="P25" s="409"/>
    </row>
    <row r="26" spans="1:16" hidden="1" x14ac:dyDescent="0.35">
      <c r="A26" s="393"/>
      <c r="B26" s="396"/>
      <c r="C26" s="402"/>
      <c r="D26" s="402"/>
      <c r="E26" s="405"/>
      <c r="F26" s="402"/>
      <c r="G26" s="396"/>
      <c r="H26" s="402"/>
      <c r="I26" s="402"/>
      <c r="J26" s="182"/>
      <c r="K26" s="182"/>
      <c r="L26" s="182"/>
      <c r="M26" s="182"/>
      <c r="N26" s="182"/>
      <c r="O26" s="396"/>
      <c r="P26" s="409"/>
    </row>
    <row r="27" spans="1:16" hidden="1" x14ac:dyDescent="0.35">
      <c r="A27" s="393"/>
      <c r="B27" s="396"/>
      <c r="C27" s="402"/>
      <c r="D27" s="402"/>
      <c r="E27" s="405"/>
      <c r="F27" s="402"/>
      <c r="G27" s="396"/>
      <c r="H27" s="402"/>
      <c r="I27" s="402"/>
      <c r="J27" s="182"/>
      <c r="K27" s="182"/>
      <c r="L27" s="182"/>
      <c r="M27" s="182"/>
      <c r="N27" s="182"/>
      <c r="O27" s="396"/>
      <c r="P27" s="409"/>
    </row>
    <row r="28" spans="1:16" hidden="1" x14ac:dyDescent="0.35">
      <c r="A28" s="394"/>
      <c r="B28" s="397"/>
      <c r="C28" s="403"/>
      <c r="D28" s="403"/>
      <c r="E28" s="406"/>
      <c r="F28" s="403"/>
      <c r="G28" s="397"/>
      <c r="H28" s="403"/>
      <c r="I28" s="74"/>
      <c r="J28" s="183"/>
      <c r="K28" s="183"/>
      <c r="L28" s="183"/>
      <c r="M28" s="183"/>
      <c r="N28" s="183"/>
      <c r="O28" s="397"/>
      <c r="P28" s="409"/>
    </row>
    <row r="29" spans="1:16" x14ac:dyDescent="0.35">
      <c r="A29" s="148"/>
      <c r="B29" s="149">
        <f ca="1">'график анн'!C24</f>
        <v>44389</v>
      </c>
      <c r="C29" s="150"/>
      <c r="D29" s="151">
        <f>'график анн'!E24</f>
        <v>4000000</v>
      </c>
      <c r="E29" s="152"/>
      <c r="F29" s="151"/>
      <c r="G29" s="152"/>
      <c r="H29" s="152">
        <f>'график анн'!O24</f>
        <v>0</v>
      </c>
      <c r="I29" s="152">
        <f>'график анн'!M24</f>
        <v>119600</v>
      </c>
      <c r="J29" s="152">
        <f>'график анн'!N24</f>
        <v>2500</v>
      </c>
      <c r="K29" s="152">
        <f>'график анн'!I24</f>
        <v>10000</v>
      </c>
      <c r="L29" s="152">
        <f>'график анн'!J24</f>
        <v>2000</v>
      </c>
      <c r="M29" s="225">
        <f>'график анн'!K24</f>
        <v>17142.858</v>
      </c>
      <c r="N29" s="152">
        <f>'график анн'!L24</f>
        <v>0</v>
      </c>
      <c r="O29" s="153"/>
      <c r="P29" s="166"/>
    </row>
    <row r="30" spans="1:16" x14ac:dyDescent="0.35">
      <c r="A30" s="154">
        <f>'график анн'!A25</f>
        <v>1</v>
      </c>
      <c r="B30" s="155">
        <f ca="1">'график анн'!C25</f>
        <v>44420</v>
      </c>
      <c r="C30" s="156">
        <f ca="1">'график анн'!D25</f>
        <v>31</v>
      </c>
      <c r="D30" s="47">
        <f ca="1">'график анн'!E25</f>
        <v>3995364.2624031715</v>
      </c>
      <c r="E30" s="47">
        <f>'график анн'!H25</f>
        <v>38574.367733814644</v>
      </c>
      <c r="F30" s="47">
        <f ca="1">'график анн'!F25</f>
        <v>4635.737596828345</v>
      </c>
      <c r="G30" s="47">
        <f ca="1">'график анн'!G25</f>
        <v>33938.630136986299</v>
      </c>
      <c r="H30" s="157">
        <f>'график анн'!O25</f>
        <v>0</v>
      </c>
      <c r="I30" s="157">
        <f>'график анн'!M25</f>
        <v>0</v>
      </c>
      <c r="J30" s="157">
        <f>'график анн'!N25</f>
        <v>0</v>
      </c>
      <c r="K30" s="157">
        <f>'график анн'!I25</f>
        <v>0</v>
      </c>
      <c r="L30" s="157">
        <f>'график анн'!J25</f>
        <v>0</v>
      </c>
      <c r="M30" s="157">
        <f>'график анн'!K25</f>
        <v>0</v>
      </c>
      <c r="N30" s="157">
        <f>'график анн'!L25</f>
        <v>0</v>
      </c>
      <c r="O30" s="51" t="str">
        <f>'график анн'!P25</f>
        <v/>
      </c>
      <c r="P30" s="49">
        <f>'график анн'!Q25</f>
        <v>0</v>
      </c>
    </row>
    <row r="31" spans="1:16" x14ac:dyDescent="0.35">
      <c r="A31" s="154">
        <f>'график анн'!A26</f>
        <v>2</v>
      </c>
      <c r="B31" s="155">
        <f ca="1">'график анн'!C26</f>
        <v>44451</v>
      </c>
      <c r="C31" s="156">
        <f ca="1">'график анн'!D26</f>
        <v>31</v>
      </c>
      <c r="D31" s="47">
        <f ca="1">'график анн'!E26</f>
        <v>3990689.1921604155</v>
      </c>
      <c r="E31" s="47">
        <f ca="1">'график анн'!H26</f>
        <v>38574.367733814644</v>
      </c>
      <c r="F31" s="47">
        <f ca="1">'график анн'!F26</f>
        <v>4675.0702427560682</v>
      </c>
      <c r="G31" s="47">
        <f ca="1">'график анн'!G26</f>
        <v>33899.297491058576</v>
      </c>
      <c r="H31" s="157">
        <f>'график анн'!O26</f>
        <v>0</v>
      </c>
      <c r="I31" s="157">
        <f>'график анн'!M26</f>
        <v>0</v>
      </c>
      <c r="J31" s="157">
        <f>'график анн'!N26</f>
        <v>0</v>
      </c>
      <c r="K31" s="157">
        <f>'график анн'!I26</f>
        <v>0</v>
      </c>
      <c r="L31" s="157">
        <f>'график анн'!J26</f>
        <v>0</v>
      </c>
      <c r="M31" s="157">
        <f>'график анн'!K26</f>
        <v>0</v>
      </c>
      <c r="N31" s="157">
        <f>'график анн'!L26</f>
        <v>0</v>
      </c>
      <c r="O31" s="51" t="str">
        <f>'график анн'!P26</f>
        <v/>
      </c>
      <c r="P31" s="49">
        <f>'график анн'!Q26</f>
        <v>0</v>
      </c>
    </row>
    <row r="32" spans="1:16" x14ac:dyDescent="0.35">
      <c r="A32" s="154">
        <f>'график анн'!A27</f>
        <v>3</v>
      </c>
      <c r="B32" s="155">
        <f ca="1">'график анн'!C27</f>
        <v>44481</v>
      </c>
      <c r="C32" s="156">
        <f ca="1">'график анн'!D27</f>
        <v>30</v>
      </c>
      <c r="D32" s="47">
        <f ca="1">'график анн'!E27</f>
        <v>3984882.2093825042</v>
      </c>
      <c r="E32" s="47">
        <f ca="1">'график анн'!H27</f>
        <v>38574.367733814644</v>
      </c>
      <c r="F32" s="47">
        <f ca="1">'график анн'!F27</f>
        <v>5806.9827779111765</v>
      </c>
      <c r="G32" s="47">
        <f ca="1">'график анн'!G27</f>
        <v>32767.384955903468</v>
      </c>
      <c r="H32" s="157">
        <f>'график анн'!O27</f>
        <v>0</v>
      </c>
      <c r="I32" s="157">
        <f>'график анн'!M27</f>
        <v>0</v>
      </c>
      <c r="J32" s="157">
        <f>'график анн'!N27</f>
        <v>0</v>
      </c>
      <c r="K32" s="157">
        <f>'график анн'!I27</f>
        <v>0</v>
      </c>
      <c r="L32" s="157">
        <f>'график анн'!J27</f>
        <v>0</v>
      </c>
      <c r="M32" s="157">
        <f>'график анн'!K27</f>
        <v>0</v>
      </c>
      <c r="N32" s="157">
        <f>'график анн'!L27</f>
        <v>0</v>
      </c>
      <c r="O32" s="51" t="str">
        <f>'график анн'!P27</f>
        <v/>
      </c>
      <c r="P32" s="147" t="str">
        <f>'график анн'!Q27</f>
        <v/>
      </c>
    </row>
    <row r="33" spans="1:16" x14ac:dyDescent="0.35">
      <c r="A33" s="154">
        <f>'график анн'!A28</f>
        <v>4</v>
      </c>
      <c r="B33" s="155">
        <f ca="1">'график анн'!C28</f>
        <v>44512</v>
      </c>
      <c r="C33" s="156">
        <f ca="1">'график анн'!D28</f>
        <v>31</v>
      </c>
      <c r="D33" s="47">
        <f ca="1">'график анн'!E28</f>
        <v>3980118.2025096118</v>
      </c>
      <c r="E33" s="47">
        <f ca="1">'график анн'!H28</f>
        <v>38574.367733814644</v>
      </c>
      <c r="F33" s="47">
        <f ca="1">'график анн'!F28</f>
        <v>4764.0068728922342</v>
      </c>
      <c r="G33" s="47">
        <f ca="1">'график анн'!G28</f>
        <v>33810.36086092241</v>
      </c>
      <c r="H33" s="157">
        <f>'график анн'!O28</f>
        <v>0</v>
      </c>
      <c r="I33" s="157">
        <f>'график анн'!M28</f>
        <v>0</v>
      </c>
      <c r="J33" s="157">
        <f>'график анн'!N28</f>
        <v>0</v>
      </c>
      <c r="K33" s="157">
        <f>'график анн'!I28</f>
        <v>0</v>
      </c>
      <c r="L33" s="157">
        <f>'график анн'!J28</f>
        <v>0</v>
      </c>
      <c r="M33" s="157">
        <f>'график анн'!K28</f>
        <v>0</v>
      </c>
      <c r="N33" s="157">
        <f>'график анн'!L28</f>
        <v>0</v>
      </c>
      <c r="O33" s="51" t="str">
        <f>'график анн'!P28</f>
        <v/>
      </c>
      <c r="P33" s="147" t="str">
        <f>'график анн'!Q28</f>
        <v/>
      </c>
    </row>
    <row r="34" spans="1:16" x14ac:dyDescent="0.35">
      <c r="A34" s="154">
        <f>'график анн'!A29</f>
        <v>5</v>
      </c>
      <c r="B34" s="155">
        <f ca="1">'график анн'!C29</f>
        <v>44542</v>
      </c>
      <c r="C34" s="156">
        <f ca="1">'график анн'!D29</f>
        <v>30</v>
      </c>
      <c r="D34" s="47">
        <f ca="1">'график анн'!E29</f>
        <v>3974224.4217701023</v>
      </c>
      <c r="E34" s="47">
        <f ca="1">'график анн'!H29</f>
        <v>38574.367733814644</v>
      </c>
      <c r="F34" s="47">
        <f ca="1">'график анн'!F29</f>
        <v>5893.7807395096934</v>
      </c>
      <c r="G34" s="47">
        <f ca="1">'график анн'!G29</f>
        <v>32680.586994304951</v>
      </c>
      <c r="H34" s="157">
        <f>'график анн'!O29</f>
        <v>0</v>
      </c>
      <c r="I34" s="157" t="str">
        <f>'график анн'!M29</f>
        <v/>
      </c>
      <c r="J34" s="157" t="str">
        <f>'график анн'!N29</f>
        <v/>
      </c>
      <c r="K34" s="157" t="str">
        <f>'график анн'!I29</f>
        <v/>
      </c>
      <c r="L34" s="157" t="str">
        <f>'график анн'!J29</f>
        <v/>
      </c>
      <c r="M34" s="157">
        <f>'график анн'!K29</f>
        <v>0</v>
      </c>
      <c r="N34" s="157" t="str">
        <f>'график анн'!L29</f>
        <v/>
      </c>
      <c r="O34" s="51" t="str">
        <f>'график анн'!P29</f>
        <v/>
      </c>
      <c r="P34" s="147" t="str">
        <f>'график анн'!Q29</f>
        <v/>
      </c>
    </row>
    <row r="35" spans="1:16" x14ac:dyDescent="0.35">
      <c r="A35" s="154">
        <f>'график анн'!A30</f>
        <v>6</v>
      </c>
      <c r="B35" s="155">
        <f ca="1">'график анн'!C30</f>
        <v>44573</v>
      </c>
      <c r="C35" s="156">
        <f ca="1">'график анн'!D30</f>
        <v>31</v>
      </c>
      <c r="D35" s="47">
        <f ca="1">'график анн'!E30</f>
        <v>3969369.9872192461</v>
      </c>
      <c r="E35" s="47">
        <f ca="1">'график анн'!H30</f>
        <v>38574.367733814644</v>
      </c>
      <c r="F35" s="47">
        <f ca="1">'график анн'!F30</f>
        <v>4854.4345508562037</v>
      </c>
      <c r="G35" s="47">
        <f ca="1">'график анн'!G30</f>
        <v>33719.933182958441</v>
      </c>
      <c r="H35" s="157">
        <f>'график анн'!O30</f>
        <v>0</v>
      </c>
      <c r="I35" s="157" t="str">
        <f>'график анн'!M30</f>
        <v/>
      </c>
      <c r="J35" s="157" t="str">
        <f>'график анн'!N30</f>
        <v/>
      </c>
      <c r="K35" s="157" t="str">
        <f>'график анн'!I30</f>
        <v/>
      </c>
      <c r="L35" s="157" t="str">
        <f>'график анн'!J30</f>
        <v/>
      </c>
      <c r="M35" s="157">
        <f>'график анн'!K30</f>
        <v>0</v>
      </c>
      <c r="N35" s="157" t="str">
        <f>'график анн'!L30</f>
        <v/>
      </c>
      <c r="O35" s="51" t="str">
        <f>'график анн'!P30</f>
        <v/>
      </c>
      <c r="P35" s="147" t="str">
        <f>'график анн'!Q30</f>
        <v/>
      </c>
    </row>
    <row r="36" spans="1:16" x14ac:dyDescent="0.35">
      <c r="A36" s="154">
        <f>'график анн'!A31</f>
        <v>7</v>
      </c>
      <c r="B36" s="155">
        <f ca="1">'график анн'!C31</f>
        <v>44604</v>
      </c>
      <c r="C36" s="156">
        <f ca="1">'график анн'!D31</f>
        <v>31</v>
      </c>
      <c r="D36" s="47">
        <f ca="1">'график анн'!E31</f>
        <v>3964474.3644537036</v>
      </c>
      <c r="E36" s="47">
        <f ca="1">'график анн'!H31</f>
        <v>38574.367733814644</v>
      </c>
      <c r="F36" s="47">
        <f ca="1">'график анн'!F31</f>
        <v>4895.6227655426337</v>
      </c>
      <c r="G36" s="47">
        <f ca="1">'график анн'!G31</f>
        <v>33678.744968272011</v>
      </c>
      <c r="H36" s="157">
        <f>'график анн'!O31</f>
        <v>0</v>
      </c>
      <c r="I36" s="157" t="str">
        <f>'график анн'!M31</f>
        <v/>
      </c>
      <c r="J36" s="157" t="str">
        <f>'график анн'!N31</f>
        <v/>
      </c>
      <c r="K36" s="157" t="str">
        <f>'график анн'!I31</f>
        <v/>
      </c>
      <c r="L36" s="157" t="str">
        <f>'график анн'!J31</f>
        <v/>
      </c>
      <c r="M36" s="157">
        <f>'график анн'!K31</f>
        <v>0</v>
      </c>
      <c r="N36" s="157" t="str">
        <f>'график анн'!L31</f>
        <v/>
      </c>
      <c r="O36" s="51" t="str">
        <f>'график анн'!P31</f>
        <v/>
      </c>
      <c r="P36" s="147" t="str">
        <f>'график анн'!Q31</f>
        <v/>
      </c>
    </row>
    <row r="37" spans="1:16" x14ac:dyDescent="0.35">
      <c r="A37" s="154">
        <f>'график анн'!A32</f>
        <v>8</v>
      </c>
      <c r="B37" s="155">
        <f ca="1">'график анн'!C32</f>
        <v>44632</v>
      </c>
      <c r="C37" s="156">
        <f ca="1">'график анн'!D32</f>
        <v>28</v>
      </c>
      <c r="D37" s="47">
        <f ca="1">'график анн'!E32</f>
        <v>3956281.9903972861</v>
      </c>
      <c r="E37" s="47">
        <f ca="1">'график анн'!H32</f>
        <v>38574.367733814644</v>
      </c>
      <c r="F37" s="47">
        <f ca="1">'график анн'!F32</f>
        <v>8192.3740564176587</v>
      </c>
      <c r="G37" s="47">
        <f ca="1">'график анн'!G32</f>
        <v>30381.993677396986</v>
      </c>
      <c r="H37" s="157">
        <f>'график анн'!O32</f>
        <v>0</v>
      </c>
      <c r="I37" s="157" t="str">
        <f>'график анн'!M32</f>
        <v/>
      </c>
      <c r="J37" s="157" t="str">
        <f>'график анн'!N32</f>
        <v/>
      </c>
      <c r="K37" s="157" t="str">
        <f>'график анн'!I32</f>
        <v/>
      </c>
      <c r="L37" s="157" t="str">
        <f>'график анн'!J32</f>
        <v/>
      </c>
      <c r="M37" s="157">
        <f>'график анн'!K32</f>
        <v>0</v>
      </c>
      <c r="N37" s="157" t="str">
        <f>'график анн'!L32</f>
        <v/>
      </c>
      <c r="O37" s="51" t="str">
        <f>'график анн'!P32</f>
        <v/>
      </c>
      <c r="P37" s="147" t="str">
        <f>'график анн'!Q32</f>
        <v/>
      </c>
    </row>
    <row r="38" spans="1:16" x14ac:dyDescent="0.35">
      <c r="A38" s="154">
        <f>'график анн'!A33</f>
        <v>9</v>
      </c>
      <c r="B38" s="155">
        <f ca="1">'график анн'!C33</f>
        <v>44663</v>
      </c>
      <c r="C38" s="156">
        <f ca="1">'график анн'!D33</f>
        <v>31</v>
      </c>
      <c r="D38" s="47">
        <f ca="1">'график анн'!E33</f>
        <v>3951275.3204608997</v>
      </c>
      <c r="E38" s="47">
        <f ca="1">'график анн'!H33</f>
        <v>38574.367733814644</v>
      </c>
      <c r="F38" s="47">
        <f ca="1">'график анн'!F33</f>
        <v>5006.6699363862717</v>
      </c>
      <c r="G38" s="47">
        <f ca="1">'график анн'!G33</f>
        <v>33567.697797428373</v>
      </c>
      <c r="H38" s="157">
        <f>'график анн'!O33</f>
        <v>0</v>
      </c>
      <c r="I38" s="157" t="str">
        <f>'график анн'!M33</f>
        <v/>
      </c>
      <c r="J38" s="157" t="str">
        <f>'график анн'!N33</f>
        <v/>
      </c>
      <c r="K38" s="157" t="str">
        <f>'график анн'!I33</f>
        <v/>
      </c>
      <c r="L38" s="157" t="str">
        <f>'график анн'!J33</f>
        <v/>
      </c>
      <c r="M38" s="157">
        <f>'график анн'!K33</f>
        <v>0</v>
      </c>
      <c r="N38" s="157" t="str">
        <f>'график анн'!L33</f>
        <v/>
      </c>
      <c r="O38" s="51" t="str">
        <f>'график анн'!P33</f>
        <v/>
      </c>
      <c r="P38" s="147" t="str">
        <f>'график анн'!Q33</f>
        <v/>
      </c>
    </row>
    <row r="39" spans="1:16" x14ac:dyDescent="0.35">
      <c r="A39" s="154">
        <f>'график анн'!A34</f>
        <v>10</v>
      </c>
      <c r="B39" s="155">
        <f ca="1">'график анн'!C34</f>
        <v>44693</v>
      </c>
      <c r="C39" s="156">
        <f ca="1">'график анн'!D34</f>
        <v>30</v>
      </c>
      <c r="D39" s="47">
        <f ca="1">'график анн'!E34</f>
        <v>3945144.7120022122</v>
      </c>
      <c r="E39" s="47">
        <f ca="1">'график анн'!H34</f>
        <v>38574.367733814644</v>
      </c>
      <c r="F39" s="47">
        <f ca="1">'график анн'!F34</f>
        <v>6130.6084586877478</v>
      </c>
      <c r="G39" s="47">
        <f ca="1">'график анн'!G34</f>
        <v>32443.759275126897</v>
      </c>
      <c r="H39" s="157">
        <f>'график анн'!O34</f>
        <v>0</v>
      </c>
      <c r="I39" s="157" t="str">
        <f>'график анн'!M34</f>
        <v/>
      </c>
      <c r="J39" s="157" t="str">
        <f>'график анн'!N34</f>
        <v/>
      </c>
      <c r="K39" s="157" t="str">
        <f>'график анн'!I34</f>
        <v/>
      </c>
      <c r="L39" s="157" t="str">
        <f>'график анн'!J34</f>
        <v/>
      </c>
      <c r="M39" s="157">
        <f>'график анн'!K34</f>
        <v>0</v>
      </c>
      <c r="N39" s="157" t="str">
        <f>'график анн'!L34</f>
        <v/>
      </c>
      <c r="O39" s="51" t="str">
        <f>'график анн'!P34</f>
        <v/>
      </c>
      <c r="P39" s="147" t="str">
        <f>'график анн'!Q34</f>
        <v/>
      </c>
    </row>
    <row r="40" spans="1:16" x14ac:dyDescent="0.35">
      <c r="A40" s="154">
        <f>'график анн'!A35</f>
        <v>11</v>
      </c>
      <c r="B40" s="155">
        <f ca="1">'график анн'!C35</f>
        <v>44724</v>
      </c>
      <c r="C40" s="156">
        <f ca="1">'график анн'!D35</f>
        <v>31</v>
      </c>
      <c r="D40" s="47">
        <f ca="1">'график анн'!E35</f>
        <v>3940043.5460727802</v>
      </c>
      <c r="E40" s="47">
        <f ca="1">'график анн'!H35</f>
        <v>38574.367733814644</v>
      </c>
      <c r="F40" s="47">
        <f ca="1">'график анн'!F35</f>
        <v>5101.1659294320416</v>
      </c>
      <c r="G40" s="47">
        <f ca="1">'график анн'!G35</f>
        <v>33473.201804382603</v>
      </c>
      <c r="H40" s="157">
        <f>'график анн'!O35</f>
        <v>0</v>
      </c>
      <c r="I40" s="157" t="str">
        <f>'график анн'!M35</f>
        <v/>
      </c>
      <c r="J40" s="224" t="str">
        <f>'график анн'!N35</f>
        <v/>
      </c>
      <c r="K40" s="157" t="str">
        <f>'график анн'!I35</f>
        <v/>
      </c>
      <c r="L40" s="157" t="str">
        <f>'график анн'!J35</f>
        <v/>
      </c>
      <c r="M40" s="157">
        <f>'график анн'!K35</f>
        <v>0</v>
      </c>
      <c r="N40" s="157" t="str">
        <f>'график анн'!L35</f>
        <v/>
      </c>
      <c r="O40" s="51" t="str">
        <f>'график анн'!P35</f>
        <v/>
      </c>
      <c r="P40" s="147" t="str">
        <f>'график анн'!Q35</f>
        <v/>
      </c>
    </row>
    <row r="41" spans="1:16" x14ac:dyDescent="0.35">
      <c r="A41" s="154">
        <f>'график анн'!A36</f>
        <v>12</v>
      </c>
      <c r="B41" s="155">
        <f ca="1">'график анн'!C36</f>
        <v>44754</v>
      </c>
      <c r="C41" s="156">
        <f ca="1">'график анн'!D36</f>
        <v>30</v>
      </c>
      <c r="D41" s="47">
        <f ca="1">'график анн'!E36</f>
        <v>3933820.7139761713</v>
      </c>
      <c r="E41" s="47">
        <f ca="1">'график анн'!H36</f>
        <v>38574.367733814644</v>
      </c>
      <c r="F41" s="47">
        <f ca="1">'график анн'!F36</f>
        <v>6222.8320966088322</v>
      </c>
      <c r="G41" s="47">
        <f ca="1">'график анн'!G36</f>
        <v>32351.535637205812</v>
      </c>
      <c r="H41" s="157">
        <f>'график анн'!O36</f>
        <v>0</v>
      </c>
      <c r="I41" s="157" t="str">
        <f>'график анн'!M36</f>
        <v/>
      </c>
      <c r="J41" s="224" t="str">
        <f>'график анн'!N36</f>
        <v/>
      </c>
      <c r="K41" s="157" t="str">
        <f>'график анн'!I36</f>
        <v/>
      </c>
      <c r="L41" s="157" t="str">
        <f>'график анн'!J36</f>
        <v/>
      </c>
      <c r="M41" s="157">
        <f>'график анн'!K36</f>
        <v>0</v>
      </c>
      <c r="N41" s="157" t="str">
        <f>'график анн'!L36</f>
        <v/>
      </c>
      <c r="O41" s="51" t="str">
        <f>'график анн'!P36</f>
        <v/>
      </c>
      <c r="P41" s="147" t="str">
        <f>'график анн'!Q36</f>
        <v/>
      </c>
    </row>
    <row r="42" spans="1:16" x14ac:dyDescent="0.35">
      <c r="A42" s="154">
        <f>'график анн'!A37</f>
        <v>13</v>
      </c>
      <c r="B42" s="155">
        <f ca="1">'график анн'!C37</f>
        <v>44785</v>
      </c>
      <c r="C42" s="156">
        <f ca="1">'график анн'!D37</f>
        <v>31</v>
      </c>
      <c r="D42" s="47">
        <f ca="1">'график анн'!E37</f>
        <v>3928623.46780157</v>
      </c>
      <c r="E42" s="47">
        <f ca="1">'график анн'!H37</f>
        <v>38574.367733814644</v>
      </c>
      <c r="F42" s="47">
        <f ca="1">'график анн'!F37</f>
        <v>5197.2461746014815</v>
      </c>
      <c r="G42" s="47">
        <f ca="1">'график анн'!G37</f>
        <v>33377.121559213163</v>
      </c>
      <c r="H42" s="157">
        <f>'график анн'!O37</f>
        <v>0</v>
      </c>
      <c r="I42" s="157" t="str">
        <f>'график анн'!M37</f>
        <v/>
      </c>
      <c r="J42" s="224">
        <f>'график анн'!N37</f>
        <v>2500</v>
      </c>
      <c r="K42" s="157" t="str">
        <f>'график анн'!I37</f>
        <v/>
      </c>
      <c r="L42" s="157" t="str">
        <f>'график анн'!J37</f>
        <v/>
      </c>
      <c r="M42" s="224">
        <f>'график анн'!K37</f>
        <v>17142.858</v>
      </c>
      <c r="N42" s="157" t="str">
        <f>'график анн'!L37</f>
        <v/>
      </c>
      <c r="O42" s="51" t="str">
        <f>'график анн'!P37</f>
        <v/>
      </c>
      <c r="P42" s="147" t="str">
        <f>'график анн'!Q37</f>
        <v/>
      </c>
    </row>
    <row r="43" spans="1:16" x14ac:dyDescent="0.35">
      <c r="A43" s="154">
        <f>'график анн'!A38</f>
        <v>14</v>
      </c>
      <c r="B43" s="155">
        <f ca="1">'график анн'!C38</f>
        <v>44816</v>
      </c>
      <c r="C43" s="156">
        <f ca="1">'график анн'!D38</f>
        <v>31</v>
      </c>
      <c r="D43" s="47">
        <f ca="1">'график анн'!E38</f>
        <v>3923382.1247730558</v>
      </c>
      <c r="E43" s="47">
        <f ca="1">'график анн'!H38</f>
        <v>38574.367733814644</v>
      </c>
      <c r="F43" s="47">
        <f ca="1">'график анн'!F38</f>
        <v>5241.343028514144</v>
      </c>
      <c r="G43" s="47">
        <f ca="1">'график анн'!G38</f>
        <v>33333.024705300501</v>
      </c>
      <c r="H43" s="157">
        <f>'график анн'!O38</f>
        <v>0</v>
      </c>
      <c r="I43" s="157" t="str">
        <f>'график анн'!M38</f>
        <v/>
      </c>
      <c r="J43" s="224" t="str">
        <f>'график анн'!N38</f>
        <v/>
      </c>
      <c r="K43" s="157" t="str">
        <f>'график анн'!I38</f>
        <v/>
      </c>
      <c r="L43" s="157" t="str">
        <f>'график анн'!J38</f>
        <v/>
      </c>
      <c r="M43" s="157">
        <f>'график анн'!K38</f>
        <v>0</v>
      </c>
      <c r="N43" s="157" t="str">
        <f>'график анн'!L38</f>
        <v/>
      </c>
      <c r="O43" s="51" t="str">
        <f>'график анн'!P38</f>
        <v/>
      </c>
      <c r="P43" s="147" t="str">
        <f>'график анн'!Q38</f>
        <v/>
      </c>
    </row>
    <row r="44" spans="1:16" x14ac:dyDescent="0.35">
      <c r="A44" s="154">
        <f>'график анн'!A39</f>
        <v>15</v>
      </c>
      <c r="B44" s="155">
        <f ca="1">'график анн'!C39</f>
        <v>44846</v>
      </c>
      <c r="C44" s="156">
        <f ca="1">'график анн'!D39</f>
        <v>30</v>
      </c>
      <c r="D44" s="47">
        <f ca="1">'график анн'!E39</f>
        <v>3917022.4864308708</v>
      </c>
      <c r="E44" s="47">
        <f ca="1">'график анн'!H39</f>
        <v>38574.367733814644</v>
      </c>
      <c r="F44" s="47">
        <f ca="1">'график анн'!F39</f>
        <v>6359.6383421849205</v>
      </c>
      <c r="G44" s="47">
        <f ca="1">'график анн'!G39</f>
        <v>32214.729391629724</v>
      </c>
      <c r="H44" s="157">
        <f>'график анн'!O39</f>
        <v>0</v>
      </c>
      <c r="I44" s="157" t="str">
        <f>'график анн'!M39</f>
        <v/>
      </c>
      <c r="J44" s="224" t="str">
        <f>'график анн'!N39</f>
        <v/>
      </c>
      <c r="K44" s="157" t="str">
        <f>'график анн'!I39</f>
        <v/>
      </c>
      <c r="L44" s="157" t="str">
        <f>'график анн'!J39</f>
        <v/>
      </c>
      <c r="M44" s="157">
        <f>'график анн'!K39</f>
        <v>0</v>
      </c>
      <c r="N44" s="157" t="str">
        <f>'график анн'!L39</f>
        <v/>
      </c>
      <c r="O44" s="51" t="str">
        <f>'график анн'!P39</f>
        <v/>
      </c>
      <c r="P44" s="147" t="str">
        <f>'график анн'!Q39</f>
        <v/>
      </c>
    </row>
    <row r="45" spans="1:16" x14ac:dyDescent="0.35">
      <c r="A45" s="154">
        <f>'график анн'!A40</f>
        <v>16</v>
      </c>
      <c r="B45" s="155">
        <f ca="1">'график анн'!C40</f>
        <v>44877</v>
      </c>
      <c r="C45" s="156">
        <f ca="1">'график анн'!D40</f>
        <v>31</v>
      </c>
      <c r="D45" s="47">
        <f ca="1">'график анн'!E40</f>
        <v>3911682.713048365</v>
      </c>
      <c r="E45" s="47">
        <f ca="1">'график анн'!H40</f>
        <v>38574.367733814644</v>
      </c>
      <c r="F45" s="47">
        <f ca="1">'график анн'!F40</f>
        <v>5339.7733825057003</v>
      </c>
      <c r="G45" s="47">
        <f ca="1">'график анн'!G40</f>
        <v>33234.594351308944</v>
      </c>
      <c r="H45" s="157">
        <f>'график анн'!O40</f>
        <v>0</v>
      </c>
      <c r="I45" s="157" t="str">
        <f>'график анн'!M40</f>
        <v/>
      </c>
      <c r="J45" s="224" t="str">
        <f>'график анн'!N40</f>
        <v/>
      </c>
      <c r="K45" s="157" t="str">
        <f>'график анн'!I40</f>
        <v/>
      </c>
      <c r="L45" s="157" t="str">
        <f>'график анн'!J40</f>
        <v/>
      </c>
      <c r="M45" s="157">
        <f>'график анн'!K40</f>
        <v>0</v>
      </c>
      <c r="N45" s="157" t="str">
        <f>'график анн'!L40</f>
        <v/>
      </c>
      <c r="O45" s="51" t="str">
        <f>'график анн'!P40</f>
        <v/>
      </c>
      <c r="P45" s="147" t="str">
        <f>'график анн'!Q40</f>
        <v/>
      </c>
    </row>
    <row r="46" spans="1:16" x14ac:dyDescent="0.35">
      <c r="A46" s="154">
        <f>'график анн'!A41</f>
        <v>17</v>
      </c>
      <c r="B46" s="155">
        <f ca="1">'график анн'!C41</f>
        <v>44907</v>
      </c>
      <c r="C46" s="156">
        <f ca="1">'график анн'!D41</f>
        <v>30</v>
      </c>
      <c r="D46" s="47">
        <f ca="1">'график анн'!E41</f>
        <v>3905227.0113173062</v>
      </c>
      <c r="E46" s="47">
        <f ca="1">'график анн'!H41</f>
        <v>38574.367733814644</v>
      </c>
      <c r="F46" s="47">
        <f ca="1">'график анн'!F41</f>
        <v>6455.7017310586198</v>
      </c>
      <c r="G46" s="47">
        <f ca="1">'график анн'!G41</f>
        <v>32118.666002756025</v>
      </c>
      <c r="H46" s="157">
        <f>'график анн'!O41</f>
        <v>0</v>
      </c>
      <c r="I46" s="157" t="str">
        <f>'график анн'!M41</f>
        <v/>
      </c>
      <c r="J46" s="224" t="str">
        <f>'график анн'!N41</f>
        <v/>
      </c>
      <c r="K46" s="157" t="str">
        <f>'график анн'!I41</f>
        <v/>
      </c>
      <c r="L46" s="157" t="str">
        <f>'график анн'!J41</f>
        <v/>
      </c>
      <c r="M46" s="157">
        <f>'график анн'!K41</f>
        <v>0</v>
      </c>
      <c r="N46" s="157" t="str">
        <f>'график анн'!L41</f>
        <v/>
      </c>
      <c r="O46" s="51" t="str">
        <f>'график анн'!P41</f>
        <v/>
      </c>
      <c r="P46" s="147" t="str">
        <f>'график анн'!Q41</f>
        <v/>
      </c>
    </row>
    <row r="47" spans="1:16" x14ac:dyDescent="0.35">
      <c r="A47" s="154">
        <f>'график анн'!A42</f>
        <v>18</v>
      </c>
      <c r="B47" s="155">
        <f ca="1">'график анн'!C42</f>
        <v>44938</v>
      </c>
      <c r="C47" s="156">
        <f ca="1">'график анн'!D42</f>
        <v>31</v>
      </c>
      <c r="D47" s="47">
        <f ca="1">'график анн'!E42</f>
        <v>3899787.157368008</v>
      </c>
      <c r="E47" s="47">
        <f ca="1">'график анн'!H42</f>
        <v>38574.367733814644</v>
      </c>
      <c r="F47" s="47">
        <f ca="1">'график анн'!F42</f>
        <v>5439.8539492980271</v>
      </c>
      <c r="G47" s="47">
        <f ca="1">'график анн'!G42</f>
        <v>33134.513784516617</v>
      </c>
      <c r="H47" s="157">
        <f>'график анн'!O42</f>
        <v>0</v>
      </c>
      <c r="I47" s="157" t="str">
        <f>'график анн'!M42</f>
        <v/>
      </c>
      <c r="J47" s="224" t="str">
        <f>'график анн'!N42</f>
        <v/>
      </c>
      <c r="K47" s="157" t="str">
        <f>'график анн'!I42</f>
        <v/>
      </c>
      <c r="L47" s="157" t="str">
        <f>'график анн'!J42</f>
        <v/>
      </c>
      <c r="M47" s="157">
        <f>'график анн'!K42</f>
        <v>0</v>
      </c>
      <c r="N47" s="157" t="str">
        <f>'график анн'!L42</f>
        <v/>
      </c>
      <c r="O47" s="51" t="str">
        <f>'график анн'!P42</f>
        <v/>
      </c>
      <c r="P47" s="147" t="str">
        <f>'график анн'!Q42</f>
        <v/>
      </c>
    </row>
    <row r="48" spans="1:16" x14ac:dyDescent="0.35">
      <c r="A48" s="154">
        <f>'график анн'!A43</f>
        <v>19</v>
      </c>
      <c r="B48" s="155">
        <f ca="1">'график анн'!C43</f>
        <v>44969</v>
      </c>
      <c r="C48" s="156">
        <f ca="1">'график анн'!D43</f>
        <v>31</v>
      </c>
      <c r="D48" s="47">
        <f ca="1">'график анн'!E43</f>
        <v>3894301.1481209141</v>
      </c>
      <c r="E48" s="47">
        <f ca="1">'график анн'!H43</f>
        <v>38574.367733814644</v>
      </c>
      <c r="F48" s="47">
        <f ca="1">'график анн'!F43</f>
        <v>5486.0092470941381</v>
      </c>
      <c r="G48" s="47">
        <f ca="1">'график анн'!G43</f>
        <v>33088.358486720506</v>
      </c>
      <c r="H48" s="157">
        <f>'график анн'!O43</f>
        <v>0</v>
      </c>
      <c r="I48" s="157" t="str">
        <f>'график анн'!M43</f>
        <v/>
      </c>
      <c r="J48" s="224" t="str">
        <f>'график анн'!N43</f>
        <v/>
      </c>
      <c r="K48" s="157" t="str">
        <f>'график анн'!I43</f>
        <v/>
      </c>
      <c r="L48" s="157" t="str">
        <f>'график анн'!J43</f>
        <v/>
      </c>
      <c r="M48" s="157">
        <f>'график анн'!K43</f>
        <v>0</v>
      </c>
      <c r="N48" s="157" t="str">
        <f>'график анн'!L43</f>
        <v/>
      </c>
      <c r="O48" s="51" t="str">
        <f>'график анн'!P43</f>
        <v/>
      </c>
      <c r="P48" s="147" t="str">
        <f>'график анн'!Q43</f>
        <v/>
      </c>
    </row>
    <row r="49" spans="1:16" x14ac:dyDescent="0.35">
      <c r="A49" s="154">
        <f>'график анн'!A44</f>
        <v>20</v>
      </c>
      <c r="B49" s="155">
        <f ca="1">'график анн'!C44</f>
        <v>44997</v>
      </c>
      <c r="C49" s="156">
        <f ca="1">'график анн'!D44</f>
        <v>28</v>
      </c>
      <c r="D49" s="47">
        <f ca="1">'график анн'!E44</f>
        <v>3885570.9972953838</v>
      </c>
      <c r="E49" s="47">
        <f ca="1">'график анн'!H44</f>
        <v>38574.367733814644</v>
      </c>
      <c r="F49" s="47">
        <f ca="1">'график анн'!F44</f>
        <v>8730.1508255302033</v>
      </c>
      <c r="G49" s="47">
        <f ca="1">'график анн'!G44</f>
        <v>29844.216908284441</v>
      </c>
      <c r="H49" s="157">
        <f>'график анн'!O44</f>
        <v>0</v>
      </c>
      <c r="I49" s="157" t="str">
        <f>'график анн'!M44</f>
        <v/>
      </c>
      <c r="J49" s="224" t="str">
        <f>'график анн'!N44</f>
        <v/>
      </c>
      <c r="K49" s="157" t="str">
        <f>'график анн'!I44</f>
        <v/>
      </c>
      <c r="L49" s="157" t="str">
        <f>'график анн'!J44</f>
        <v/>
      </c>
      <c r="M49" s="157">
        <f>'график анн'!K44</f>
        <v>0</v>
      </c>
      <c r="N49" s="157" t="str">
        <f>'график анн'!L44</f>
        <v/>
      </c>
      <c r="O49" s="51" t="str">
        <f>'график анн'!P44</f>
        <v/>
      </c>
      <c r="P49" s="147" t="str">
        <f>'график анн'!Q44</f>
        <v/>
      </c>
    </row>
    <row r="50" spans="1:16" x14ac:dyDescent="0.35">
      <c r="A50" s="154">
        <f>'график анн'!A45</f>
        <v>21</v>
      </c>
      <c r="B50" s="155">
        <f ca="1">'график анн'!C45</f>
        <v>45028</v>
      </c>
      <c r="C50" s="156">
        <f ca="1">'график анн'!D45</f>
        <v>31</v>
      </c>
      <c r="D50" s="47">
        <f ca="1">'график анн'!E45</f>
        <v>3879964.3687986215</v>
      </c>
      <c r="E50" s="47">
        <f ca="1">'график анн'!H45</f>
        <v>38574.367733814644</v>
      </c>
      <c r="F50" s="47">
        <f ca="1">'график анн'!F45</f>
        <v>5606.6284967623869</v>
      </c>
      <c r="G50" s="47">
        <f ca="1">'график анн'!G45</f>
        <v>32967.739237052258</v>
      </c>
      <c r="H50" s="157">
        <f>'график анн'!O45</f>
        <v>0</v>
      </c>
      <c r="I50" s="157" t="str">
        <f>'график анн'!M45</f>
        <v/>
      </c>
      <c r="J50" s="224" t="str">
        <f>'график анн'!N45</f>
        <v/>
      </c>
      <c r="K50" s="157" t="str">
        <f>'график анн'!I45</f>
        <v/>
      </c>
      <c r="L50" s="157" t="str">
        <f>'график анн'!J45</f>
        <v/>
      </c>
      <c r="M50" s="157">
        <f>'график анн'!K45</f>
        <v>0</v>
      </c>
      <c r="N50" s="157" t="str">
        <f>'график анн'!L45</f>
        <v/>
      </c>
      <c r="O50" s="51" t="str">
        <f>'график анн'!P45</f>
        <v/>
      </c>
      <c r="P50" s="147" t="str">
        <f>'график анн'!Q45</f>
        <v/>
      </c>
    </row>
    <row r="51" spans="1:16" x14ac:dyDescent="0.35">
      <c r="A51" s="154">
        <f>'график анн'!A46</f>
        <v>22</v>
      </c>
      <c r="B51" s="155">
        <f ca="1">'график анн'!C46</f>
        <v>45058</v>
      </c>
      <c r="C51" s="156">
        <f ca="1">'график анн'!D46</f>
        <v>30</v>
      </c>
      <c r="D51" s="47">
        <f ca="1">'график анн'!E46</f>
        <v>3873248.2290464216</v>
      </c>
      <c r="E51" s="47">
        <f ca="1">'график анн'!H46</f>
        <v>38574.367733814644</v>
      </c>
      <c r="F51" s="47">
        <f ca="1">'график анн'!F46</f>
        <v>6716.1397521996587</v>
      </c>
      <c r="G51" s="47">
        <f ca="1">'график анн'!G46</f>
        <v>31858.227981614986</v>
      </c>
      <c r="H51" s="157">
        <f>'график анн'!O46</f>
        <v>0</v>
      </c>
      <c r="I51" s="157" t="str">
        <f>'график анн'!M46</f>
        <v/>
      </c>
      <c r="J51" s="224" t="str">
        <f>'график анн'!N46</f>
        <v/>
      </c>
      <c r="K51" s="157" t="str">
        <f>'график анн'!I46</f>
        <v/>
      </c>
      <c r="L51" s="157" t="str">
        <f>'график анн'!J46</f>
        <v/>
      </c>
      <c r="M51" s="157">
        <f>'график анн'!K46</f>
        <v>0</v>
      </c>
      <c r="N51" s="157" t="str">
        <f>'график анн'!L46</f>
        <v/>
      </c>
      <c r="O51" s="51" t="str">
        <f>'график анн'!P46</f>
        <v/>
      </c>
      <c r="P51" s="147" t="str">
        <f>'график анн'!Q46</f>
        <v/>
      </c>
    </row>
    <row r="52" spans="1:16" x14ac:dyDescent="0.35">
      <c r="A52" s="154">
        <f>'график анн'!A47</f>
        <v>23</v>
      </c>
      <c r="B52" s="155">
        <f ca="1">'график анн'!C47</f>
        <v>45089</v>
      </c>
      <c r="C52" s="156">
        <f ca="1">'график анн'!D47</f>
        <v>31</v>
      </c>
      <c r="D52" s="47">
        <f ca="1">'график анн'!E47</f>
        <v>3867537.0460811928</v>
      </c>
      <c r="E52" s="47">
        <f ca="1">'график анн'!H47</f>
        <v>38574.367733814644</v>
      </c>
      <c r="F52" s="47">
        <f ca="1">'график анн'!F47</f>
        <v>5711.1829652287197</v>
      </c>
      <c r="G52" s="47">
        <f ca="1">'график анн'!G47</f>
        <v>32863.184768585925</v>
      </c>
      <c r="H52" s="157">
        <f>'график анн'!O47</f>
        <v>0</v>
      </c>
      <c r="I52" s="157" t="str">
        <f>'график анн'!M47</f>
        <v/>
      </c>
      <c r="J52" s="224" t="str">
        <f>'график анн'!N47</f>
        <v/>
      </c>
      <c r="K52" s="157" t="str">
        <f>'график анн'!I47</f>
        <v/>
      </c>
      <c r="L52" s="157" t="str">
        <f>'график анн'!J47</f>
        <v/>
      </c>
      <c r="M52" s="157">
        <f>'график анн'!K47</f>
        <v>0</v>
      </c>
      <c r="N52" s="157" t="str">
        <f>'график анн'!L47</f>
        <v/>
      </c>
      <c r="O52" s="51" t="str">
        <f>'график анн'!P47</f>
        <v/>
      </c>
      <c r="P52" s="147" t="str">
        <f>'график анн'!Q47</f>
        <v/>
      </c>
    </row>
    <row r="53" spans="1:16" x14ac:dyDescent="0.35">
      <c r="A53" s="154">
        <f>'график анн'!A48</f>
        <v>24</v>
      </c>
      <c r="B53" s="155">
        <f ca="1">'график анн'!C48</f>
        <v>45119</v>
      </c>
      <c r="C53" s="156">
        <f ca="1">'график анн'!D48</f>
        <v>30</v>
      </c>
      <c r="D53" s="47">
        <f ca="1">'график анн'!E48</f>
        <v>3860718.8660928723</v>
      </c>
      <c r="E53" s="47">
        <f ca="1">'график анн'!H48</f>
        <v>38574.367733814644</v>
      </c>
      <c r="F53" s="47">
        <f ca="1">'график анн'!F48</f>
        <v>6818.1799883205749</v>
      </c>
      <c r="G53" s="47">
        <f ca="1">'график анн'!G48</f>
        <v>31756.18774549407</v>
      </c>
      <c r="H53" s="157">
        <f>'график анн'!O48</f>
        <v>0</v>
      </c>
      <c r="I53" s="157" t="str">
        <f>'график анн'!M48</f>
        <v/>
      </c>
      <c r="J53" s="224" t="str">
        <f>'график анн'!N48</f>
        <v/>
      </c>
      <c r="K53" s="157" t="str">
        <f>'график анн'!I48</f>
        <v/>
      </c>
      <c r="L53" s="157" t="str">
        <f>'график анн'!J48</f>
        <v/>
      </c>
      <c r="M53" s="157">
        <f>'график анн'!K48</f>
        <v>0</v>
      </c>
      <c r="N53" s="157" t="str">
        <f>'график анн'!L48</f>
        <v/>
      </c>
      <c r="O53" s="51" t="str">
        <f>'график анн'!P48</f>
        <v/>
      </c>
      <c r="P53" s="147" t="str">
        <f>'график анн'!Q48</f>
        <v/>
      </c>
    </row>
    <row r="54" spans="1:16" x14ac:dyDescent="0.35">
      <c r="A54" s="154">
        <f>'график анн'!A49</f>
        <v>25</v>
      </c>
      <c r="B54" s="155">
        <f ca="1">'график анн'!C49</f>
        <v>45150</v>
      </c>
      <c r="C54" s="156">
        <f ca="1">'график анн'!D49</f>
        <v>31</v>
      </c>
      <c r="D54" s="47">
        <f ca="1">'график анн'!E49</f>
        <v>3854901.3757738606</v>
      </c>
      <c r="E54" s="47">
        <f ca="1">'график анн'!H49</f>
        <v>38574.367733814644</v>
      </c>
      <c r="F54" s="47">
        <f ca="1">'график анн'!F49</f>
        <v>5817.4903190118603</v>
      </c>
      <c r="G54" s="47">
        <f ca="1">'график анн'!G49</f>
        <v>32756.877414802784</v>
      </c>
      <c r="H54" s="157">
        <f>'график анн'!O49</f>
        <v>0</v>
      </c>
      <c r="I54" s="157" t="str">
        <f>'график анн'!M49</f>
        <v/>
      </c>
      <c r="J54" s="224">
        <f>'график анн'!N49</f>
        <v>2500</v>
      </c>
      <c r="K54" s="157" t="str">
        <f>'график анн'!I49</f>
        <v/>
      </c>
      <c r="L54" s="157" t="str">
        <f>'график анн'!J49</f>
        <v/>
      </c>
      <c r="M54" s="224">
        <f>'график анн'!K49</f>
        <v>17142.858</v>
      </c>
      <c r="N54" s="157" t="str">
        <f>'график анн'!L49</f>
        <v/>
      </c>
      <c r="O54" s="51" t="str">
        <f>'график анн'!P49</f>
        <v/>
      </c>
      <c r="P54" s="147" t="str">
        <f>'график анн'!Q49</f>
        <v/>
      </c>
    </row>
    <row r="55" spans="1:16" x14ac:dyDescent="0.35">
      <c r="A55" s="154">
        <f>'график анн'!A50</f>
        <v>26</v>
      </c>
      <c r="B55" s="155">
        <f ca="1">'график анн'!C50</f>
        <v>45181</v>
      </c>
      <c r="C55" s="156">
        <f ca="1">'график анн'!D50</f>
        <v>31</v>
      </c>
      <c r="D55" s="47">
        <f ca="1">'график анн'!E50</f>
        <v>3849034.5260417829</v>
      </c>
      <c r="E55" s="47">
        <f ca="1">'график анн'!H50</f>
        <v>38574.367733814644</v>
      </c>
      <c r="F55" s="47">
        <f ca="1">'график анн'!F50</f>
        <v>5866.8497320774695</v>
      </c>
      <c r="G55" s="47">
        <f ca="1">'график анн'!G50</f>
        <v>32707.518001737175</v>
      </c>
      <c r="H55" s="157">
        <f>'график анн'!O50</f>
        <v>0</v>
      </c>
      <c r="I55" s="157" t="str">
        <f>'график анн'!M50</f>
        <v/>
      </c>
      <c r="J55" s="224" t="str">
        <f>'график анн'!N50</f>
        <v/>
      </c>
      <c r="K55" s="157" t="str">
        <f>'график анн'!I50</f>
        <v/>
      </c>
      <c r="L55" s="157" t="str">
        <f>'график анн'!J50</f>
        <v/>
      </c>
      <c r="M55" s="157">
        <f>'график анн'!K50</f>
        <v>0</v>
      </c>
      <c r="N55" s="157" t="str">
        <f>'график анн'!L50</f>
        <v/>
      </c>
      <c r="O55" s="51" t="str">
        <f>'график анн'!P50</f>
        <v/>
      </c>
      <c r="P55" s="147" t="str">
        <f>'график анн'!Q50</f>
        <v/>
      </c>
    </row>
    <row r="56" spans="1:16" x14ac:dyDescent="0.35">
      <c r="A56" s="154">
        <f>'график анн'!A51</f>
        <v>27</v>
      </c>
      <c r="B56" s="155">
        <f ca="1">'график анн'!C51</f>
        <v>45211</v>
      </c>
      <c r="C56" s="156">
        <f ca="1">'график анн'!D51</f>
        <v>30</v>
      </c>
      <c r="D56" s="47">
        <f ca="1">'график анн'!E51</f>
        <v>3842064.4226217964</v>
      </c>
      <c r="E56" s="47">
        <f ca="1">'график анн'!H51</f>
        <v>38574.367733814644</v>
      </c>
      <c r="F56" s="47">
        <f ca="1">'график анн'!F51</f>
        <v>6970.1034199866335</v>
      </c>
      <c r="G56" s="47">
        <f ca="1">'график анн'!G51</f>
        <v>31604.264313828011</v>
      </c>
      <c r="H56" s="157">
        <f>'график анн'!O51</f>
        <v>0</v>
      </c>
      <c r="I56" s="157" t="str">
        <f>'график анн'!M51</f>
        <v/>
      </c>
      <c r="J56" s="224" t="str">
        <f>'график анн'!N51</f>
        <v/>
      </c>
      <c r="K56" s="157" t="str">
        <f>'график анн'!I51</f>
        <v/>
      </c>
      <c r="L56" s="157" t="str">
        <f>'график анн'!J51</f>
        <v/>
      </c>
      <c r="M56" s="157">
        <f>'график анн'!K51</f>
        <v>0</v>
      </c>
      <c r="N56" s="157" t="str">
        <f>'график анн'!L51</f>
        <v/>
      </c>
      <c r="O56" s="51" t="str">
        <f>'график анн'!P51</f>
        <v/>
      </c>
      <c r="P56" s="147" t="str">
        <f>'график анн'!Q51</f>
        <v/>
      </c>
    </row>
    <row r="57" spans="1:16" x14ac:dyDescent="0.35">
      <c r="A57" s="154">
        <f>'график анн'!A52</f>
        <v>28</v>
      </c>
      <c r="B57" s="155">
        <f ca="1">'график анн'!C52</f>
        <v>45242</v>
      </c>
      <c r="C57" s="156">
        <f ca="1">'график анн'!D52</f>
        <v>31</v>
      </c>
      <c r="D57" s="47">
        <f ca="1">'график анн'!E52</f>
        <v>3836088.6557384403</v>
      </c>
      <c r="E57" s="47">
        <f ca="1">'график анн'!H52</f>
        <v>38574.367733814644</v>
      </c>
      <c r="F57" s="47">
        <f ca="1">'график анн'!F52</f>
        <v>5975.7668833559001</v>
      </c>
      <c r="G57" s="47">
        <f ca="1">'график анн'!G52</f>
        <v>32598.600850458744</v>
      </c>
      <c r="H57" s="157">
        <f>'график анн'!O52</f>
        <v>0</v>
      </c>
      <c r="I57" s="157" t="str">
        <f>'график анн'!M52</f>
        <v/>
      </c>
      <c r="J57" s="224" t="str">
        <f>'график анн'!N52</f>
        <v/>
      </c>
      <c r="K57" s="157" t="str">
        <f>'график анн'!I52</f>
        <v/>
      </c>
      <c r="L57" s="157" t="str">
        <f>'график анн'!J52</f>
        <v/>
      </c>
      <c r="M57" s="157">
        <f>'график анн'!K52</f>
        <v>0</v>
      </c>
      <c r="N57" s="157" t="str">
        <f>'график анн'!L52</f>
        <v/>
      </c>
      <c r="O57" s="51" t="str">
        <f>'график анн'!P52</f>
        <v/>
      </c>
      <c r="P57" s="147" t="str">
        <f>'график анн'!Q52</f>
        <v/>
      </c>
    </row>
    <row r="58" spans="1:16" x14ac:dyDescent="0.35">
      <c r="A58" s="154">
        <f>'график анн'!A53</f>
        <v>29</v>
      </c>
      <c r="B58" s="155">
        <f ca="1">'график анн'!C53</f>
        <v>45272</v>
      </c>
      <c r="C58" s="156">
        <f ca="1">'график анн'!D53</f>
        <v>30</v>
      </c>
      <c r="D58" s="47">
        <f ca="1">'график анн'!E53</f>
        <v>3829012.2543094149</v>
      </c>
      <c r="E58" s="47">
        <f ca="1">'график анн'!H53</f>
        <v>38574.367733814644</v>
      </c>
      <c r="F58" s="47">
        <f ca="1">'график анн'!F53</f>
        <v>7076.4014290253144</v>
      </c>
      <c r="G58" s="47">
        <f ca="1">'график анн'!G53</f>
        <v>31497.96630478933</v>
      </c>
      <c r="H58" s="157">
        <f>'график анн'!O53</f>
        <v>0</v>
      </c>
      <c r="I58" s="157" t="str">
        <f>'график анн'!M53</f>
        <v/>
      </c>
      <c r="J58" s="224" t="str">
        <f>'график анн'!N53</f>
        <v/>
      </c>
      <c r="K58" s="157" t="str">
        <f>'график анн'!I53</f>
        <v/>
      </c>
      <c r="L58" s="157" t="str">
        <f>'график анн'!J53</f>
        <v/>
      </c>
      <c r="M58" s="157">
        <f>'график анн'!K53</f>
        <v>0</v>
      </c>
      <c r="N58" s="157" t="str">
        <f>'график анн'!L53</f>
        <v/>
      </c>
      <c r="O58" s="51" t="str">
        <f>'график анн'!P53</f>
        <v/>
      </c>
      <c r="P58" s="147" t="str">
        <f>'график анн'!Q53</f>
        <v/>
      </c>
    </row>
    <row r="59" spans="1:16" x14ac:dyDescent="0.35">
      <c r="A59" s="154">
        <f>'график анн'!A54</f>
        <v>30</v>
      </c>
      <c r="B59" s="155">
        <f ca="1">'график анн'!C54</f>
        <v>45303</v>
      </c>
      <c r="C59" s="156">
        <f ca="1">'график анн'!D54</f>
        <v>31</v>
      </c>
      <c r="D59" s="47">
        <f ca="1">'график анн'!E54</f>
        <v>3822925.7442478491</v>
      </c>
      <c r="E59" s="47">
        <f ca="1">'график анн'!H54</f>
        <v>38574.367733814644</v>
      </c>
      <c r="F59" s="47">
        <f ca="1">'график анн'!F54</f>
        <v>6086.5100615658012</v>
      </c>
      <c r="G59" s="47">
        <f ca="1">'график анн'!G54</f>
        <v>32487.857672248843</v>
      </c>
      <c r="H59" s="157">
        <f>'график анн'!O54</f>
        <v>0</v>
      </c>
      <c r="I59" s="157" t="str">
        <f>'график анн'!M54</f>
        <v/>
      </c>
      <c r="J59" s="224" t="str">
        <f>'график анн'!N54</f>
        <v/>
      </c>
      <c r="K59" s="157" t="str">
        <f>'график анн'!I54</f>
        <v/>
      </c>
      <c r="L59" s="157" t="str">
        <f>'график анн'!J54</f>
        <v/>
      </c>
      <c r="M59" s="157">
        <f>'график анн'!K54</f>
        <v>0</v>
      </c>
      <c r="N59" s="157" t="str">
        <f>'график анн'!L54</f>
        <v/>
      </c>
      <c r="O59" s="51" t="str">
        <f>'график анн'!P54</f>
        <v/>
      </c>
      <c r="P59" s="147" t="str">
        <f>'график анн'!Q54</f>
        <v/>
      </c>
    </row>
    <row r="60" spans="1:16" x14ac:dyDescent="0.35">
      <c r="A60" s="154">
        <f>'график анн'!A55</f>
        <v>31</v>
      </c>
      <c r="B60" s="155">
        <f ca="1">'график анн'!C55</f>
        <v>45334</v>
      </c>
      <c r="C60" s="156">
        <f ca="1">'график анн'!D55</f>
        <v>31</v>
      </c>
      <c r="D60" s="47">
        <f ca="1">'график анн'!E55</f>
        <v>3816698.968692617</v>
      </c>
      <c r="E60" s="47">
        <f ca="1">'график анн'!H55</f>
        <v>38574.367733814644</v>
      </c>
      <c r="F60" s="47">
        <f ca="1">'график анн'!F55</f>
        <v>6226.7755552322305</v>
      </c>
      <c r="G60" s="47">
        <f ca="1">'график анн'!G55</f>
        <v>32347.592178582414</v>
      </c>
      <c r="H60" s="157">
        <f>'график анн'!O55</f>
        <v>0</v>
      </c>
      <c r="I60" s="157" t="str">
        <f>'график анн'!M55</f>
        <v/>
      </c>
      <c r="J60" s="224" t="str">
        <f>'график анн'!N55</f>
        <v/>
      </c>
      <c r="K60" s="157" t="str">
        <f>'график анн'!I55</f>
        <v/>
      </c>
      <c r="L60" s="157" t="str">
        <f>'график анн'!J55</f>
        <v/>
      </c>
      <c r="M60" s="157">
        <f>'график анн'!K55</f>
        <v>0</v>
      </c>
      <c r="N60" s="157" t="str">
        <f>'график анн'!L55</f>
        <v/>
      </c>
      <c r="O60" s="51" t="str">
        <f>'график анн'!P55</f>
        <v/>
      </c>
      <c r="P60" s="147" t="str">
        <f>'график анн'!Q55</f>
        <v/>
      </c>
    </row>
    <row r="61" spans="1:16" x14ac:dyDescent="0.35">
      <c r="A61" s="154">
        <f>'график анн'!A56</f>
        <v>32</v>
      </c>
      <c r="B61" s="155">
        <f ca="1">'график анн'!C56</f>
        <v>45363</v>
      </c>
      <c r="C61" s="156">
        <f ca="1">'график анн'!D56</f>
        <v>29</v>
      </c>
      <c r="D61" s="47">
        <f ca="1">'график анн'!E56</f>
        <v>3808335.9632052486</v>
      </c>
      <c r="E61" s="47">
        <f ca="1">'график анн'!H56</f>
        <v>38574.367733814644</v>
      </c>
      <c r="F61" s="47">
        <f ca="1">'график анн'!F56</f>
        <v>8363.0054873682457</v>
      </c>
      <c r="G61" s="47">
        <f ca="1">'график анн'!G56</f>
        <v>30211.362246446399</v>
      </c>
      <c r="H61" s="157">
        <f>'график анн'!O56</f>
        <v>0</v>
      </c>
      <c r="I61" s="157" t="str">
        <f>'график анн'!M56</f>
        <v/>
      </c>
      <c r="J61" s="224" t="str">
        <f>'график анн'!N56</f>
        <v/>
      </c>
      <c r="K61" s="157" t="str">
        <f>'график анн'!I56</f>
        <v/>
      </c>
      <c r="L61" s="157" t="str">
        <f>'график анн'!J56</f>
        <v/>
      </c>
      <c r="M61" s="157">
        <f>'график анн'!K56</f>
        <v>0</v>
      </c>
      <c r="N61" s="157" t="str">
        <f>'график анн'!L56</f>
        <v/>
      </c>
      <c r="O61" s="51" t="str">
        <f>'график анн'!P56</f>
        <v/>
      </c>
      <c r="P61" s="147" t="str">
        <f>'график анн'!Q56</f>
        <v/>
      </c>
    </row>
    <row r="62" spans="1:16" x14ac:dyDescent="0.35">
      <c r="A62" s="154">
        <f>'график анн'!A57</f>
        <v>33</v>
      </c>
      <c r="B62" s="155">
        <f ca="1">'график анн'!C57</f>
        <v>45394</v>
      </c>
      <c r="C62" s="156">
        <f ca="1">'график анн'!D57</f>
        <v>31</v>
      </c>
      <c r="D62" s="47">
        <f ca="1">'график анн'!E57</f>
        <v>3801985.7365764896</v>
      </c>
      <c r="E62" s="47">
        <f ca="1">'график анн'!H57</f>
        <v>38574.367733814644</v>
      </c>
      <c r="F62" s="47">
        <f ca="1">'график анн'!F57</f>
        <v>6350.2266287590865</v>
      </c>
      <c r="G62" s="47">
        <f ca="1">'график анн'!G57</f>
        <v>32224.141105055558</v>
      </c>
      <c r="H62" s="157">
        <f>'график анн'!O57</f>
        <v>0</v>
      </c>
      <c r="I62" s="157" t="str">
        <f>'график анн'!M57</f>
        <v/>
      </c>
      <c r="J62" s="224" t="str">
        <f>'график анн'!N57</f>
        <v/>
      </c>
      <c r="K62" s="157" t="str">
        <f>'график анн'!I57</f>
        <v/>
      </c>
      <c r="L62" s="157" t="str">
        <f>'график анн'!J57</f>
        <v/>
      </c>
      <c r="M62" s="157">
        <f>'график анн'!K57</f>
        <v>0</v>
      </c>
      <c r="N62" s="157" t="str">
        <f>'график анн'!L57</f>
        <v/>
      </c>
      <c r="O62" s="51" t="str">
        <f>'график анн'!P57</f>
        <v/>
      </c>
      <c r="P62" s="147" t="str">
        <f>'график анн'!Q57</f>
        <v/>
      </c>
    </row>
    <row r="63" spans="1:16" x14ac:dyDescent="0.35">
      <c r="A63" s="154">
        <f>'график анн'!A58</f>
        <v>34</v>
      </c>
      <c r="B63" s="155">
        <f ca="1">'график анн'!C58</f>
        <v>45424</v>
      </c>
      <c r="C63" s="156">
        <f ca="1">'график анн'!D58</f>
        <v>30</v>
      </c>
      <c r="D63" s="47">
        <f ca="1">'график анн'!E58</f>
        <v>3794544.0225380841</v>
      </c>
      <c r="E63" s="47">
        <f ca="1">'график анн'!H58</f>
        <v>38574.367733814644</v>
      </c>
      <c r="F63" s="47">
        <f ca="1">'график анн'!F58</f>
        <v>7441.7140384055201</v>
      </c>
      <c r="G63" s="47">
        <f ca="1">'график анн'!G58</f>
        <v>31132.653695409124</v>
      </c>
      <c r="H63" s="157">
        <f>'график анн'!O58</f>
        <v>0</v>
      </c>
      <c r="I63" s="157" t="str">
        <f>'график анн'!M58</f>
        <v/>
      </c>
      <c r="J63" s="224" t="str">
        <f>'график анн'!N58</f>
        <v/>
      </c>
      <c r="K63" s="157" t="str">
        <f>'график анн'!I58</f>
        <v/>
      </c>
      <c r="L63" s="157" t="str">
        <f>'график анн'!J58</f>
        <v/>
      </c>
      <c r="M63" s="157">
        <f>'график анн'!K58</f>
        <v>0</v>
      </c>
      <c r="N63" s="157" t="str">
        <f>'график анн'!L58</f>
        <v/>
      </c>
      <c r="O63" s="51" t="str">
        <f>'график анн'!P58</f>
        <v/>
      </c>
      <c r="P63" s="147" t="str">
        <f>'график анн'!Q58</f>
        <v/>
      </c>
    </row>
    <row r="64" spans="1:16" x14ac:dyDescent="0.35">
      <c r="A64" s="154">
        <f>'график анн'!A59</f>
        <v>35</v>
      </c>
      <c r="B64" s="155">
        <f ca="1">'график анн'!C59</f>
        <v>45455</v>
      </c>
      <c r="C64" s="156">
        <f ca="1">'график анн'!D59</f>
        <v>31</v>
      </c>
      <c r="D64" s="47">
        <f ca="1">'график анн'!E59</f>
        <v>3788077.0957425158</v>
      </c>
      <c r="E64" s="47">
        <f ca="1">'график анн'!H59</f>
        <v>38574.367733814644</v>
      </c>
      <c r="F64" s="47">
        <f ca="1">'график анн'!F59</f>
        <v>6466.9267955682117</v>
      </c>
      <c r="G64" s="47">
        <f ca="1">'график анн'!G59</f>
        <v>32107.440938246433</v>
      </c>
      <c r="H64" s="157">
        <f>'график анн'!O59</f>
        <v>0</v>
      </c>
      <c r="I64" s="157" t="str">
        <f>'график анн'!M59</f>
        <v/>
      </c>
      <c r="J64" s="224" t="str">
        <f>'график анн'!N59</f>
        <v/>
      </c>
      <c r="K64" s="157" t="str">
        <f>'график анн'!I59</f>
        <v/>
      </c>
      <c r="L64" s="157" t="str">
        <f>'график анн'!J59</f>
        <v/>
      </c>
      <c r="M64" s="157">
        <f>'график анн'!K59</f>
        <v>0</v>
      </c>
      <c r="N64" s="157" t="str">
        <f>'график анн'!L59</f>
        <v/>
      </c>
      <c r="O64" s="51" t="str">
        <f>'график анн'!P59</f>
        <v/>
      </c>
      <c r="P64" s="147" t="str">
        <f>'график анн'!Q59</f>
        <v/>
      </c>
    </row>
    <row r="65" spans="1:16" x14ac:dyDescent="0.35">
      <c r="A65" s="154">
        <f>'график анн'!A60</f>
        <v>36</v>
      </c>
      <c r="B65" s="155">
        <f ca="1">'график анн'!C60</f>
        <v>45485</v>
      </c>
      <c r="C65" s="156">
        <f ca="1">'график анн'!D60</f>
        <v>30</v>
      </c>
      <c r="D65" s="47">
        <f ca="1">'график анн'!E60</f>
        <v>3780521.4904566254</v>
      </c>
      <c r="E65" s="47">
        <f ca="1">'график анн'!H60</f>
        <v>38574.367733814644</v>
      </c>
      <c r="F65" s="47">
        <f ca="1">'график анн'!F60</f>
        <v>7555.6052858902694</v>
      </c>
      <c r="G65" s="47">
        <f ca="1">'график анн'!G60</f>
        <v>31018.762447924375</v>
      </c>
      <c r="H65" s="157">
        <f>'график анн'!O60</f>
        <v>0</v>
      </c>
      <c r="I65" s="157" t="str">
        <f>'график анн'!M60</f>
        <v/>
      </c>
      <c r="J65" s="224" t="str">
        <f>'график анн'!N60</f>
        <v/>
      </c>
      <c r="K65" s="157" t="str">
        <f>'график анн'!I60</f>
        <v/>
      </c>
      <c r="L65" s="157" t="str">
        <f>'график анн'!J60</f>
        <v/>
      </c>
      <c r="M65" s="157">
        <f>'график анн'!K60</f>
        <v>0</v>
      </c>
      <c r="N65" s="157" t="str">
        <f>'график анн'!L60</f>
        <v/>
      </c>
      <c r="O65" s="51" t="str">
        <f>'график анн'!P60</f>
        <v/>
      </c>
      <c r="P65" s="147" t="str">
        <f>'график анн'!Q60</f>
        <v/>
      </c>
    </row>
    <row r="66" spans="1:16" x14ac:dyDescent="0.35">
      <c r="A66" s="154">
        <f>'график анн'!A61</f>
        <v>37</v>
      </c>
      <c r="B66" s="155">
        <f ca="1">'график анн'!C61</f>
        <v>45516</v>
      </c>
      <c r="C66" s="156">
        <f ca="1">'график анн'!D61</f>
        <v>31</v>
      </c>
      <c r="D66" s="47">
        <f ca="1">'график анн'!E61</f>
        <v>3773935.9123506662</v>
      </c>
      <c r="E66" s="47">
        <f ca="1">'график анн'!H61</f>
        <v>38574.367733814644</v>
      </c>
      <c r="F66" s="47">
        <f ca="1">'график анн'!F61</f>
        <v>6585.5781059591172</v>
      </c>
      <c r="G66" s="47">
        <f ca="1">'график анн'!G61</f>
        <v>31988.789627855527</v>
      </c>
      <c r="H66" s="157">
        <f>'график анн'!O61</f>
        <v>0</v>
      </c>
      <c r="I66" s="157" t="str">
        <f>'график анн'!M61</f>
        <v/>
      </c>
      <c r="J66" s="224">
        <f>'график анн'!N61</f>
        <v>2500</v>
      </c>
      <c r="K66" s="157" t="str">
        <f>'график анн'!I61</f>
        <v/>
      </c>
      <c r="L66" s="157" t="str">
        <f>'график анн'!J61</f>
        <v/>
      </c>
      <c r="M66" s="224">
        <f>'график анн'!K61</f>
        <v>17142.858</v>
      </c>
      <c r="N66" s="157" t="str">
        <f>'график анн'!L61</f>
        <v/>
      </c>
      <c r="O66" s="51" t="str">
        <f>'график анн'!P61</f>
        <v/>
      </c>
      <c r="P66" s="147" t="str">
        <f>'график анн'!Q61</f>
        <v/>
      </c>
    </row>
    <row r="67" spans="1:16" x14ac:dyDescent="0.35">
      <c r="A67" s="154">
        <f>'график анн'!A62</f>
        <v>38</v>
      </c>
      <c r="B67" s="155">
        <f ca="1">'график анн'!C62</f>
        <v>45547</v>
      </c>
      <c r="C67" s="156">
        <f ca="1">'график анн'!D62</f>
        <v>31</v>
      </c>
      <c r="D67" s="47">
        <f ca="1">'график анн'!E62</f>
        <v>3767294.6105375038</v>
      </c>
      <c r="E67" s="47">
        <f ca="1">'график анн'!H62</f>
        <v>38574.367733814644</v>
      </c>
      <c r="F67" s="47">
        <f ca="1">'график анн'!F62</f>
        <v>6641.3018131622448</v>
      </c>
      <c r="G67" s="47">
        <f ca="1">'график анн'!G62</f>
        <v>31933.0659206524</v>
      </c>
      <c r="H67" s="157">
        <f>'график анн'!O62</f>
        <v>0</v>
      </c>
      <c r="I67" s="157" t="str">
        <f>'график анн'!M62</f>
        <v/>
      </c>
      <c r="J67" s="224" t="str">
        <f>'график анн'!N62</f>
        <v/>
      </c>
      <c r="K67" s="157" t="str">
        <f>'график анн'!I62</f>
        <v/>
      </c>
      <c r="L67" s="157" t="str">
        <f>'график анн'!J62</f>
        <v/>
      </c>
      <c r="M67" s="157">
        <f>'график анн'!K62</f>
        <v>0</v>
      </c>
      <c r="N67" s="157" t="str">
        <f>'график анн'!L62</f>
        <v/>
      </c>
      <c r="O67" s="51" t="str">
        <f>'график анн'!P62</f>
        <v/>
      </c>
      <c r="P67" s="147" t="str">
        <f>'график анн'!Q62</f>
        <v/>
      </c>
    </row>
    <row r="68" spans="1:16" x14ac:dyDescent="0.35">
      <c r="A68" s="154">
        <f>'график анн'!A63</f>
        <v>39</v>
      </c>
      <c r="B68" s="155">
        <f ca="1">'график анн'!C63</f>
        <v>45577</v>
      </c>
      <c r="C68" s="156">
        <f ca="1">'график анн'!D63</f>
        <v>30</v>
      </c>
      <c r="D68" s="47">
        <f ca="1">'график анн'!E63</f>
        <v>3759568.8273604675</v>
      </c>
      <c r="E68" s="47">
        <f ca="1">'график анн'!H63</f>
        <v>38574.367733814644</v>
      </c>
      <c r="F68" s="47">
        <f ca="1">'график анн'!F63</f>
        <v>7725.7831770362282</v>
      </c>
      <c r="G68" s="47">
        <f ca="1">'график анн'!G63</f>
        <v>30848.584556778416</v>
      </c>
      <c r="H68" s="157">
        <f>'график анн'!O63</f>
        <v>0</v>
      </c>
      <c r="I68" s="157" t="str">
        <f>'график анн'!M63</f>
        <v/>
      </c>
      <c r="J68" s="224" t="str">
        <f>'график анн'!N63</f>
        <v/>
      </c>
      <c r="K68" s="157" t="str">
        <f>'график анн'!I63</f>
        <v/>
      </c>
      <c r="L68" s="157" t="str">
        <f>'график анн'!J63</f>
        <v/>
      </c>
      <c r="M68" s="157">
        <f>'график анн'!K63</f>
        <v>0</v>
      </c>
      <c r="N68" s="157" t="str">
        <f>'график анн'!L63</f>
        <v/>
      </c>
      <c r="O68" s="51" t="str">
        <f>'график анн'!P63</f>
        <v/>
      </c>
      <c r="P68" s="147" t="str">
        <f>'график анн'!Q63</f>
        <v/>
      </c>
    </row>
    <row r="69" spans="1:16" x14ac:dyDescent="0.35">
      <c r="A69" s="154">
        <f>'график анн'!A64</f>
        <v>40</v>
      </c>
      <c r="B69" s="155">
        <f ca="1">'график анн'!C64</f>
        <v>45608</v>
      </c>
      <c r="C69" s="156">
        <f ca="1">'график анн'!D64</f>
        <v>31</v>
      </c>
      <c r="D69" s="47">
        <f ca="1">'график анн'!E64</f>
        <v>3752805.9588109497</v>
      </c>
      <c r="E69" s="47">
        <f ca="1">'график анн'!H64</f>
        <v>38574.367733814644</v>
      </c>
      <c r="F69" s="47">
        <f ca="1">'график анн'!F64</f>
        <v>6762.8685495178361</v>
      </c>
      <c r="G69" s="47">
        <f ca="1">'график анн'!G64</f>
        <v>31811.499184296808</v>
      </c>
      <c r="H69" s="157">
        <f>'график анн'!O64</f>
        <v>0</v>
      </c>
      <c r="I69" s="157" t="str">
        <f>'график анн'!M64</f>
        <v/>
      </c>
      <c r="J69" s="224" t="str">
        <f>'график анн'!N64</f>
        <v/>
      </c>
      <c r="K69" s="157" t="str">
        <f>'график анн'!I64</f>
        <v/>
      </c>
      <c r="L69" s="157" t="str">
        <f>'график анн'!J64</f>
        <v/>
      </c>
      <c r="M69" s="157">
        <f>'график анн'!K64</f>
        <v>0</v>
      </c>
      <c r="N69" s="157" t="str">
        <f>'график анн'!L64</f>
        <v/>
      </c>
      <c r="O69" s="51" t="str">
        <f>'график анн'!P64</f>
        <v/>
      </c>
      <c r="P69" s="147" t="str">
        <f>'график анн'!Q64</f>
        <v/>
      </c>
    </row>
    <row r="70" spans="1:16" x14ac:dyDescent="0.35">
      <c r="A70" s="154">
        <f>'график анн'!A65</f>
        <v>41</v>
      </c>
      <c r="B70" s="155">
        <f ca="1">'график анн'!C65</f>
        <v>45638</v>
      </c>
      <c r="C70" s="156">
        <f ca="1">'график анн'!D65</f>
        <v>30</v>
      </c>
      <c r="D70" s="47">
        <f ca="1">'график анн'!E65</f>
        <v>3744961.5349529721</v>
      </c>
      <c r="E70" s="47">
        <f ca="1">'график анн'!H65</f>
        <v>38574.367733814644</v>
      </c>
      <c r="F70" s="47">
        <f ca="1">'график анн'!F65</f>
        <v>7844.4238579774392</v>
      </c>
      <c r="G70" s="47">
        <f ca="1">'график анн'!G65</f>
        <v>30729.943875837205</v>
      </c>
      <c r="H70" s="157">
        <f>'график анн'!O65</f>
        <v>0</v>
      </c>
      <c r="I70" s="157" t="str">
        <f>'график анн'!M65</f>
        <v/>
      </c>
      <c r="J70" s="224" t="str">
        <f>'график анн'!N65</f>
        <v/>
      </c>
      <c r="K70" s="157" t="str">
        <f>'график анн'!I65</f>
        <v/>
      </c>
      <c r="L70" s="157" t="str">
        <f>'график анн'!J65</f>
        <v/>
      </c>
      <c r="M70" s="157">
        <f>'график анн'!K65</f>
        <v>0</v>
      </c>
      <c r="N70" s="157" t="str">
        <f>'график анн'!L65</f>
        <v/>
      </c>
      <c r="O70" s="51" t="str">
        <f>'график анн'!P65</f>
        <v/>
      </c>
      <c r="P70" s="147" t="str">
        <f>'график анн'!Q65</f>
        <v/>
      </c>
    </row>
    <row r="71" spans="1:16" x14ac:dyDescent="0.35">
      <c r="A71" s="154">
        <f>'график анн'!A66</f>
        <v>42</v>
      </c>
      <c r="B71" s="155">
        <f ca="1">'график анн'!C66</f>
        <v>45669</v>
      </c>
      <c r="C71" s="156">
        <f ca="1">'график анн'!D66</f>
        <v>31</v>
      </c>
      <c r="D71" s="47">
        <f ca="1">'график анн'!E66</f>
        <v>3738075.0671579437</v>
      </c>
      <c r="E71" s="47">
        <f ca="1">'график анн'!H66</f>
        <v>38574.367733814644</v>
      </c>
      <c r="F71" s="47">
        <f ca="1">'график анн'!F66</f>
        <v>6886.4677950281402</v>
      </c>
      <c r="G71" s="47">
        <f ca="1">'график анн'!G66</f>
        <v>31687.899938786504</v>
      </c>
      <c r="H71" s="157">
        <f>'график анн'!O66</f>
        <v>0</v>
      </c>
      <c r="I71" s="157" t="str">
        <f>'график анн'!M66</f>
        <v/>
      </c>
      <c r="J71" s="224" t="str">
        <f>'график анн'!N66</f>
        <v/>
      </c>
      <c r="K71" s="157" t="str">
        <f>'график анн'!I66</f>
        <v/>
      </c>
      <c r="L71" s="157" t="str">
        <f>'график анн'!J66</f>
        <v/>
      </c>
      <c r="M71" s="157">
        <f>'график анн'!K66</f>
        <v>0</v>
      </c>
      <c r="N71" s="157" t="str">
        <f>'график анн'!L66</f>
        <v/>
      </c>
      <c r="O71" s="51" t="str">
        <f>'график анн'!P66</f>
        <v/>
      </c>
      <c r="P71" s="147" t="str">
        <f>'график анн'!Q66</f>
        <v/>
      </c>
    </row>
    <row r="72" spans="1:16" x14ac:dyDescent="0.35">
      <c r="A72" s="154">
        <f>'график анн'!A67</f>
        <v>43</v>
      </c>
      <c r="B72" s="155">
        <f ca="1">'график анн'!C67</f>
        <v>45700</v>
      </c>
      <c r="C72" s="156">
        <f ca="1">'график анн'!D67</f>
        <v>31</v>
      </c>
      <c r="D72" s="47">
        <f ca="1">'график анн'!E67</f>
        <v>3731216.9862062698</v>
      </c>
      <c r="E72" s="47">
        <f ca="1">'график анн'!H67</f>
        <v>38574.367733814644</v>
      </c>
      <c r="F72" s="47">
        <f ca="1">'график анн'!F67</f>
        <v>6858.0809516737208</v>
      </c>
      <c r="G72" s="47">
        <f ca="1">'график анн'!G67</f>
        <v>31716.286782140924</v>
      </c>
      <c r="H72" s="157">
        <f>'график анн'!O67</f>
        <v>0</v>
      </c>
      <c r="I72" s="157" t="str">
        <f>'график анн'!M67</f>
        <v/>
      </c>
      <c r="J72" s="224" t="str">
        <f>'график анн'!N67</f>
        <v/>
      </c>
      <c r="K72" s="157" t="str">
        <f>'график анн'!I67</f>
        <v/>
      </c>
      <c r="L72" s="157" t="str">
        <f>'график анн'!J67</f>
        <v/>
      </c>
      <c r="M72" s="157">
        <f>'график анн'!K67</f>
        <v>0</v>
      </c>
      <c r="N72" s="157" t="str">
        <f>'график анн'!L67</f>
        <v/>
      </c>
      <c r="O72" s="51" t="str">
        <f>'график анн'!P67</f>
        <v/>
      </c>
      <c r="P72" s="147" t="str">
        <f>'график анн'!Q67</f>
        <v/>
      </c>
    </row>
    <row r="73" spans="1:16" x14ac:dyDescent="0.35">
      <c r="A73" s="154">
        <f>'график анн'!A68</f>
        <v>44</v>
      </c>
      <c r="B73" s="155">
        <f ca="1">'график анн'!C68</f>
        <v>45728</v>
      </c>
      <c r="C73" s="156">
        <f ca="1">'график анн'!D68</f>
        <v>28</v>
      </c>
      <c r="D73" s="47">
        <f ca="1">'график анн'!E68</f>
        <v>3721237.0298527735</v>
      </c>
      <c r="E73" s="47">
        <f ca="1">'график анн'!H68</f>
        <v>38574.367733814644</v>
      </c>
      <c r="F73" s="47">
        <f ca="1">'график анн'!F68</f>
        <v>9979.956353496349</v>
      </c>
      <c r="G73" s="47">
        <f ca="1">'график анн'!G68</f>
        <v>28594.411380318295</v>
      </c>
      <c r="H73" s="157">
        <f>'график анн'!O68</f>
        <v>0</v>
      </c>
      <c r="I73" s="157" t="str">
        <f>'график анн'!M68</f>
        <v/>
      </c>
      <c r="J73" s="224" t="str">
        <f>'график анн'!N68</f>
        <v/>
      </c>
      <c r="K73" s="157" t="str">
        <f>'график анн'!I68</f>
        <v/>
      </c>
      <c r="L73" s="157" t="str">
        <f>'график анн'!J68</f>
        <v/>
      </c>
      <c r="M73" s="157">
        <f>'график анн'!K68</f>
        <v>0</v>
      </c>
      <c r="N73" s="157" t="str">
        <f>'график анн'!L68</f>
        <v/>
      </c>
      <c r="O73" s="51" t="str">
        <f>'график анн'!P68</f>
        <v/>
      </c>
      <c r="P73" s="147" t="str">
        <f>'график анн'!Q68</f>
        <v/>
      </c>
    </row>
    <row r="74" spans="1:16" x14ac:dyDescent="0.35">
      <c r="A74" s="154">
        <f>'график анн'!A69</f>
        <v>45</v>
      </c>
      <c r="B74" s="155">
        <f ca="1">'график анн'!C69</f>
        <v>45759</v>
      </c>
      <c r="C74" s="156">
        <f ca="1">'график анн'!D69</f>
        <v>31</v>
      </c>
      <c r="D74" s="47">
        <f ca="1">'график анн'!E69</f>
        <v>3714236.0839210167</v>
      </c>
      <c r="E74" s="47">
        <f ca="1">'график анн'!H69</f>
        <v>38574.367733814644</v>
      </c>
      <c r="F74" s="47">
        <f ca="1">'график анн'!F69</f>
        <v>7000.9459317569599</v>
      </c>
      <c r="G74" s="47">
        <f ca="1">'график анн'!G69</f>
        <v>31573.421802057685</v>
      </c>
      <c r="H74" s="157">
        <f>'график анн'!O69</f>
        <v>0</v>
      </c>
      <c r="I74" s="157" t="str">
        <f>'график анн'!M69</f>
        <v/>
      </c>
      <c r="J74" s="224" t="str">
        <f>'график анн'!N69</f>
        <v/>
      </c>
      <c r="K74" s="157" t="str">
        <f>'график анн'!I69</f>
        <v/>
      </c>
      <c r="L74" s="157" t="str">
        <f>'график анн'!J69</f>
        <v/>
      </c>
      <c r="M74" s="157">
        <f>'график анн'!K69</f>
        <v>0</v>
      </c>
      <c r="N74" s="157" t="str">
        <f>'график анн'!L69</f>
        <v/>
      </c>
      <c r="O74" s="51" t="str">
        <f>'график анн'!P69</f>
        <v/>
      </c>
      <c r="P74" s="147" t="str">
        <f>'график анн'!Q69</f>
        <v/>
      </c>
    </row>
    <row r="75" spans="1:16" x14ac:dyDescent="0.35">
      <c r="A75" s="154">
        <f>'график анн'!A70</f>
        <v>46</v>
      </c>
      <c r="B75" s="155">
        <f ca="1">'график анн'!C70</f>
        <v>45789</v>
      </c>
      <c r="C75" s="156">
        <f ca="1">'график анн'!D70</f>
        <v>30</v>
      </c>
      <c r="D75" s="47">
        <f ca="1">'график анн'!E70</f>
        <v>3706159.1560324384</v>
      </c>
      <c r="E75" s="47">
        <f ca="1">'график анн'!H70</f>
        <v>38574.367733814644</v>
      </c>
      <c r="F75" s="47">
        <f ca="1">'график анн'!F70</f>
        <v>8076.9278885782369</v>
      </c>
      <c r="G75" s="47">
        <f ca="1">'график анн'!G70</f>
        <v>30497.439845236408</v>
      </c>
      <c r="H75" s="157">
        <f>'график анн'!O70</f>
        <v>0</v>
      </c>
      <c r="I75" s="157" t="str">
        <f>'график анн'!M70</f>
        <v/>
      </c>
      <c r="J75" s="224" t="str">
        <f>'график анн'!N70</f>
        <v/>
      </c>
      <c r="K75" s="157" t="str">
        <f>'график анн'!I70</f>
        <v/>
      </c>
      <c r="L75" s="157" t="str">
        <f>'график анн'!J70</f>
        <v/>
      </c>
      <c r="M75" s="157">
        <f>'график анн'!K70</f>
        <v>0</v>
      </c>
      <c r="N75" s="157" t="str">
        <f>'график анн'!L70</f>
        <v/>
      </c>
      <c r="O75" s="51" t="str">
        <f>'график анн'!P70</f>
        <v/>
      </c>
      <c r="P75" s="147" t="str">
        <f>'график анн'!Q70</f>
        <v/>
      </c>
    </row>
    <row r="76" spans="1:16" x14ac:dyDescent="0.35">
      <c r="A76" s="154">
        <f>'график анн'!A71</f>
        <v>47</v>
      </c>
      <c r="B76" s="155">
        <f ca="1">'график анн'!C71</f>
        <v>45820</v>
      </c>
      <c r="C76" s="156">
        <f ca="1">'график анн'!D71</f>
        <v>31</v>
      </c>
      <c r="D76" s="47">
        <f ca="1">'график анн'!E71</f>
        <v>3699030.2795049711</v>
      </c>
      <c r="E76" s="47">
        <f ca="1">'график анн'!H71</f>
        <v>38574.367733814644</v>
      </c>
      <c r="F76" s="47">
        <f ca="1">'график анн'!F71</f>
        <v>7128.8765274670914</v>
      </c>
      <c r="G76" s="47">
        <f ca="1">'график анн'!G71</f>
        <v>31445.491206347553</v>
      </c>
      <c r="H76" s="157">
        <f>'график анн'!O71</f>
        <v>0</v>
      </c>
      <c r="I76" s="157" t="str">
        <f>'график анн'!M71</f>
        <v/>
      </c>
      <c r="J76" s="224" t="str">
        <f>'график анн'!N71</f>
        <v/>
      </c>
      <c r="K76" s="157" t="str">
        <f>'график анн'!I71</f>
        <v/>
      </c>
      <c r="L76" s="157" t="str">
        <f>'график анн'!J71</f>
        <v/>
      </c>
      <c r="M76" s="157">
        <f>'график анн'!K71</f>
        <v>0</v>
      </c>
      <c r="N76" s="157" t="str">
        <f>'график анн'!L71</f>
        <v/>
      </c>
      <c r="O76" s="51" t="str">
        <f>'график анн'!P71</f>
        <v/>
      </c>
      <c r="P76" s="147" t="str">
        <f>'график анн'!Q71</f>
        <v/>
      </c>
    </row>
    <row r="77" spans="1:16" x14ac:dyDescent="0.35">
      <c r="A77" s="154">
        <f>'график анн'!A72</f>
        <v>48</v>
      </c>
      <c r="B77" s="155">
        <f ca="1">'график анн'!C72</f>
        <v>45850</v>
      </c>
      <c r="C77" s="156">
        <f ca="1">'график анн'!D72</f>
        <v>30</v>
      </c>
      <c r="D77" s="47">
        <f ca="1">'график анн'!E72</f>
        <v>3690828.497381229</v>
      </c>
      <c r="E77" s="47">
        <f ca="1">'график анн'!H72</f>
        <v>38574.367733814644</v>
      </c>
      <c r="F77" s="47">
        <f ca="1">'график анн'!F72</f>
        <v>8201.7821237423195</v>
      </c>
      <c r="G77" s="47">
        <f ca="1">'график анн'!G72</f>
        <v>30372.585610072325</v>
      </c>
      <c r="H77" s="157">
        <f>'график анн'!O72</f>
        <v>0</v>
      </c>
      <c r="I77" s="157" t="str">
        <f>'график анн'!M72</f>
        <v/>
      </c>
      <c r="J77" s="224" t="str">
        <f>'график анн'!N72</f>
        <v/>
      </c>
      <c r="K77" s="157" t="str">
        <f>'график анн'!I72</f>
        <v/>
      </c>
      <c r="L77" s="157" t="str">
        <f>'график анн'!J72</f>
        <v/>
      </c>
      <c r="M77" s="157">
        <f>'график анн'!K72</f>
        <v>0</v>
      </c>
      <c r="N77" s="157" t="str">
        <f>'график анн'!L72</f>
        <v/>
      </c>
      <c r="O77" s="51" t="str">
        <f>'график анн'!P72</f>
        <v/>
      </c>
      <c r="P77" s="147" t="str">
        <f>'график анн'!Q72</f>
        <v/>
      </c>
    </row>
    <row r="78" spans="1:16" x14ac:dyDescent="0.35">
      <c r="A78" s="154">
        <f>'график анн'!A73</f>
        <v>49</v>
      </c>
      <c r="B78" s="155">
        <f ca="1">'график анн'!C73</f>
        <v>45881</v>
      </c>
      <c r="C78" s="156">
        <f ca="1">'график анн'!D73</f>
        <v>31</v>
      </c>
      <c r="D78" s="47">
        <f ca="1">'график анн'!E73</f>
        <v>3683569.545465332</v>
      </c>
      <c r="E78" s="47">
        <f ca="1">'график анн'!H73</f>
        <v>38574.367733814644</v>
      </c>
      <c r="F78" s="47">
        <f ca="1">'график анн'!F73</f>
        <v>7258.9519158970324</v>
      </c>
      <c r="G78" s="47">
        <f ca="1">'график анн'!G73</f>
        <v>31315.415817917612</v>
      </c>
      <c r="H78" s="157">
        <f>'график анн'!O73</f>
        <v>0</v>
      </c>
      <c r="I78" s="157" t="str">
        <f>'график анн'!M73</f>
        <v/>
      </c>
      <c r="J78" s="224">
        <f>'график анн'!N73</f>
        <v>2500</v>
      </c>
      <c r="K78" s="157" t="str">
        <f>'график анн'!I73</f>
        <v/>
      </c>
      <c r="L78" s="157" t="str">
        <f>'график анн'!J73</f>
        <v/>
      </c>
      <c r="M78" s="224">
        <f>'график анн'!K73</f>
        <v>17142.858</v>
      </c>
      <c r="N78" s="157" t="str">
        <f>'график анн'!L73</f>
        <v/>
      </c>
      <c r="O78" s="51" t="str">
        <f>'график анн'!P73</f>
        <v/>
      </c>
      <c r="P78" s="147" t="str">
        <f>'график анн'!Q73</f>
        <v/>
      </c>
    </row>
    <row r="79" spans="1:16" x14ac:dyDescent="0.35">
      <c r="A79" s="154">
        <f>'график анн'!A74</f>
        <v>50</v>
      </c>
      <c r="B79" s="155">
        <f ca="1">'график анн'!C74</f>
        <v>45912</v>
      </c>
      <c r="C79" s="156">
        <f ca="1">'график анн'!D74</f>
        <v>31</v>
      </c>
      <c r="D79" s="47">
        <f ca="1">'график анн'!E74</f>
        <v>3676249.0038283709</v>
      </c>
      <c r="E79" s="47">
        <f ca="1">'график анн'!H74</f>
        <v>38574.367733814644</v>
      </c>
      <c r="F79" s="47">
        <f ca="1">'график анн'!F74</f>
        <v>7320.5416369609848</v>
      </c>
      <c r="G79" s="47">
        <f ca="1">'график анн'!G74</f>
        <v>31253.82609685366</v>
      </c>
      <c r="H79" s="157">
        <f>'график анн'!O74</f>
        <v>0</v>
      </c>
      <c r="I79" s="157" t="str">
        <f>'график анн'!M74</f>
        <v/>
      </c>
      <c r="J79" s="224" t="str">
        <f>'график анн'!N74</f>
        <v/>
      </c>
      <c r="K79" s="157" t="str">
        <f>'график анн'!I74</f>
        <v/>
      </c>
      <c r="L79" s="157" t="str">
        <f>'график анн'!J74</f>
        <v/>
      </c>
      <c r="M79" s="157">
        <f>'график анн'!K74</f>
        <v>0</v>
      </c>
      <c r="N79" s="157" t="str">
        <f>'график анн'!L74</f>
        <v/>
      </c>
      <c r="O79" s="51" t="str">
        <f>'график анн'!P74</f>
        <v/>
      </c>
      <c r="P79" s="147" t="str">
        <f>'график анн'!Q74</f>
        <v/>
      </c>
    </row>
    <row r="80" spans="1:16" x14ac:dyDescent="0.35">
      <c r="A80" s="154">
        <f>'график анн'!A75</f>
        <v>51</v>
      </c>
      <c r="B80" s="155">
        <f ca="1">'график анн'!C75</f>
        <v>45942</v>
      </c>
      <c r="C80" s="156">
        <f ca="1">'график анн'!D75</f>
        <v>30</v>
      </c>
      <c r="D80" s="47">
        <f ca="1">'график анн'!E75</f>
        <v>3667860.1655862648</v>
      </c>
      <c r="E80" s="47">
        <f ca="1">'график анн'!H75</f>
        <v>38574.367733814644</v>
      </c>
      <c r="F80" s="47">
        <f ca="1">'график анн'!F75</f>
        <v>8388.8382421060742</v>
      </c>
      <c r="G80" s="47">
        <f ca="1">'график анн'!G75</f>
        <v>30185.52949170857</v>
      </c>
      <c r="H80" s="157">
        <f>'график анн'!O75</f>
        <v>0</v>
      </c>
      <c r="I80" s="157" t="str">
        <f>'график анн'!M75</f>
        <v/>
      </c>
      <c r="J80" s="224" t="str">
        <f>'график анн'!N75</f>
        <v/>
      </c>
      <c r="K80" s="157" t="str">
        <f>'график анн'!I75</f>
        <v/>
      </c>
      <c r="L80" s="157" t="str">
        <f>'график анн'!J75</f>
        <v/>
      </c>
      <c r="M80" s="157">
        <f>'график анн'!K75</f>
        <v>0</v>
      </c>
      <c r="N80" s="157" t="str">
        <f>'график анн'!L75</f>
        <v/>
      </c>
      <c r="O80" s="51" t="str">
        <f>'график анн'!P75</f>
        <v/>
      </c>
      <c r="P80" s="147" t="str">
        <f>'график анн'!Q75</f>
        <v/>
      </c>
    </row>
    <row r="81" spans="1:16" x14ac:dyDescent="0.35">
      <c r="A81" s="154">
        <f>'график анн'!A76</f>
        <v>52</v>
      </c>
      <c r="B81" s="155">
        <f ca="1">'график анн'!C76</f>
        <v>45973</v>
      </c>
      <c r="C81" s="156">
        <f ca="1">'график анн'!D76</f>
        <v>31</v>
      </c>
      <c r="D81" s="47">
        <f ca="1">'график анн'!E76</f>
        <v>3660406.3352409545</v>
      </c>
      <c r="E81" s="47">
        <f ca="1">'график анн'!H76</f>
        <v>38574.367733814644</v>
      </c>
      <c r="F81" s="47">
        <f ca="1">'график анн'!F76</f>
        <v>7453.8303453102526</v>
      </c>
      <c r="G81" s="47">
        <f ca="1">'график анн'!G76</f>
        <v>31120.537388504392</v>
      </c>
      <c r="H81" s="157">
        <f>'график анн'!O76</f>
        <v>0</v>
      </c>
      <c r="I81" s="157" t="str">
        <f>'график анн'!M76</f>
        <v/>
      </c>
      <c r="J81" s="224" t="str">
        <f>'график анн'!N76</f>
        <v/>
      </c>
      <c r="K81" s="157" t="str">
        <f>'график анн'!I76</f>
        <v/>
      </c>
      <c r="L81" s="157" t="str">
        <f>'график анн'!J76</f>
        <v/>
      </c>
      <c r="M81" s="157">
        <f>'график анн'!K76</f>
        <v>0</v>
      </c>
      <c r="N81" s="157" t="str">
        <f>'график анн'!L76</f>
        <v/>
      </c>
      <c r="O81" s="51" t="str">
        <f>'график анн'!P76</f>
        <v/>
      </c>
      <c r="P81" s="147" t="str">
        <f>'график анн'!Q76</f>
        <v/>
      </c>
    </row>
    <row r="82" spans="1:16" x14ac:dyDescent="0.35">
      <c r="A82" s="154">
        <f>'график анн'!A77</f>
        <v>53</v>
      </c>
      <c r="B82" s="155">
        <f ca="1">'график анн'!C77</f>
        <v>46003</v>
      </c>
      <c r="C82" s="156">
        <f ca="1">'график анн'!D77</f>
        <v>30</v>
      </c>
      <c r="D82" s="47">
        <f ca="1">'график анн'!E77</f>
        <v>3651887.4134981455</v>
      </c>
      <c r="E82" s="47">
        <f ca="1">'график анн'!H77</f>
        <v>38574.367733814644</v>
      </c>
      <c r="F82" s="47">
        <f ca="1">'график анн'!F77</f>
        <v>8518.9217428087795</v>
      </c>
      <c r="G82" s="47">
        <f ca="1">'график анн'!G77</f>
        <v>30055.445991005865</v>
      </c>
      <c r="H82" s="157">
        <f>'график анн'!O77</f>
        <v>0</v>
      </c>
      <c r="I82" s="157" t="str">
        <f>'график анн'!M77</f>
        <v/>
      </c>
      <c r="J82" s="224" t="str">
        <f>'график анн'!N77</f>
        <v/>
      </c>
      <c r="K82" s="157" t="str">
        <f>'график анн'!I77</f>
        <v/>
      </c>
      <c r="L82" s="157" t="str">
        <f>'график анн'!J77</f>
        <v/>
      </c>
      <c r="M82" s="157">
        <f>'график анн'!K77</f>
        <v>0</v>
      </c>
      <c r="N82" s="157" t="str">
        <f>'график анн'!L77</f>
        <v/>
      </c>
      <c r="O82" s="51" t="str">
        <f>'график анн'!P77</f>
        <v/>
      </c>
      <c r="P82" s="147" t="str">
        <f>'график анн'!Q77</f>
        <v/>
      </c>
    </row>
    <row r="83" spans="1:16" x14ac:dyDescent="0.35">
      <c r="A83" s="154">
        <f>'график анн'!A78</f>
        <v>54</v>
      </c>
      <c r="B83" s="155">
        <f ca="1">'график анн'!C78</f>
        <v>46034</v>
      </c>
      <c r="C83" s="156">
        <f ca="1">'график анн'!D78</f>
        <v>31</v>
      </c>
      <c r="D83" s="47">
        <f ca="1">'график анн'!E78</f>
        <v>3644298.0598214883</v>
      </c>
      <c r="E83" s="47">
        <f ca="1">'график анн'!H78</f>
        <v>38574.367733814644</v>
      </c>
      <c r="F83" s="47">
        <f ca="1">'график анн'!F78</f>
        <v>7589.3536766573634</v>
      </c>
      <c r="G83" s="47">
        <f ca="1">'график анн'!G78</f>
        <v>30985.014057157281</v>
      </c>
      <c r="H83" s="157">
        <f>'график анн'!O78</f>
        <v>0</v>
      </c>
      <c r="I83" s="157" t="str">
        <f>'график анн'!M78</f>
        <v/>
      </c>
      <c r="J83" s="224" t="str">
        <f>'график анн'!N78</f>
        <v/>
      </c>
      <c r="K83" s="157" t="str">
        <f>'график анн'!I78</f>
        <v/>
      </c>
      <c r="L83" s="157" t="str">
        <f>'график анн'!J78</f>
        <v/>
      </c>
      <c r="M83" s="157">
        <f>'график анн'!K78</f>
        <v>0</v>
      </c>
      <c r="N83" s="157" t="str">
        <f>'график анн'!L78</f>
        <v/>
      </c>
      <c r="O83" s="51" t="str">
        <f>'график анн'!P78</f>
        <v/>
      </c>
      <c r="P83" s="147" t="str">
        <f>'график анн'!Q78</f>
        <v/>
      </c>
    </row>
    <row r="84" spans="1:16" x14ac:dyDescent="0.35">
      <c r="A84" s="154">
        <f>'график анн'!A79</f>
        <v>55</v>
      </c>
      <c r="B84" s="155">
        <f ca="1">'график анн'!C79</f>
        <v>46065</v>
      </c>
      <c r="C84" s="156">
        <f ca="1">'график анн'!D79</f>
        <v>31</v>
      </c>
      <c r="D84" s="47">
        <f ca="1">'график анн'!E79</f>
        <v>3636644.3130779783</v>
      </c>
      <c r="E84" s="47">
        <f ca="1">'график анн'!H79</f>
        <v>38574.367733814644</v>
      </c>
      <c r="F84" s="47">
        <f ca="1">'график анн'!F79</f>
        <v>7653.7467435100771</v>
      </c>
      <c r="G84" s="47">
        <f ca="1">'график анн'!G79</f>
        <v>30920.620990304567</v>
      </c>
      <c r="H84" s="157">
        <f>'график анн'!O79</f>
        <v>0</v>
      </c>
      <c r="I84" s="157" t="str">
        <f>'график анн'!M79</f>
        <v/>
      </c>
      <c r="J84" s="224" t="str">
        <f>'график анн'!N79</f>
        <v/>
      </c>
      <c r="K84" s="157" t="str">
        <f>'график анн'!I79</f>
        <v/>
      </c>
      <c r="L84" s="157" t="str">
        <f>'график анн'!J79</f>
        <v/>
      </c>
      <c r="M84" s="157">
        <f>'график анн'!K79</f>
        <v>0</v>
      </c>
      <c r="N84" s="157" t="str">
        <f>'график анн'!L79</f>
        <v/>
      </c>
      <c r="O84" s="51" t="str">
        <f>'график анн'!P79</f>
        <v/>
      </c>
      <c r="P84" s="147" t="str">
        <f>'график анн'!Q79</f>
        <v/>
      </c>
    </row>
    <row r="85" spans="1:16" x14ac:dyDescent="0.35">
      <c r="A85" s="154">
        <f>'график анн'!A80</f>
        <v>56</v>
      </c>
      <c r="B85" s="155">
        <f ca="1">'график анн'!C80</f>
        <v>46093</v>
      </c>
      <c r="C85" s="156">
        <f ca="1">'график анн'!D80</f>
        <v>28</v>
      </c>
      <c r="D85" s="47">
        <f ca="1">'график анн'!E80</f>
        <v>3625939.5932141412</v>
      </c>
      <c r="E85" s="47">
        <f ca="1">'график анн'!H80</f>
        <v>38574.367733814644</v>
      </c>
      <c r="F85" s="47">
        <f ca="1">'график анн'!F80</f>
        <v>10704.719863837327</v>
      </c>
      <c r="G85" s="47">
        <f ca="1">'график анн'!G80</f>
        <v>27869.647869977318</v>
      </c>
      <c r="H85" s="157">
        <f>'график анн'!O80</f>
        <v>0</v>
      </c>
      <c r="I85" s="157" t="str">
        <f>'график анн'!M80</f>
        <v/>
      </c>
      <c r="J85" s="224" t="str">
        <f>'график анн'!N80</f>
        <v/>
      </c>
      <c r="K85" s="157" t="str">
        <f>'график анн'!I80</f>
        <v/>
      </c>
      <c r="L85" s="157" t="str">
        <f>'график анн'!J80</f>
        <v/>
      </c>
      <c r="M85" s="157">
        <f>'график анн'!K80</f>
        <v>0</v>
      </c>
      <c r="N85" s="157" t="str">
        <f>'график анн'!L80</f>
        <v/>
      </c>
      <c r="O85" s="51" t="str">
        <f>'график анн'!P80</f>
        <v/>
      </c>
      <c r="P85" s="147" t="str">
        <f>'график анн'!Q80</f>
        <v/>
      </c>
    </row>
    <row r="86" spans="1:16" x14ac:dyDescent="0.35">
      <c r="A86" s="154">
        <f>'график анн'!A81</f>
        <v>57</v>
      </c>
      <c r="B86" s="155">
        <f ca="1">'график анн'!C81</f>
        <v>46124</v>
      </c>
      <c r="C86" s="156">
        <f ca="1">'график анн'!D81</f>
        <v>31</v>
      </c>
      <c r="D86" s="47">
        <f ca="1">'график анн'!E81</f>
        <v>3618130.0811686139</v>
      </c>
      <c r="E86" s="47">
        <f ca="1">'график анн'!H81</f>
        <v>38574.367733814644</v>
      </c>
      <c r="F86" s="47">
        <f ca="1">'график анн'!F81</f>
        <v>7809.5120455273172</v>
      </c>
      <c r="G86" s="47">
        <f ca="1">'график анн'!G81</f>
        <v>30764.855688287327</v>
      </c>
      <c r="H86" s="157">
        <f>'график анн'!O81</f>
        <v>0</v>
      </c>
      <c r="I86" s="157" t="str">
        <f>'график анн'!M81</f>
        <v/>
      </c>
      <c r="J86" s="224" t="str">
        <f>'график анн'!N81</f>
        <v/>
      </c>
      <c r="K86" s="157" t="str">
        <f>'график анн'!I81</f>
        <v/>
      </c>
      <c r="L86" s="157" t="str">
        <f>'график анн'!J81</f>
        <v/>
      </c>
      <c r="M86" s="157">
        <f>'график анн'!K81</f>
        <v>0</v>
      </c>
      <c r="N86" s="157" t="str">
        <f>'график анн'!L81</f>
        <v/>
      </c>
      <c r="O86" s="51" t="str">
        <f>'график анн'!P81</f>
        <v/>
      </c>
      <c r="P86" s="147" t="str">
        <f>'график анн'!Q81</f>
        <v/>
      </c>
    </row>
    <row r="87" spans="1:16" x14ac:dyDescent="0.35">
      <c r="A87" s="154">
        <f>'график анн'!A82</f>
        <v>58</v>
      </c>
      <c r="B87" s="155">
        <f ca="1">'график анн'!C82</f>
        <v>46154</v>
      </c>
      <c r="C87" s="156">
        <f ca="1">'график анн'!D82</f>
        <v>30</v>
      </c>
      <c r="D87" s="47">
        <f ca="1">'график анн'!E82</f>
        <v>3609264.0308409976</v>
      </c>
      <c r="E87" s="47">
        <f ca="1">'график анн'!H82</f>
        <v>38574.367733814644</v>
      </c>
      <c r="F87" s="47">
        <f ca="1">'график анн'!F82</f>
        <v>8866.0503276164673</v>
      </c>
      <c r="G87" s="47">
        <f ca="1">'график анн'!G82</f>
        <v>29708.317406198177</v>
      </c>
      <c r="H87" s="157">
        <f>'график анн'!O82</f>
        <v>0</v>
      </c>
      <c r="I87" s="157" t="str">
        <f>'график анн'!M82</f>
        <v/>
      </c>
      <c r="J87" s="224" t="str">
        <f>'график анн'!N82</f>
        <v/>
      </c>
      <c r="K87" s="157" t="str">
        <f>'график анн'!I82</f>
        <v/>
      </c>
      <c r="L87" s="157" t="str">
        <f>'график анн'!J82</f>
        <v/>
      </c>
      <c r="M87" s="157">
        <f>'график анн'!K82</f>
        <v>0</v>
      </c>
      <c r="N87" s="157" t="str">
        <f>'график анн'!L82</f>
        <v/>
      </c>
      <c r="O87" s="51" t="str">
        <f>'график анн'!P82</f>
        <v/>
      </c>
      <c r="P87" s="147" t="str">
        <f>'график анн'!Q82</f>
        <v/>
      </c>
    </row>
    <row r="88" spans="1:16" x14ac:dyDescent="0.35">
      <c r="A88" s="154">
        <f>'график анн'!A83</f>
        <v>59</v>
      </c>
      <c r="B88" s="155">
        <f ca="1">'график анн'!C83</f>
        <v>46185</v>
      </c>
      <c r="C88" s="156">
        <f ca="1">'график анн'!D83</f>
        <v>31</v>
      </c>
      <c r="D88" s="47">
        <f ca="1">'график анн'!E83</f>
        <v>3601313.0323595433</v>
      </c>
      <c r="E88" s="47">
        <f ca="1">'график анн'!H83</f>
        <v>38574.367733814644</v>
      </c>
      <c r="F88" s="47">
        <f ca="1">'график анн'!F83</f>
        <v>7950.9984814544114</v>
      </c>
      <c r="G88" s="47">
        <f ca="1">'график анн'!G83</f>
        <v>30623.369252360233</v>
      </c>
      <c r="H88" s="157">
        <f>'график анн'!O83</f>
        <v>0</v>
      </c>
      <c r="I88" s="157" t="str">
        <f>'график анн'!M83</f>
        <v/>
      </c>
      <c r="J88" s="224" t="str">
        <f>'график анн'!N83</f>
        <v/>
      </c>
      <c r="K88" s="157" t="str">
        <f>'график анн'!I83</f>
        <v/>
      </c>
      <c r="L88" s="157" t="str">
        <f>'график анн'!J83</f>
        <v/>
      </c>
      <c r="M88" s="157">
        <f>'график анн'!K83</f>
        <v>0</v>
      </c>
      <c r="N88" s="157" t="str">
        <f>'график анн'!L83</f>
        <v/>
      </c>
      <c r="O88" s="51" t="str">
        <f>'график анн'!P83</f>
        <v/>
      </c>
      <c r="P88" s="147" t="str">
        <f>'график анн'!Q83</f>
        <v/>
      </c>
    </row>
    <row r="89" spans="1:16" x14ac:dyDescent="0.35">
      <c r="A89" s="154">
        <f>'график анн'!A84</f>
        <v>60</v>
      </c>
      <c r="B89" s="155">
        <f ca="1">'график анн'!C84</f>
        <v>46215</v>
      </c>
      <c r="C89" s="156">
        <f ca="1">'график анн'!D84</f>
        <v>30</v>
      </c>
      <c r="D89" s="47">
        <f ca="1">'график анн'!E84</f>
        <v>3592308.8979352671</v>
      </c>
      <c r="E89" s="47">
        <f ca="1">'график анн'!H84</f>
        <v>38574.367733814644</v>
      </c>
      <c r="F89" s="47">
        <f ca="1">'график анн'!F84</f>
        <v>9004.1344242761443</v>
      </c>
      <c r="G89" s="47">
        <f ca="1">'график анн'!G84</f>
        <v>29570.2333095385</v>
      </c>
      <c r="H89" s="157">
        <f>'график анн'!O84</f>
        <v>0</v>
      </c>
      <c r="I89" s="157" t="str">
        <f>'график анн'!M84</f>
        <v/>
      </c>
      <c r="J89" s="224" t="str">
        <f>'график анн'!N84</f>
        <v/>
      </c>
      <c r="K89" s="157" t="str">
        <f>'график анн'!I84</f>
        <v/>
      </c>
      <c r="L89" s="157" t="str">
        <f>'график анн'!J84</f>
        <v/>
      </c>
      <c r="M89" s="157">
        <f>'график анн'!K84</f>
        <v>0</v>
      </c>
      <c r="N89" s="157" t="str">
        <f>'график анн'!L84</f>
        <v/>
      </c>
      <c r="O89" s="51" t="str">
        <f>'график анн'!P84</f>
        <v/>
      </c>
      <c r="P89" s="147" t="str">
        <f>'график анн'!Q84</f>
        <v/>
      </c>
    </row>
    <row r="90" spans="1:16" x14ac:dyDescent="0.35">
      <c r="A90" s="154">
        <f>'график анн'!A85</f>
        <v>61</v>
      </c>
      <c r="B90" s="155">
        <f ca="1">'график анн'!C85</f>
        <v>46246</v>
      </c>
      <c r="C90" s="156">
        <f ca="1">'график анн'!D85</f>
        <v>31</v>
      </c>
      <c r="D90" s="47">
        <f ca="1">'график анн'!E85</f>
        <v>3585119.0893934141</v>
      </c>
      <c r="E90" s="47">
        <f ca="1">'график анн'!H85</f>
        <v>41055.931604305733</v>
      </c>
      <c r="F90" s="47">
        <f ca="1">'график анн'!F85</f>
        <v>7189.8085418529809</v>
      </c>
      <c r="G90" s="47">
        <f ca="1">'график анн'!G85</f>
        <v>33866.123062452752</v>
      </c>
      <c r="H90" s="157">
        <f>'график анн'!O85</f>
        <v>0</v>
      </c>
      <c r="I90" s="157" t="str">
        <f>'график анн'!M85</f>
        <v/>
      </c>
      <c r="J90" s="224">
        <f>'график анн'!N85</f>
        <v>2500</v>
      </c>
      <c r="K90" s="157" t="str">
        <f>'график анн'!I85</f>
        <v/>
      </c>
      <c r="L90" s="157" t="str">
        <f>'график анн'!J85</f>
        <v/>
      </c>
      <c r="M90" s="224">
        <f>'график анн'!K85</f>
        <v>17142.858</v>
      </c>
      <c r="N90" s="157" t="str">
        <f>'график анн'!L85</f>
        <v/>
      </c>
      <c r="O90" s="51" t="str">
        <f>'график анн'!P85</f>
        <v/>
      </c>
      <c r="P90" s="147" t="str">
        <f>'график анн'!Q85</f>
        <v/>
      </c>
    </row>
    <row r="91" spans="1:16" x14ac:dyDescent="0.35">
      <c r="A91" s="154">
        <f>'график анн'!A86</f>
        <v>62</v>
      </c>
      <c r="B91" s="155">
        <f ca="1">'график анн'!C86</f>
        <v>46277</v>
      </c>
      <c r="C91" s="156">
        <f ca="1">'график анн'!D86</f>
        <v>31</v>
      </c>
      <c r="D91" s="47">
        <f ca="1">'график анн'!E86</f>
        <v>3577861.4996702117</v>
      </c>
      <c r="E91" s="47">
        <f ca="1">'график анн'!H86</f>
        <v>41055.931604305733</v>
      </c>
      <c r="F91" s="47">
        <f ca="1">'график анн'!F86</f>
        <v>7257.5897232023417</v>
      </c>
      <c r="G91" s="47">
        <f ca="1">'график анн'!G86</f>
        <v>33798.341881103392</v>
      </c>
      <c r="H91" s="157">
        <f>'график анн'!O86</f>
        <v>0</v>
      </c>
      <c r="I91" s="157" t="str">
        <f>'график анн'!M86</f>
        <v/>
      </c>
      <c r="J91" s="224" t="str">
        <f>'график анн'!N86</f>
        <v/>
      </c>
      <c r="K91" s="157" t="str">
        <f>'график анн'!I86</f>
        <v/>
      </c>
      <c r="L91" s="157" t="str">
        <f>'график анн'!J86</f>
        <v/>
      </c>
      <c r="M91" s="157">
        <f>'график анн'!K86</f>
        <v>0</v>
      </c>
      <c r="N91" s="157" t="str">
        <f>'график анн'!L86</f>
        <v/>
      </c>
      <c r="O91" s="51" t="str">
        <f>'график анн'!P86</f>
        <v/>
      </c>
      <c r="P91" s="147" t="str">
        <f>'график анн'!Q86</f>
        <v/>
      </c>
    </row>
    <row r="92" spans="1:16" x14ac:dyDescent="0.35">
      <c r="A92" s="154">
        <f>'график анн'!A87</f>
        <v>63</v>
      </c>
      <c r="B92" s="155">
        <f ca="1">'график анн'!C87</f>
        <v>46307</v>
      </c>
      <c r="C92" s="156">
        <f ca="1">'график анн'!D87</f>
        <v>30</v>
      </c>
      <c r="D92" s="47">
        <f ca="1">'график анн'!E87</f>
        <v>3569447.4277752261</v>
      </c>
      <c r="E92" s="47">
        <f ca="1">'график анн'!H87</f>
        <v>41055.931604305733</v>
      </c>
      <c r="F92" s="47">
        <f ca="1">'график анн'!F87</f>
        <v>8414.0718949857219</v>
      </c>
      <c r="G92" s="47">
        <f ca="1">'график анн'!G87</f>
        <v>32641.859709320011</v>
      </c>
      <c r="H92" s="157">
        <f>'график анн'!O87</f>
        <v>0</v>
      </c>
      <c r="I92" s="157" t="str">
        <f>'график анн'!M87</f>
        <v/>
      </c>
      <c r="J92" s="224" t="str">
        <f>'график анн'!N87</f>
        <v/>
      </c>
      <c r="K92" s="157" t="str">
        <f>'график анн'!I87</f>
        <v/>
      </c>
      <c r="L92" s="157" t="str">
        <f>'график анн'!J87</f>
        <v/>
      </c>
      <c r="M92" s="157">
        <f>'график анн'!K87</f>
        <v>0</v>
      </c>
      <c r="N92" s="157" t="str">
        <f>'график анн'!L87</f>
        <v/>
      </c>
      <c r="O92" s="51" t="str">
        <f>'график анн'!P87</f>
        <v/>
      </c>
      <c r="P92" s="147" t="str">
        <f>'график анн'!Q87</f>
        <v/>
      </c>
    </row>
    <row r="93" spans="1:16" x14ac:dyDescent="0.35">
      <c r="A93" s="154">
        <f>'график анн'!A88</f>
        <v>64</v>
      </c>
      <c r="B93" s="155">
        <f ca="1">'график анн'!C88</f>
        <v>46338</v>
      </c>
      <c r="C93" s="156">
        <f ca="1">'график анн'!D88</f>
        <v>31</v>
      </c>
      <c r="D93" s="47">
        <f ca="1">'график анн'!E88</f>
        <v>3562042.0950722205</v>
      </c>
      <c r="E93" s="47">
        <f ca="1">'график анн'!H88</f>
        <v>41055.931604305733</v>
      </c>
      <c r="F93" s="47">
        <f ca="1">'график анн'!F88</f>
        <v>7405.332703005588</v>
      </c>
      <c r="G93" s="47">
        <f ca="1">'график анн'!G88</f>
        <v>33650.598901300145</v>
      </c>
      <c r="H93" s="157">
        <f>'график анн'!O88</f>
        <v>0</v>
      </c>
      <c r="I93" s="157" t="str">
        <f>'график анн'!M88</f>
        <v/>
      </c>
      <c r="J93" s="224" t="str">
        <f>'график анн'!N88</f>
        <v/>
      </c>
      <c r="K93" s="157" t="str">
        <f>'график анн'!I88</f>
        <v/>
      </c>
      <c r="L93" s="157" t="str">
        <f>'график анн'!J88</f>
        <v/>
      </c>
      <c r="M93" s="157">
        <f>'график анн'!K88</f>
        <v>0</v>
      </c>
      <c r="N93" s="157" t="str">
        <f>'график анн'!L88</f>
        <v/>
      </c>
      <c r="O93" s="51" t="str">
        <f>'график анн'!P88</f>
        <v/>
      </c>
      <c r="P93" s="147" t="str">
        <f>'график анн'!Q88</f>
        <v/>
      </c>
    </row>
    <row r="94" spans="1:16" x14ac:dyDescent="0.35">
      <c r="A94" s="154">
        <f>'график анн'!A89</f>
        <v>65</v>
      </c>
      <c r="B94" s="155">
        <f ca="1">'график анн'!C89</f>
        <v>46368</v>
      </c>
      <c r="C94" s="156">
        <f ca="1">'график анн'!D89</f>
        <v>30</v>
      </c>
      <c r="D94" s="47">
        <f ca="1">'график анн'!E89</f>
        <v>3553483.6981982999</v>
      </c>
      <c r="E94" s="47">
        <f ca="1">'график анн'!H89</f>
        <v>41055.931604305733</v>
      </c>
      <c r="F94" s="47">
        <f ca="1">'график анн'!F89</f>
        <v>8558.3968739208176</v>
      </c>
      <c r="G94" s="47">
        <f ca="1">'график анн'!G89</f>
        <v>32497.534730384916</v>
      </c>
      <c r="H94" s="157">
        <f>'график анн'!O89</f>
        <v>0</v>
      </c>
      <c r="I94" s="157" t="str">
        <f>'график анн'!M89</f>
        <v/>
      </c>
      <c r="J94" s="224" t="str">
        <f>'график анн'!N89</f>
        <v/>
      </c>
      <c r="K94" s="157" t="str">
        <f>'график анн'!I89</f>
        <v/>
      </c>
      <c r="L94" s="157" t="str">
        <f>'график анн'!J89</f>
        <v/>
      </c>
      <c r="M94" s="157">
        <f>'график анн'!K89</f>
        <v>0</v>
      </c>
      <c r="N94" s="157" t="str">
        <f>'график анн'!L89</f>
        <v/>
      </c>
      <c r="O94" s="51" t="str">
        <f>'график анн'!P89</f>
        <v/>
      </c>
      <c r="P94" s="147" t="str">
        <f>'график анн'!Q89</f>
        <v/>
      </c>
    </row>
    <row r="95" spans="1:16" x14ac:dyDescent="0.35">
      <c r="A95" s="154">
        <f>'график анн'!A90</f>
        <v>66</v>
      </c>
      <c r="B95" s="155">
        <f ca="1">'график анн'!C90</f>
        <v>46399</v>
      </c>
      <c r="C95" s="156">
        <f ca="1">'график анн'!D90</f>
        <v>31</v>
      </c>
      <c r="D95" s="47">
        <f ca="1">'график анн'!E90</f>
        <v>3545927.8690748168</v>
      </c>
      <c r="E95" s="47">
        <f ca="1">'график анн'!H90</f>
        <v>41055.931604305733</v>
      </c>
      <c r="F95" s="47">
        <f ca="1">'график анн'!F90</f>
        <v>7555.8291234828575</v>
      </c>
      <c r="G95" s="47">
        <f ca="1">'график анн'!G90</f>
        <v>33500.102480822876</v>
      </c>
      <c r="H95" s="157">
        <f>'график анн'!O90</f>
        <v>0</v>
      </c>
      <c r="I95" s="157" t="str">
        <f>'график анн'!M90</f>
        <v/>
      </c>
      <c r="J95" s="224" t="str">
        <f>'график анн'!N90</f>
        <v/>
      </c>
      <c r="K95" s="157" t="str">
        <f>'график анн'!I90</f>
        <v/>
      </c>
      <c r="L95" s="157" t="str">
        <f>'график анн'!J90</f>
        <v/>
      </c>
      <c r="M95" s="157">
        <f>'график анн'!K90</f>
        <v>0</v>
      </c>
      <c r="N95" s="157" t="str">
        <f>'график анн'!L90</f>
        <v/>
      </c>
      <c r="O95" s="51" t="str">
        <f>'график анн'!P90</f>
        <v/>
      </c>
      <c r="P95" s="147" t="str">
        <f>'график анн'!Q90</f>
        <v/>
      </c>
    </row>
    <row r="96" spans="1:16" x14ac:dyDescent="0.35">
      <c r="A96" s="154">
        <f>'график анн'!A91</f>
        <v>67</v>
      </c>
      <c r="B96" s="155">
        <f ca="1">'график анн'!C91</f>
        <v>46430</v>
      </c>
      <c r="C96" s="156">
        <f ca="1">'график анн'!D91</f>
        <v>31</v>
      </c>
      <c r="D96" s="47">
        <f ca="1">'график анн'!E91</f>
        <v>3538300.8081485559</v>
      </c>
      <c r="E96" s="47">
        <f ca="1">'график анн'!H91</f>
        <v>41055.931604305733</v>
      </c>
      <c r="F96" s="47">
        <f ca="1">'график анн'!F91</f>
        <v>7627.0609262606813</v>
      </c>
      <c r="G96" s="47">
        <f ca="1">'график анн'!G91</f>
        <v>33428.870678045052</v>
      </c>
      <c r="H96" s="157">
        <f>'график анн'!O91</f>
        <v>0</v>
      </c>
      <c r="I96" s="157" t="str">
        <f>'график анн'!M91</f>
        <v/>
      </c>
      <c r="J96" s="224" t="str">
        <f>'график анн'!N91</f>
        <v/>
      </c>
      <c r="K96" s="157" t="str">
        <f>'график анн'!I91</f>
        <v/>
      </c>
      <c r="L96" s="157" t="str">
        <f>'график анн'!J91</f>
        <v/>
      </c>
      <c r="M96" s="157">
        <f>'график анн'!K91</f>
        <v>0</v>
      </c>
      <c r="N96" s="157" t="str">
        <f>'график анн'!L91</f>
        <v/>
      </c>
      <c r="O96" s="51" t="str">
        <f>'график анн'!P91</f>
        <v/>
      </c>
      <c r="P96" s="147" t="str">
        <f>'график анн'!Q91</f>
        <v/>
      </c>
    </row>
    <row r="97" spans="1:16" x14ac:dyDescent="0.35">
      <c r="A97" s="154">
        <f>'график анн'!A92</f>
        <v>68</v>
      </c>
      <c r="B97" s="155">
        <f ca="1">'график анн'!C92</f>
        <v>46458</v>
      </c>
      <c r="C97" s="156">
        <f ca="1">'график анн'!D92</f>
        <v>28</v>
      </c>
      <c r="D97" s="47">
        <f ca="1">'график анн'!E92</f>
        <v>3527373.7502750056</v>
      </c>
      <c r="E97" s="47">
        <f ca="1">'график анн'!H92</f>
        <v>41055.931604305733</v>
      </c>
      <c r="F97" s="47">
        <f ca="1">'график анн'!F92</f>
        <v>10927.057873550355</v>
      </c>
      <c r="G97" s="47">
        <f ca="1">'график анн'!G92</f>
        <v>30128.873730755378</v>
      </c>
      <c r="H97" s="157">
        <f>'график анн'!O92</f>
        <v>0</v>
      </c>
      <c r="I97" s="157" t="str">
        <f>'график анн'!M92</f>
        <v/>
      </c>
      <c r="J97" s="224" t="str">
        <f>'график анн'!N92</f>
        <v/>
      </c>
      <c r="K97" s="157" t="str">
        <f>'график анн'!I92</f>
        <v/>
      </c>
      <c r="L97" s="157" t="str">
        <f>'график анн'!J92</f>
        <v/>
      </c>
      <c r="M97" s="157">
        <f>'график анн'!K92</f>
        <v>0</v>
      </c>
      <c r="N97" s="157" t="str">
        <f>'график анн'!L92</f>
        <v/>
      </c>
      <c r="O97" s="51" t="str">
        <f>'график анн'!P92</f>
        <v/>
      </c>
      <c r="P97" s="147" t="str">
        <f>'график анн'!Q92</f>
        <v/>
      </c>
    </row>
    <row r="98" spans="1:16" x14ac:dyDescent="0.35">
      <c r="A98" s="154">
        <f>'график анн'!A93</f>
        <v>69</v>
      </c>
      <c r="B98" s="155">
        <f ca="1">'график анн'!C93</f>
        <v>46489</v>
      </c>
      <c r="C98" s="156">
        <f ca="1">'график анн'!D93</f>
        <v>31</v>
      </c>
      <c r="D98" s="47">
        <f ca="1">'график анн'!E93</f>
        <v>3519571.772300005</v>
      </c>
      <c r="E98" s="47">
        <f ca="1">'график анн'!H93</f>
        <v>41055.931604305733</v>
      </c>
      <c r="F98" s="47">
        <f ca="1">'график анн'!F93</f>
        <v>7801.9779750008165</v>
      </c>
      <c r="G98" s="47">
        <f ca="1">'график анн'!G93</f>
        <v>33253.953629304917</v>
      </c>
      <c r="H98" s="157">
        <f>'график анн'!O93</f>
        <v>0</v>
      </c>
      <c r="I98" s="157" t="str">
        <f>'график анн'!M93</f>
        <v/>
      </c>
      <c r="J98" s="224" t="str">
        <f>'график анн'!N93</f>
        <v/>
      </c>
      <c r="K98" s="157" t="str">
        <f>'график анн'!I93</f>
        <v/>
      </c>
      <c r="L98" s="157" t="str">
        <f>'график анн'!J93</f>
        <v/>
      </c>
      <c r="M98" s="157">
        <f>'график анн'!K93</f>
        <v>0</v>
      </c>
      <c r="N98" s="157" t="str">
        <f>'график анн'!L93</f>
        <v/>
      </c>
      <c r="O98" s="51" t="str">
        <f>'график анн'!P93</f>
        <v/>
      </c>
      <c r="P98" s="147" t="str">
        <f>'график анн'!Q93</f>
        <v/>
      </c>
    </row>
    <row r="99" spans="1:16" x14ac:dyDescent="0.35">
      <c r="A99" s="154">
        <f>'график анн'!A94</f>
        <v>70</v>
      </c>
      <c r="B99" s="155">
        <f ca="1">'график анн'!C94</f>
        <v>46519</v>
      </c>
      <c r="C99" s="156">
        <f ca="1">'график анн'!D94</f>
        <v>30</v>
      </c>
      <c r="D99" s="47">
        <f ca="1">'график анн'!E94</f>
        <v>3510625.9064539429</v>
      </c>
      <c r="E99" s="47">
        <f ca="1">'график анн'!H94</f>
        <v>41055.931604305733</v>
      </c>
      <c r="F99" s="47">
        <f ca="1">'график анн'!F94</f>
        <v>8945.8658460618499</v>
      </c>
      <c r="G99" s="47">
        <f ca="1">'график анн'!G94</f>
        <v>32110.065758243883</v>
      </c>
      <c r="H99" s="157">
        <f>'график анн'!O94</f>
        <v>0</v>
      </c>
      <c r="I99" s="157" t="str">
        <f>'график анн'!M94</f>
        <v/>
      </c>
      <c r="J99" s="224" t="str">
        <f>'график анн'!N94</f>
        <v/>
      </c>
      <c r="K99" s="157" t="str">
        <f>'график анн'!I94</f>
        <v/>
      </c>
      <c r="L99" s="157" t="str">
        <f>'график анн'!J94</f>
        <v/>
      </c>
      <c r="M99" s="157">
        <f>'график анн'!K94</f>
        <v>0</v>
      </c>
      <c r="N99" s="157" t="str">
        <f>'график анн'!L94</f>
        <v/>
      </c>
      <c r="O99" s="51" t="str">
        <f>'график анн'!P94</f>
        <v/>
      </c>
      <c r="P99" s="147" t="str">
        <f>'график анн'!Q94</f>
        <v/>
      </c>
    </row>
    <row r="100" spans="1:16" x14ac:dyDescent="0.35">
      <c r="A100" s="154">
        <f>'график анн'!A95</f>
        <v>71</v>
      </c>
      <c r="B100" s="155">
        <f ca="1">'график анн'!C95</f>
        <v>46550</v>
      </c>
      <c r="C100" s="156">
        <f ca="1">'график анн'!D95</f>
        <v>31</v>
      </c>
      <c r="D100" s="47">
        <f ca="1">'график анн'!E95</f>
        <v>3502666.0399019876</v>
      </c>
      <c r="E100" s="47">
        <f ca="1">'график анн'!H95</f>
        <v>41055.931604305733</v>
      </c>
      <c r="F100" s="47">
        <f ca="1">'график анн'!F95</f>
        <v>7959.8665519549977</v>
      </c>
      <c r="G100" s="47">
        <f ca="1">'график анн'!G95</f>
        <v>33096.065052350736</v>
      </c>
      <c r="H100" s="157">
        <f>'график анн'!O95</f>
        <v>0</v>
      </c>
      <c r="I100" s="157" t="str">
        <f>'график анн'!M95</f>
        <v/>
      </c>
      <c r="J100" s="224" t="str">
        <f>'график анн'!N95</f>
        <v/>
      </c>
      <c r="K100" s="157" t="str">
        <f>'график анн'!I95</f>
        <v/>
      </c>
      <c r="L100" s="157" t="str">
        <f>'график анн'!J95</f>
        <v/>
      </c>
      <c r="M100" s="157">
        <f>'график анн'!K95</f>
        <v>0</v>
      </c>
      <c r="N100" s="157" t="str">
        <f>'график анн'!L95</f>
        <v/>
      </c>
      <c r="O100" s="51" t="str">
        <f>'график анн'!P95</f>
        <v/>
      </c>
      <c r="P100" s="147" t="str">
        <f>'график анн'!Q95</f>
        <v/>
      </c>
    </row>
    <row r="101" spans="1:16" x14ac:dyDescent="0.35">
      <c r="A101" s="154">
        <f>'график анн'!A96</f>
        <v>72</v>
      </c>
      <c r="B101" s="155">
        <f ca="1">'график анн'!C96</f>
        <v>46580</v>
      </c>
      <c r="C101" s="156">
        <f ca="1">'график анн'!D96</f>
        <v>30</v>
      </c>
      <c r="D101" s="47">
        <f ca="1">'график анн'!E96</f>
        <v>3493565.9381959657</v>
      </c>
      <c r="E101" s="47">
        <f ca="1">'график анн'!H96</f>
        <v>41055.931604305733</v>
      </c>
      <c r="F101" s="47">
        <f ca="1">'график анн'!F96</f>
        <v>9100.1017060218473</v>
      </c>
      <c r="G101" s="47">
        <f ca="1">'график анн'!G96</f>
        <v>31955.829898283886</v>
      </c>
      <c r="H101" s="157">
        <f>'график анн'!O96</f>
        <v>0</v>
      </c>
      <c r="I101" s="157" t="str">
        <f>'график анн'!M96</f>
        <v/>
      </c>
      <c r="J101" s="224" t="str">
        <f>'график анн'!N96</f>
        <v/>
      </c>
      <c r="K101" s="157" t="str">
        <f>'график анн'!I96</f>
        <v/>
      </c>
      <c r="L101" s="157" t="str">
        <f>'график анн'!J96</f>
        <v/>
      </c>
      <c r="M101" s="157">
        <f>'график анн'!K96</f>
        <v>0</v>
      </c>
      <c r="N101" s="157" t="str">
        <f>'график анн'!L96</f>
        <v/>
      </c>
      <c r="O101" s="51" t="str">
        <f>'график анн'!P96</f>
        <v/>
      </c>
      <c r="P101" s="147" t="str">
        <f>'график анн'!Q96</f>
        <v/>
      </c>
    </row>
    <row r="102" spans="1:16" x14ac:dyDescent="0.35">
      <c r="A102" s="154">
        <f>'график анн'!A97</f>
        <v>73</v>
      </c>
      <c r="B102" s="155">
        <f ca="1">'график анн'!C97</f>
        <v>46611</v>
      </c>
      <c r="C102" s="156">
        <f ca="1">'график анн'!D97</f>
        <v>31</v>
      </c>
      <c r="D102" s="47">
        <f ca="1">'график анн'!E97</f>
        <v>3485445.2405459951</v>
      </c>
      <c r="E102" s="47">
        <f ca="1">'график анн'!H97</f>
        <v>41055.931604305733</v>
      </c>
      <c r="F102" s="47">
        <f ca="1">'график анн'!F97</f>
        <v>8120.6976499706143</v>
      </c>
      <c r="G102" s="47">
        <f ca="1">'график анн'!G97</f>
        <v>32935.233954335119</v>
      </c>
      <c r="H102" s="157">
        <f>'график анн'!O97</f>
        <v>0</v>
      </c>
      <c r="I102" s="157" t="str">
        <f>'график анн'!M97</f>
        <v/>
      </c>
      <c r="J102" s="224">
        <f>'график анн'!N97</f>
        <v>2500</v>
      </c>
      <c r="K102" s="157" t="str">
        <f>'график анн'!I97</f>
        <v/>
      </c>
      <c r="L102" s="157" t="str">
        <f>'график анн'!J97</f>
        <v/>
      </c>
      <c r="M102" s="224">
        <f>'график анн'!K97</f>
        <v>17142.858</v>
      </c>
      <c r="N102" s="157" t="str">
        <f>'график анн'!L97</f>
        <v/>
      </c>
      <c r="O102" s="51" t="str">
        <f>'график анн'!P97</f>
        <v/>
      </c>
      <c r="P102" s="147" t="str">
        <f>'график анн'!Q97</f>
        <v/>
      </c>
    </row>
    <row r="103" spans="1:16" x14ac:dyDescent="0.35">
      <c r="A103" s="154">
        <f>'график анн'!A98</f>
        <v>74</v>
      </c>
      <c r="B103" s="155">
        <f ca="1">'график анн'!C98</f>
        <v>46642</v>
      </c>
      <c r="C103" s="156">
        <f ca="1">'график анн'!D98</f>
        <v>31</v>
      </c>
      <c r="D103" s="47">
        <f ca="1">'график анн'!E98</f>
        <v>3477247.9858532478</v>
      </c>
      <c r="E103" s="47">
        <f ca="1">'график анн'!H98</f>
        <v>41055.931604305733</v>
      </c>
      <c r="F103" s="47">
        <f ca="1">'график анн'!F98</f>
        <v>8197.2546927474614</v>
      </c>
      <c r="G103" s="47">
        <f ca="1">'график анн'!G98</f>
        <v>32858.676911558272</v>
      </c>
      <c r="H103" s="157">
        <f>'график анн'!O98</f>
        <v>0</v>
      </c>
      <c r="I103" s="157" t="str">
        <f>'график анн'!M98</f>
        <v/>
      </c>
      <c r="J103" s="224" t="str">
        <f>'график анн'!N98</f>
        <v/>
      </c>
      <c r="K103" s="157" t="str">
        <f>'график анн'!I98</f>
        <v/>
      </c>
      <c r="L103" s="157" t="str">
        <f>'график анн'!J98</f>
        <v/>
      </c>
      <c r="M103" s="157">
        <f>'график анн'!K98</f>
        <v>0</v>
      </c>
      <c r="N103" s="157" t="str">
        <f>'график анн'!L98</f>
        <v/>
      </c>
      <c r="O103" s="51" t="str">
        <f>'график анн'!P98</f>
        <v/>
      </c>
      <c r="P103" s="147" t="str">
        <f>'график анн'!Q98</f>
        <v/>
      </c>
    </row>
    <row r="104" spans="1:16" x14ac:dyDescent="0.35">
      <c r="A104" s="154">
        <f>'график анн'!A99</f>
        <v>75</v>
      </c>
      <c r="B104" s="155">
        <f ca="1">'график анн'!C99</f>
        <v>46672</v>
      </c>
      <c r="C104" s="156">
        <f ca="1">'график анн'!D99</f>
        <v>30</v>
      </c>
      <c r="D104" s="47">
        <f ca="1">'график анн'!E99</f>
        <v>3467915.9879280962</v>
      </c>
      <c r="E104" s="47">
        <f ca="1">'график анн'!H99</f>
        <v>41055.931604305733</v>
      </c>
      <c r="F104" s="47">
        <f ca="1">'график анн'!F99</f>
        <v>9331.9979251514414</v>
      </c>
      <c r="G104" s="47">
        <f ca="1">'график анн'!G99</f>
        <v>31723.933679154292</v>
      </c>
      <c r="H104" s="157">
        <f>'график анн'!O99</f>
        <v>0</v>
      </c>
      <c r="I104" s="157" t="str">
        <f>'график анн'!M99</f>
        <v/>
      </c>
      <c r="J104" s="224" t="str">
        <f>'график анн'!N99</f>
        <v/>
      </c>
      <c r="K104" s="157" t="str">
        <f>'график анн'!I99</f>
        <v/>
      </c>
      <c r="L104" s="157" t="str">
        <f>'график анн'!J99</f>
        <v/>
      </c>
      <c r="M104" s="157">
        <f>'график анн'!K99</f>
        <v>0</v>
      </c>
      <c r="N104" s="157" t="str">
        <f>'график анн'!L99</f>
        <v/>
      </c>
      <c r="O104" s="51" t="str">
        <f>'график анн'!P99</f>
        <v/>
      </c>
      <c r="P104" s="147" t="str">
        <f>'график анн'!Q99</f>
        <v/>
      </c>
    </row>
    <row r="105" spans="1:16" x14ac:dyDescent="0.35">
      <c r="A105" s="154">
        <f>'график анн'!A100</f>
        <v>76</v>
      </c>
      <c r="B105" s="155">
        <f ca="1">'график анн'!C100</f>
        <v>46703</v>
      </c>
      <c r="C105" s="156">
        <f ca="1">'график анн'!D100</f>
        <v>31</v>
      </c>
      <c r="D105" s="47">
        <f ca="1">'график анн'!E100</f>
        <v>3459553.4780072439</v>
      </c>
      <c r="E105" s="47">
        <f ca="1">'график анн'!H100</f>
        <v>41055.931604305733</v>
      </c>
      <c r="F105" s="47">
        <f ca="1">'график анн'!F100</f>
        <v>8362.5099208520915</v>
      </c>
      <c r="G105" s="47">
        <f ca="1">'график анн'!G100</f>
        <v>32693.421683453642</v>
      </c>
      <c r="H105" s="157">
        <f>'график анн'!O100</f>
        <v>0</v>
      </c>
      <c r="I105" s="157" t="str">
        <f>'график анн'!M100</f>
        <v/>
      </c>
      <c r="J105" s="224" t="str">
        <f>'график анн'!N100</f>
        <v/>
      </c>
      <c r="K105" s="157" t="str">
        <f>'график анн'!I100</f>
        <v/>
      </c>
      <c r="L105" s="157" t="str">
        <f>'график анн'!J100</f>
        <v/>
      </c>
      <c r="M105" s="157">
        <f>'график анн'!K100</f>
        <v>0</v>
      </c>
      <c r="N105" s="157" t="str">
        <f>'график анн'!L100</f>
        <v/>
      </c>
      <c r="O105" s="51" t="str">
        <f>'график анн'!P100</f>
        <v/>
      </c>
      <c r="P105" s="147" t="str">
        <f>'график анн'!Q100</f>
        <v/>
      </c>
    </row>
    <row r="106" spans="1:16" x14ac:dyDescent="0.35">
      <c r="A106" s="154">
        <f>'график анн'!A101</f>
        <v>77</v>
      </c>
      <c r="B106" s="155">
        <f ca="1">'график анн'!C101</f>
        <v>46733</v>
      </c>
      <c r="C106" s="156">
        <f ca="1">'график анн'!D101</f>
        <v>30</v>
      </c>
      <c r="D106" s="47">
        <f ca="1">'график анн'!E101</f>
        <v>3450060.0479968125</v>
      </c>
      <c r="E106" s="47">
        <f ca="1">'график анн'!H101</f>
        <v>41055.931604305733</v>
      </c>
      <c r="F106" s="47">
        <f ca="1">'график анн'!F101</f>
        <v>9493.4300104314243</v>
      </c>
      <c r="G106" s="47">
        <f ca="1">'график анн'!G101</f>
        <v>31562.501593874309</v>
      </c>
      <c r="H106" s="157">
        <f>'график анн'!O101</f>
        <v>0</v>
      </c>
      <c r="I106" s="157" t="str">
        <f>'график анн'!M101</f>
        <v/>
      </c>
      <c r="J106" s="224" t="str">
        <f>'график анн'!N101</f>
        <v/>
      </c>
      <c r="K106" s="157" t="str">
        <f>'график анн'!I101</f>
        <v/>
      </c>
      <c r="L106" s="157" t="str">
        <f>'график анн'!J101</f>
        <v/>
      </c>
      <c r="M106" s="157">
        <f>'график анн'!K101</f>
        <v>0</v>
      </c>
      <c r="N106" s="157" t="str">
        <f>'график анн'!L101</f>
        <v/>
      </c>
      <c r="O106" s="51" t="str">
        <f>'график анн'!P101</f>
        <v/>
      </c>
      <c r="P106" s="147" t="str">
        <f>'график анн'!Q101</f>
        <v/>
      </c>
    </row>
    <row r="107" spans="1:16" x14ac:dyDescent="0.35">
      <c r="A107" s="154">
        <f>'график анн'!A102</f>
        <v>78</v>
      </c>
      <c r="B107" s="155">
        <f ca="1">'график анн'!C102</f>
        <v>46764</v>
      </c>
      <c r="C107" s="156">
        <f ca="1">'график анн'!D102</f>
        <v>31</v>
      </c>
      <c r="D107" s="47">
        <f ca="1">'график анн'!E102</f>
        <v>3441529.2030367726</v>
      </c>
      <c r="E107" s="47">
        <f ca="1">'график анн'!H102</f>
        <v>41055.931604305733</v>
      </c>
      <c r="F107" s="47">
        <f ca="1">'график анн'!F102</f>
        <v>8530.8449600398926</v>
      </c>
      <c r="G107" s="47">
        <f ca="1">'график анн'!G102</f>
        <v>32525.086644265841</v>
      </c>
      <c r="H107" s="157">
        <f>'график анн'!O102</f>
        <v>0</v>
      </c>
      <c r="I107" s="157" t="str">
        <f>'график анн'!M102</f>
        <v/>
      </c>
      <c r="J107" s="224" t="str">
        <f>'график анн'!N102</f>
        <v/>
      </c>
      <c r="K107" s="157" t="str">
        <f>'график анн'!I102</f>
        <v/>
      </c>
      <c r="L107" s="157" t="str">
        <f>'график анн'!J102</f>
        <v/>
      </c>
      <c r="M107" s="157">
        <f>'график анн'!K102</f>
        <v>0</v>
      </c>
      <c r="N107" s="157" t="str">
        <f>'график анн'!L102</f>
        <v/>
      </c>
      <c r="O107" s="51" t="str">
        <f>'график анн'!P102</f>
        <v/>
      </c>
      <c r="P107" s="147" t="str">
        <f>'график анн'!Q102</f>
        <v/>
      </c>
    </row>
    <row r="108" spans="1:16" x14ac:dyDescent="0.35">
      <c r="A108" s="154">
        <f>'график анн'!A103</f>
        <v>79</v>
      </c>
      <c r="B108" s="155">
        <f ca="1">'график анн'!C103</f>
        <v>46795</v>
      </c>
      <c r="C108" s="156">
        <f ca="1">'график анн'!D103</f>
        <v>31</v>
      </c>
      <c r="D108" s="47">
        <f ca="1">'график анн'!E103</f>
        <v>3432829.2877921648</v>
      </c>
      <c r="E108" s="47">
        <f ca="1">'график анн'!H103</f>
        <v>41055.931604305733</v>
      </c>
      <c r="F108" s="47">
        <f ca="1">'график анн'!F103</f>
        <v>8699.9152446075532</v>
      </c>
      <c r="G108" s="47">
        <f ca="1">'график анн'!G103</f>
        <v>32356.01635969818</v>
      </c>
      <c r="H108" s="157">
        <f>'график анн'!O103</f>
        <v>0</v>
      </c>
      <c r="I108" s="157" t="str">
        <f>'график анн'!M103</f>
        <v/>
      </c>
      <c r="J108" s="224" t="str">
        <f>'график анн'!N103</f>
        <v/>
      </c>
      <c r="K108" s="157" t="str">
        <f>'график анн'!I103</f>
        <v/>
      </c>
      <c r="L108" s="157" t="str">
        <f>'график анн'!J103</f>
        <v/>
      </c>
      <c r="M108" s="157">
        <f>'график анн'!K103</f>
        <v>0</v>
      </c>
      <c r="N108" s="157" t="str">
        <f>'график анн'!L103</f>
        <v/>
      </c>
      <c r="O108" s="51" t="str">
        <f>'график анн'!P103</f>
        <v/>
      </c>
      <c r="P108" s="147" t="str">
        <f>'график анн'!Q103</f>
        <v/>
      </c>
    </row>
    <row r="109" spans="1:16" x14ac:dyDescent="0.35">
      <c r="A109" s="154">
        <f>'график анн'!A104</f>
        <v>80</v>
      </c>
      <c r="B109" s="155">
        <f ca="1">'график анн'!C104</f>
        <v>46824</v>
      </c>
      <c r="C109" s="156">
        <f ca="1">'график анн'!D104</f>
        <v>29</v>
      </c>
      <c r="D109" s="47">
        <f ca="1">'график анн'!E104</f>
        <v>3421965.3711534408</v>
      </c>
      <c r="E109" s="47">
        <f ca="1">'график анн'!H104</f>
        <v>41055.931604305733</v>
      </c>
      <c r="F109" s="47">
        <f ca="1">'график анн'!F104</f>
        <v>10863.916638723826</v>
      </c>
      <c r="G109" s="47">
        <f ca="1">'график анн'!G104</f>
        <v>30192.014965581908</v>
      </c>
      <c r="H109" s="157">
        <f>'график анн'!O104</f>
        <v>0</v>
      </c>
      <c r="I109" s="157" t="str">
        <f>'график анн'!M104</f>
        <v/>
      </c>
      <c r="J109" s="224" t="str">
        <f>'график анн'!N104</f>
        <v/>
      </c>
      <c r="K109" s="157" t="str">
        <f>'график анн'!I104</f>
        <v/>
      </c>
      <c r="L109" s="157" t="str">
        <f>'график анн'!J104</f>
        <v/>
      </c>
      <c r="M109" s="157">
        <f>'график анн'!K104</f>
        <v>0</v>
      </c>
      <c r="N109" s="157" t="str">
        <f>'график анн'!L104</f>
        <v/>
      </c>
      <c r="O109" s="51" t="str">
        <f>'график анн'!P104</f>
        <v/>
      </c>
      <c r="P109" s="147" t="str">
        <f>'график анн'!Q104</f>
        <v/>
      </c>
    </row>
    <row r="110" spans="1:16" x14ac:dyDescent="0.35">
      <c r="A110" s="154">
        <f>'график анн'!A105</f>
        <v>81</v>
      </c>
      <c r="B110" s="155">
        <f ca="1">'график анн'!C105</f>
        <v>46855</v>
      </c>
      <c r="C110" s="156">
        <f ca="1">'график анн'!D105</f>
        <v>31</v>
      </c>
      <c r="D110" s="47">
        <f ca="1">'график анн'!E105</f>
        <v>3413081.5238172743</v>
      </c>
      <c r="E110" s="47">
        <f ca="1">'график анн'!H105</f>
        <v>41055.931604305733</v>
      </c>
      <c r="F110" s="47">
        <f ca="1">'график анн'!F105</f>
        <v>8883.8473361664182</v>
      </c>
      <c r="G110" s="47">
        <f ca="1">'график анн'!G105</f>
        <v>32172.084268139315</v>
      </c>
      <c r="H110" s="157">
        <f>'график анн'!O105</f>
        <v>0</v>
      </c>
      <c r="I110" s="157" t="str">
        <f>'график анн'!M105</f>
        <v/>
      </c>
      <c r="J110" s="224" t="str">
        <f>'график анн'!N105</f>
        <v/>
      </c>
      <c r="K110" s="157" t="str">
        <f>'график анн'!I105</f>
        <v/>
      </c>
      <c r="L110" s="157" t="str">
        <f>'график анн'!J105</f>
        <v/>
      </c>
      <c r="M110" s="157">
        <f>'график анн'!K105</f>
        <v>0</v>
      </c>
      <c r="N110" s="157" t="str">
        <f>'график анн'!L105</f>
        <v/>
      </c>
      <c r="O110" s="51" t="str">
        <f>'график анн'!P105</f>
        <v/>
      </c>
      <c r="P110" s="147" t="str">
        <f>'график анн'!Q105</f>
        <v/>
      </c>
    </row>
    <row r="111" spans="1:16" x14ac:dyDescent="0.35">
      <c r="A111" s="154">
        <f>'график анн'!A106</f>
        <v>82</v>
      </c>
      <c r="B111" s="155">
        <f ca="1">'график анн'!C106</f>
        <v>46885</v>
      </c>
      <c r="C111" s="156">
        <f ca="1">'график анн'!D106</f>
        <v>30</v>
      </c>
      <c r="D111" s="47">
        <f ca="1">'график анн'!E106</f>
        <v>3403079.0388640929</v>
      </c>
      <c r="E111" s="47">
        <f ca="1">'график анн'!H106</f>
        <v>41055.931604305733</v>
      </c>
      <c r="F111" s="47">
        <f ca="1">'график анн'!F106</f>
        <v>10002.484953181349</v>
      </c>
      <c r="G111" s="47">
        <f ca="1">'график анн'!G106</f>
        <v>31053.446651124385</v>
      </c>
      <c r="H111" s="157">
        <f>'график анн'!O106</f>
        <v>0</v>
      </c>
      <c r="I111" s="157" t="str">
        <f>'график анн'!M106</f>
        <v/>
      </c>
      <c r="J111" s="224" t="str">
        <f>'график анн'!N106</f>
        <v/>
      </c>
      <c r="K111" s="157" t="str">
        <f>'график анн'!I106</f>
        <v/>
      </c>
      <c r="L111" s="157" t="str">
        <f>'график анн'!J106</f>
        <v/>
      </c>
      <c r="M111" s="157">
        <f>'график анн'!K106</f>
        <v>0</v>
      </c>
      <c r="N111" s="157" t="str">
        <f>'график анн'!L106</f>
        <v/>
      </c>
      <c r="O111" s="51" t="str">
        <f>'график анн'!P106</f>
        <v/>
      </c>
      <c r="P111" s="147" t="str">
        <f>'график анн'!Q106</f>
        <v/>
      </c>
    </row>
    <row r="112" spans="1:16" x14ac:dyDescent="0.35">
      <c r="A112" s="154">
        <f>'график анн'!A107</f>
        <v>83</v>
      </c>
      <c r="B112" s="155">
        <f ca="1">'график анн'!C107</f>
        <v>46916</v>
      </c>
      <c r="C112" s="156">
        <f ca="1">'график анн'!D107</f>
        <v>31</v>
      </c>
      <c r="D112" s="47">
        <f ca="1">'график анн'!E107</f>
        <v>3394017.6290432061</v>
      </c>
      <c r="E112" s="47">
        <f ca="1">'график анн'!H107</f>
        <v>41055.931604305733</v>
      </c>
      <c r="F112" s="47">
        <f ca="1">'график анн'!F107</f>
        <v>9061.4098208867581</v>
      </c>
      <c r="G112" s="47">
        <f ca="1">'график анн'!G107</f>
        <v>31994.521783418975</v>
      </c>
      <c r="H112" s="157">
        <f>'график анн'!O107</f>
        <v>0</v>
      </c>
      <c r="I112" s="157" t="str">
        <f>'график анн'!M107</f>
        <v/>
      </c>
      <c r="J112" s="224" t="str">
        <f>'график анн'!N107</f>
        <v/>
      </c>
      <c r="K112" s="157" t="str">
        <f>'график анн'!I107</f>
        <v/>
      </c>
      <c r="L112" s="157" t="str">
        <f>'график анн'!J107</f>
        <v/>
      </c>
      <c r="M112" s="157">
        <f>'график анн'!K107</f>
        <v>0</v>
      </c>
      <c r="N112" s="157" t="str">
        <f>'график анн'!L107</f>
        <v/>
      </c>
      <c r="O112" s="51" t="str">
        <f>'график анн'!P107</f>
        <v/>
      </c>
      <c r="P112" s="147" t="str">
        <f>'график анн'!Q107</f>
        <v/>
      </c>
    </row>
    <row r="113" spans="1:16" x14ac:dyDescent="0.35">
      <c r="A113" s="154">
        <f>'график анн'!A108</f>
        <v>84</v>
      </c>
      <c r="B113" s="155">
        <f ca="1">'график анн'!C108</f>
        <v>46946</v>
      </c>
      <c r="C113" s="156">
        <f ca="1">'график анн'!D108</f>
        <v>30</v>
      </c>
      <c r="D113" s="47">
        <f ca="1">'график анн'!E108</f>
        <v>3383841.6938998671</v>
      </c>
      <c r="E113" s="47">
        <f ca="1">'график анн'!H108</f>
        <v>41055.931604305733</v>
      </c>
      <c r="F113" s="47">
        <f ca="1">'график анн'!F108</f>
        <v>10175.935143338855</v>
      </c>
      <c r="G113" s="47">
        <f ca="1">'график анн'!G108</f>
        <v>30879.996460966879</v>
      </c>
      <c r="H113" s="157">
        <f>'график анн'!O108</f>
        <v>0</v>
      </c>
      <c r="I113" s="157" t="str">
        <f>'график анн'!M108</f>
        <v/>
      </c>
      <c r="J113" s="224" t="str">
        <f>'график анн'!N108</f>
        <v/>
      </c>
      <c r="K113" s="157" t="str">
        <f>'график анн'!I108</f>
        <v/>
      </c>
      <c r="L113" s="157" t="str">
        <f>'график анн'!J108</f>
        <v/>
      </c>
      <c r="M113" s="157">
        <f>'график анн'!K108</f>
        <v>0</v>
      </c>
      <c r="N113" s="157" t="str">
        <f>'график анн'!L108</f>
        <v/>
      </c>
      <c r="O113" s="51" t="str">
        <f>'график анн'!P108</f>
        <v/>
      </c>
      <c r="P113" s="147" t="str">
        <f>'график анн'!Q108</f>
        <v/>
      </c>
    </row>
    <row r="114" spans="1:16" x14ac:dyDescent="0.35">
      <c r="A114" s="154">
        <f>'график анн'!A109</f>
        <v>85</v>
      </c>
      <c r="B114" s="155">
        <f ca="1">'график анн'!C109</f>
        <v>46977</v>
      </c>
      <c r="C114" s="156">
        <f ca="1">'график анн'!D109</f>
        <v>31</v>
      </c>
      <c r="D114" s="47">
        <f ca="1">'график анн'!E109</f>
        <v>3374599.4214996854</v>
      </c>
      <c r="E114" s="47">
        <f ca="1">'график анн'!H109</f>
        <v>41055.931604305733</v>
      </c>
      <c r="F114" s="47">
        <f ca="1">'график анн'!F109</f>
        <v>9242.2724001815695</v>
      </c>
      <c r="G114" s="47">
        <f ca="1">'график анн'!G109</f>
        <v>31813.659204124164</v>
      </c>
      <c r="H114" s="157">
        <f>'график анн'!O109</f>
        <v>0</v>
      </c>
      <c r="I114" s="157" t="str">
        <f>'график анн'!M109</f>
        <v/>
      </c>
      <c r="J114" s="224">
        <f>'график анн'!N109</f>
        <v>2500</v>
      </c>
      <c r="K114" s="157" t="str">
        <f>'график анн'!I109</f>
        <v/>
      </c>
      <c r="L114" s="157" t="str">
        <f>'график анн'!J109</f>
        <v/>
      </c>
      <c r="M114" s="224">
        <f>'график анн'!K109</f>
        <v>17142.858</v>
      </c>
      <c r="N114" s="157" t="str">
        <f>'график анн'!L109</f>
        <v/>
      </c>
      <c r="O114" s="51" t="str">
        <f>'график анн'!P109</f>
        <v/>
      </c>
      <c r="P114" s="147" t="str">
        <f>'график анн'!Q109</f>
        <v/>
      </c>
    </row>
    <row r="115" spans="1:16" x14ac:dyDescent="0.35">
      <c r="A115" s="154">
        <f>'график анн'!A110</f>
        <v>86</v>
      </c>
      <c r="B115" s="155">
        <f ca="1">'график анн'!C110</f>
        <v>47008</v>
      </c>
      <c r="C115" s="156">
        <f ca="1">'график анн'!D110</f>
        <v>31</v>
      </c>
      <c r="D115" s="47">
        <f ca="1">'график анн'!E110</f>
        <v>3365270.2565876758</v>
      </c>
      <c r="E115" s="47">
        <f ca="1">'график анн'!H110</f>
        <v>41055.931604305733</v>
      </c>
      <c r="F115" s="47">
        <f ca="1">'график анн'!F110</f>
        <v>9329.1649120095099</v>
      </c>
      <c r="G115" s="47">
        <f ca="1">'график анн'!G110</f>
        <v>31726.766692296223</v>
      </c>
      <c r="H115" s="157">
        <f>'график анн'!O110</f>
        <v>0</v>
      </c>
      <c r="I115" s="157" t="str">
        <f>'график анн'!M110</f>
        <v/>
      </c>
      <c r="J115" s="224" t="str">
        <f>'график анн'!N110</f>
        <v/>
      </c>
      <c r="K115" s="157" t="str">
        <f>'график анн'!I110</f>
        <v/>
      </c>
      <c r="L115" s="157" t="str">
        <f>'график анн'!J110</f>
        <v/>
      </c>
      <c r="M115" s="157">
        <f>'график анн'!K110</f>
        <v>0</v>
      </c>
      <c r="N115" s="157" t="str">
        <f>'график анн'!L110</f>
        <v/>
      </c>
      <c r="O115" s="51" t="str">
        <f>'график анн'!P110</f>
        <v/>
      </c>
      <c r="P115" s="147" t="str">
        <f>'график анн'!Q110</f>
        <v/>
      </c>
    </row>
    <row r="116" spans="1:16" x14ac:dyDescent="0.35">
      <c r="A116" s="154">
        <f>'график анн'!A111</f>
        <v>87</v>
      </c>
      <c r="B116" s="155">
        <f ca="1">'график анн'!C111</f>
        <v>47038</v>
      </c>
      <c r="C116" s="156">
        <f ca="1">'график анн'!D111</f>
        <v>30</v>
      </c>
      <c r="D116" s="47">
        <f ca="1">'график анн'!E111</f>
        <v>3354832.7674818318</v>
      </c>
      <c r="E116" s="47">
        <f ca="1">'график анн'!H111</f>
        <v>41055.931604305733</v>
      </c>
      <c r="F116" s="47">
        <f ca="1">'график анн'!F111</f>
        <v>10437.489105844095</v>
      </c>
      <c r="G116" s="47">
        <f ca="1">'график анн'!G111</f>
        <v>30618.442498461638</v>
      </c>
      <c r="H116" s="157">
        <f>'график анн'!O111</f>
        <v>0</v>
      </c>
      <c r="I116" s="157" t="str">
        <f>'график анн'!M111</f>
        <v/>
      </c>
      <c r="J116" s="224" t="str">
        <f>'график анн'!N111</f>
        <v/>
      </c>
      <c r="K116" s="157" t="str">
        <f>'график анн'!I111</f>
        <v/>
      </c>
      <c r="L116" s="157" t="str">
        <f>'график анн'!J111</f>
        <v/>
      </c>
      <c r="M116" s="157">
        <f>'график анн'!K111</f>
        <v>0</v>
      </c>
      <c r="N116" s="157" t="str">
        <f>'график анн'!L111</f>
        <v/>
      </c>
      <c r="O116" s="51" t="str">
        <f>'график анн'!P111</f>
        <v/>
      </c>
      <c r="P116" s="147" t="str">
        <f>'график анн'!Q111</f>
        <v/>
      </c>
    </row>
    <row r="117" spans="1:16" x14ac:dyDescent="0.35">
      <c r="A117" s="154">
        <f>'график анн'!A112</f>
        <v>88</v>
      </c>
      <c r="B117" s="155">
        <f ca="1">'график анн'!C112</f>
        <v>47069</v>
      </c>
      <c r="C117" s="156">
        <f ca="1">'график анн'!D112</f>
        <v>31</v>
      </c>
      <c r="D117" s="47">
        <f ca="1">'график анн'!E112</f>
        <v>3345317.7636177037</v>
      </c>
      <c r="E117" s="47">
        <f ca="1">'график анн'!H112</f>
        <v>41055.931604305733</v>
      </c>
      <c r="F117" s="47">
        <f ca="1">'график анн'!F112</f>
        <v>9515.0038641281826</v>
      </c>
      <c r="G117" s="47">
        <f ca="1">'график анн'!G112</f>
        <v>31540.927740177551</v>
      </c>
      <c r="H117" s="157">
        <f>'график анн'!O112</f>
        <v>0</v>
      </c>
      <c r="I117" s="157" t="str">
        <f>'график анн'!M112</f>
        <v/>
      </c>
      <c r="J117" s="224" t="str">
        <f>'график анн'!N112</f>
        <v/>
      </c>
      <c r="K117" s="157" t="str">
        <f>'график анн'!I112</f>
        <v/>
      </c>
      <c r="L117" s="157" t="str">
        <f>'график анн'!J112</f>
        <v/>
      </c>
      <c r="M117" s="157">
        <f>'график анн'!K112</f>
        <v>0</v>
      </c>
      <c r="N117" s="157" t="str">
        <f>'график анн'!L112</f>
        <v/>
      </c>
      <c r="O117" s="51" t="str">
        <f>'график анн'!P112</f>
        <v/>
      </c>
      <c r="P117" s="147" t="str">
        <f>'график анн'!Q112</f>
        <v/>
      </c>
    </row>
    <row r="118" spans="1:16" x14ac:dyDescent="0.35">
      <c r="A118" s="154">
        <f>'график анн'!A113</f>
        <v>89</v>
      </c>
      <c r="B118" s="155">
        <f ca="1">'график анн'!C113</f>
        <v>47099</v>
      </c>
      <c r="C118" s="156">
        <f ca="1">'график анн'!D113</f>
        <v>30</v>
      </c>
      <c r="D118" s="47">
        <f ca="1">'график анн'!E113</f>
        <v>3334698.7395348377</v>
      </c>
      <c r="E118" s="47">
        <f ca="1">'график анн'!H113</f>
        <v>41055.931604305733</v>
      </c>
      <c r="F118" s="47">
        <f ca="1">'график анн'!F113</f>
        <v>10619.024082865966</v>
      </c>
      <c r="G118" s="47">
        <f ca="1">'график анн'!G113</f>
        <v>30436.907521439767</v>
      </c>
      <c r="H118" s="157">
        <f>'график анн'!O113</f>
        <v>0</v>
      </c>
      <c r="I118" s="157" t="str">
        <f>'график анн'!M113</f>
        <v/>
      </c>
      <c r="J118" s="224" t="str">
        <f>'график анн'!N113</f>
        <v/>
      </c>
      <c r="K118" s="157" t="str">
        <f>'график анн'!I113</f>
        <v/>
      </c>
      <c r="L118" s="157" t="str">
        <f>'график анн'!J113</f>
        <v/>
      </c>
      <c r="M118" s="157">
        <f>'график анн'!K113</f>
        <v>0</v>
      </c>
      <c r="N118" s="157" t="str">
        <f>'график анн'!L113</f>
        <v/>
      </c>
      <c r="O118" s="51" t="str">
        <f>'график анн'!P113</f>
        <v/>
      </c>
      <c r="P118" s="147" t="str">
        <f>'график анн'!Q113</f>
        <v/>
      </c>
    </row>
    <row r="119" spans="1:16" x14ac:dyDescent="0.35">
      <c r="A119" s="154">
        <f>'график анн'!A114</f>
        <v>90</v>
      </c>
      <c r="B119" s="155">
        <f ca="1">'график анн'!C114</f>
        <v>47130</v>
      </c>
      <c r="C119" s="156">
        <f ca="1">'график анн'!D114</f>
        <v>31</v>
      </c>
      <c r="D119" s="47">
        <f ca="1">'график анн'!E114</f>
        <v>3324994.4428014047</v>
      </c>
      <c r="E119" s="47">
        <f ca="1">'график анн'!H114</f>
        <v>41055.931604305733</v>
      </c>
      <c r="F119" s="47">
        <f ca="1">'график анн'!F114</f>
        <v>9704.2967334331188</v>
      </c>
      <c r="G119" s="47">
        <f ca="1">'график анн'!G114</f>
        <v>31351.634870872615</v>
      </c>
      <c r="H119" s="157">
        <f>'график анн'!O114</f>
        <v>0</v>
      </c>
      <c r="I119" s="157" t="str">
        <f>'график анн'!M114</f>
        <v/>
      </c>
      <c r="J119" s="224" t="str">
        <f>'график анн'!N114</f>
        <v/>
      </c>
      <c r="K119" s="157" t="str">
        <f>'график анн'!I114</f>
        <v/>
      </c>
      <c r="L119" s="157" t="str">
        <f>'график анн'!J114</f>
        <v/>
      </c>
      <c r="M119" s="157">
        <f>'график анн'!K114</f>
        <v>0</v>
      </c>
      <c r="N119" s="157" t="str">
        <f>'график анн'!L114</f>
        <v/>
      </c>
      <c r="O119" s="51" t="str">
        <f>'график анн'!P114</f>
        <v/>
      </c>
      <c r="P119" s="147" t="str">
        <f>'график анн'!Q114</f>
        <v/>
      </c>
    </row>
    <row r="120" spans="1:16" x14ac:dyDescent="0.35">
      <c r="A120" s="154">
        <f>'график анн'!A115</f>
        <v>91</v>
      </c>
      <c r="B120" s="155">
        <f ca="1">'график анн'!C115</f>
        <v>47161</v>
      </c>
      <c r="C120" s="156">
        <f ca="1">'график анн'!D115</f>
        <v>31</v>
      </c>
      <c r="D120" s="47">
        <f ca="1">'график анн'!E115</f>
        <v>3315284.5546975913</v>
      </c>
      <c r="E120" s="47">
        <f ca="1">'график анн'!H115</f>
        <v>41055.931604305733</v>
      </c>
      <c r="F120" s="47">
        <f ca="1">'график анн'!F115</f>
        <v>9709.8881038135842</v>
      </c>
      <c r="G120" s="47">
        <f ca="1">'график анн'!G115</f>
        <v>31346.043500492149</v>
      </c>
      <c r="H120" s="157">
        <f>'график анн'!O115</f>
        <v>0</v>
      </c>
      <c r="I120" s="157" t="str">
        <f>'график анн'!M115</f>
        <v/>
      </c>
      <c r="J120" s="224" t="str">
        <f>'график анн'!N115</f>
        <v/>
      </c>
      <c r="K120" s="157" t="str">
        <f>'график анн'!I115</f>
        <v/>
      </c>
      <c r="L120" s="157" t="str">
        <f>'график анн'!J115</f>
        <v/>
      </c>
      <c r="M120" s="157">
        <f>'график анн'!K115</f>
        <v>0</v>
      </c>
      <c r="N120" s="157" t="str">
        <f>'график анн'!L115</f>
        <v/>
      </c>
      <c r="O120" s="51" t="str">
        <f>'график анн'!P115</f>
        <v/>
      </c>
      <c r="P120" s="147" t="str">
        <f>'график анн'!Q115</f>
        <v/>
      </c>
    </row>
    <row r="121" spans="1:16" x14ac:dyDescent="0.35">
      <c r="A121" s="154">
        <f>'график анн'!A116</f>
        <v>92</v>
      </c>
      <c r="B121" s="155">
        <f ca="1">'график анн'!C116</f>
        <v>47189</v>
      </c>
      <c r="C121" s="156">
        <f ca="1">'график анн'!D116</f>
        <v>28</v>
      </c>
      <c r="D121" s="47">
        <f ca="1">'график анн'!E116</f>
        <v>3302458.4981508204</v>
      </c>
      <c r="E121" s="47">
        <f ca="1">'график анн'!H116</f>
        <v>41055.931604305733</v>
      </c>
      <c r="F121" s="47">
        <f ca="1">'график анн'!F116</f>
        <v>12826.056546771175</v>
      </c>
      <c r="G121" s="47">
        <f ca="1">'график анн'!G116</f>
        <v>28229.875057534558</v>
      </c>
      <c r="H121" s="157">
        <f>'график анн'!O116</f>
        <v>0</v>
      </c>
      <c r="I121" s="157" t="str">
        <f>'график анн'!M116</f>
        <v/>
      </c>
      <c r="J121" s="224" t="str">
        <f>'график анн'!N116</f>
        <v/>
      </c>
      <c r="K121" s="157" t="str">
        <f>'график анн'!I116</f>
        <v/>
      </c>
      <c r="L121" s="157" t="str">
        <f>'график анн'!J116</f>
        <v/>
      </c>
      <c r="M121" s="157">
        <f>'график анн'!K116</f>
        <v>0</v>
      </c>
      <c r="N121" s="157" t="str">
        <f>'график анн'!L116</f>
        <v/>
      </c>
      <c r="O121" s="51" t="str">
        <f>'график анн'!P116</f>
        <v/>
      </c>
      <c r="P121" s="147" t="str">
        <f>'график анн'!Q116</f>
        <v/>
      </c>
    </row>
    <row r="122" spans="1:16" x14ac:dyDescent="0.35">
      <c r="A122" s="154">
        <f>'график анн'!A117</f>
        <v>93</v>
      </c>
      <c r="B122" s="155">
        <f ca="1">'график анн'!C117</f>
        <v>47220</v>
      </c>
      <c r="C122" s="156">
        <f ca="1">'график анн'!D117</f>
        <v>31</v>
      </c>
      <c r="D122" s="47">
        <f ca="1">'график анн'!E117</f>
        <v>3292536.1547441501</v>
      </c>
      <c r="E122" s="47">
        <f ca="1">'график анн'!H117</f>
        <v>41055.931604305733</v>
      </c>
      <c r="F122" s="47">
        <f ca="1">'график анн'!F117</f>
        <v>9922.3434066701921</v>
      </c>
      <c r="G122" s="47">
        <f ca="1">'график анн'!G117</f>
        <v>31133.588197635541</v>
      </c>
      <c r="H122" s="157">
        <f>'график анн'!O117</f>
        <v>0</v>
      </c>
      <c r="I122" s="157" t="str">
        <f>'график анн'!M117</f>
        <v/>
      </c>
      <c r="J122" s="224" t="str">
        <f>'график анн'!N117</f>
        <v/>
      </c>
      <c r="K122" s="157" t="str">
        <f>'график анн'!I117</f>
        <v/>
      </c>
      <c r="L122" s="157" t="str">
        <f>'график анн'!J117</f>
        <v/>
      </c>
      <c r="M122" s="157">
        <f>'график анн'!K117</f>
        <v>0</v>
      </c>
      <c r="N122" s="157" t="str">
        <f>'график анн'!L117</f>
        <v/>
      </c>
      <c r="O122" s="51" t="str">
        <f>'график анн'!P117</f>
        <v/>
      </c>
      <c r="P122" s="147" t="str">
        <f>'график анн'!Q117</f>
        <v/>
      </c>
    </row>
    <row r="123" spans="1:16" x14ac:dyDescent="0.35">
      <c r="A123" s="154">
        <f>'график анн'!A118</f>
        <v>94</v>
      </c>
      <c r="B123" s="155">
        <f ca="1">'график анн'!C118</f>
        <v>47250</v>
      </c>
      <c r="C123" s="156">
        <f ca="1">'график анн'!D118</f>
        <v>30</v>
      </c>
      <c r="D123" s="47">
        <f ca="1">'график анн'!E118</f>
        <v>3281518.9776475104</v>
      </c>
      <c r="E123" s="47">
        <f ca="1">'график анн'!H118</f>
        <v>41055.931604305733</v>
      </c>
      <c r="F123" s="47">
        <f ca="1">'график анн'!F118</f>
        <v>11017.177096639924</v>
      </c>
      <c r="G123" s="47">
        <f ca="1">'график анн'!G118</f>
        <v>30038.75450766581</v>
      </c>
      <c r="H123" s="157">
        <f>'график анн'!O118</f>
        <v>0</v>
      </c>
      <c r="I123" s="157" t="str">
        <f>'график анн'!M118</f>
        <v/>
      </c>
      <c r="J123" s="224" t="str">
        <f>'график анн'!N118</f>
        <v/>
      </c>
      <c r="K123" s="157" t="str">
        <f>'график анн'!I118</f>
        <v/>
      </c>
      <c r="L123" s="157" t="str">
        <f>'график анн'!J118</f>
        <v/>
      </c>
      <c r="M123" s="157">
        <f>'график анн'!K118</f>
        <v>0</v>
      </c>
      <c r="N123" s="157" t="str">
        <f>'график анн'!L118</f>
        <v/>
      </c>
      <c r="O123" s="51" t="str">
        <f>'график анн'!P118</f>
        <v/>
      </c>
      <c r="P123" s="147" t="str">
        <f>'график анн'!Q118</f>
        <v/>
      </c>
    </row>
    <row r="124" spans="1:16" x14ac:dyDescent="0.35">
      <c r="A124" s="154">
        <f>'график анн'!A119</f>
        <v>95</v>
      </c>
      <c r="B124" s="155">
        <f ca="1">'график анн'!C119</f>
        <v>47281</v>
      </c>
      <c r="C124" s="156">
        <f ca="1">'график анн'!D119</f>
        <v>31</v>
      </c>
      <c r="D124" s="47">
        <f ca="1">'график анн'!E119</f>
        <v>3271399.2290626159</v>
      </c>
      <c r="E124" s="47">
        <f ca="1">'график анн'!H119</f>
        <v>41055.931604305733</v>
      </c>
      <c r="F124" s="47">
        <f ca="1">'график анн'!F119</f>
        <v>10119.748584894547</v>
      </c>
      <c r="G124" s="47">
        <f ca="1">'график анн'!G119</f>
        <v>30936.183019411186</v>
      </c>
      <c r="H124" s="157">
        <f>'график анн'!O119</f>
        <v>0</v>
      </c>
      <c r="I124" s="157" t="str">
        <f>'график анн'!M119</f>
        <v/>
      </c>
      <c r="J124" s="224" t="str">
        <f>'график анн'!N119</f>
        <v/>
      </c>
      <c r="K124" s="157" t="str">
        <f>'график анн'!I119</f>
        <v/>
      </c>
      <c r="L124" s="157" t="str">
        <f>'график анн'!J119</f>
        <v/>
      </c>
      <c r="M124" s="157">
        <f>'график анн'!K119</f>
        <v>0</v>
      </c>
      <c r="N124" s="157" t="str">
        <f>'график анн'!L119</f>
        <v/>
      </c>
      <c r="O124" s="51" t="str">
        <f>'график анн'!P119</f>
        <v/>
      </c>
      <c r="P124" s="147" t="str">
        <f>'график анн'!Q119</f>
        <v/>
      </c>
    </row>
    <row r="125" spans="1:16" x14ac:dyDescent="0.35">
      <c r="A125" s="154">
        <f>'график анн'!A120</f>
        <v>96</v>
      </c>
      <c r="B125" s="155">
        <f ca="1">'график анн'!C120</f>
        <v>47311</v>
      </c>
      <c r="C125" s="156">
        <f ca="1">'график анн'!D120</f>
        <v>30</v>
      </c>
      <c r="D125" s="47">
        <f ca="1">'график анн'!E120</f>
        <v>3260189.2137124981</v>
      </c>
      <c r="E125" s="47">
        <f ca="1">'график анн'!H120</f>
        <v>41055.931604305733</v>
      </c>
      <c r="F125" s="47">
        <f ca="1">'график анн'!F120</f>
        <v>11210.015350118032</v>
      </c>
      <c r="G125" s="47">
        <f ca="1">'график анн'!G120</f>
        <v>29845.916254187701</v>
      </c>
      <c r="H125" s="157">
        <f>'график анн'!O120</f>
        <v>0</v>
      </c>
      <c r="I125" s="157" t="str">
        <f>'график анн'!M120</f>
        <v/>
      </c>
      <c r="J125" s="224" t="str">
        <f>'график анн'!N120</f>
        <v/>
      </c>
      <c r="K125" s="157" t="str">
        <f>'график анн'!I120</f>
        <v/>
      </c>
      <c r="L125" s="157" t="str">
        <f>'график анн'!J120</f>
        <v/>
      </c>
      <c r="M125" s="157">
        <f>'график анн'!K120</f>
        <v>0</v>
      </c>
      <c r="N125" s="157" t="str">
        <f>'график анн'!L120</f>
        <v/>
      </c>
      <c r="O125" s="51" t="str">
        <f>'график анн'!P120</f>
        <v/>
      </c>
      <c r="P125" s="147" t="str">
        <f>'график анн'!Q120</f>
        <v/>
      </c>
    </row>
    <row r="126" spans="1:16" x14ac:dyDescent="0.35">
      <c r="A126" s="154">
        <f>'график анн'!A121</f>
        <v>97</v>
      </c>
      <c r="B126" s="155">
        <f ca="1">'график анн'!C121</f>
        <v>47342</v>
      </c>
      <c r="C126" s="156">
        <f ca="1">'график анн'!D121</f>
        <v>31</v>
      </c>
      <c r="D126" s="47">
        <f ca="1">'график анн'!E121</f>
        <v>3249868.3809695202</v>
      </c>
      <c r="E126" s="47">
        <f ca="1">'график анн'!H121</f>
        <v>41055.931604305733</v>
      </c>
      <c r="F126" s="47">
        <f ca="1">'график анн'!F121</f>
        <v>10320.832742977771</v>
      </c>
      <c r="G126" s="47">
        <f ca="1">'график анн'!G121</f>
        <v>30735.098861327962</v>
      </c>
      <c r="H126" s="157">
        <f>'график анн'!O121</f>
        <v>0</v>
      </c>
      <c r="I126" s="157" t="str">
        <f>'график анн'!M121</f>
        <v/>
      </c>
      <c r="J126" s="224">
        <f>'график анн'!N121</f>
        <v>2500</v>
      </c>
      <c r="K126" s="157" t="str">
        <f>'график анн'!I121</f>
        <v/>
      </c>
      <c r="L126" s="157" t="str">
        <f>'график анн'!J121</f>
        <v/>
      </c>
      <c r="M126" s="224">
        <f>'график анн'!K121</f>
        <v>17142.858</v>
      </c>
      <c r="N126" s="157" t="str">
        <f>'график анн'!L121</f>
        <v/>
      </c>
      <c r="O126" s="51" t="str">
        <f>'график анн'!P121</f>
        <v/>
      </c>
      <c r="P126" s="147" t="str">
        <f>'график анн'!Q121</f>
        <v/>
      </c>
    </row>
    <row r="127" spans="1:16" x14ac:dyDescent="0.35">
      <c r="A127" s="154">
        <f>'график анн'!A122</f>
        <v>98</v>
      </c>
      <c r="B127" s="155">
        <f ca="1">'график анн'!C122</f>
        <v>47373</v>
      </c>
      <c r="C127" s="156">
        <f ca="1">'график анн'!D122</f>
        <v>31</v>
      </c>
      <c r="D127" s="47">
        <f ca="1">'график анн'!E122</f>
        <v>3239450.2496362175</v>
      </c>
      <c r="E127" s="47">
        <f ca="1">'график анн'!H122</f>
        <v>41055.931604305733</v>
      </c>
      <c r="F127" s="47">
        <f ca="1">'график анн'!F122</f>
        <v>10418.131333302666</v>
      </c>
      <c r="G127" s="47">
        <f ca="1">'график анн'!G122</f>
        <v>30637.800271003067</v>
      </c>
      <c r="H127" s="157">
        <f>'график анн'!O122</f>
        <v>0</v>
      </c>
      <c r="I127" s="157" t="str">
        <f>'график анн'!M122</f>
        <v/>
      </c>
      <c r="J127" s="224" t="str">
        <f>'график анн'!N122</f>
        <v/>
      </c>
      <c r="K127" s="157" t="str">
        <f>'график анн'!I122</f>
        <v/>
      </c>
      <c r="L127" s="157" t="str">
        <f>'график анн'!J122</f>
        <v/>
      </c>
      <c r="M127" s="157">
        <f>'график анн'!K122</f>
        <v>0</v>
      </c>
      <c r="N127" s="157" t="str">
        <f>'график анн'!L122</f>
        <v/>
      </c>
      <c r="O127" s="51" t="str">
        <f>'график анн'!P122</f>
        <v/>
      </c>
      <c r="P127" s="147" t="str">
        <f>'график анн'!Q122</f>
        <v/>
      </c>
    </row>
    <row r="128" spans="1:16" x14ac:dyDescent="0.35">
      <c r="A128" s="154">
        <f>'график анн'!A123</f>
        <v>99</v>
      </c>
      <c r="B128" s="155">
        <f ca="1">'график анн'!C123</f>
        <v>47403</v>
      </c>
      <c r="C128" s="156">
        <f ca="1">'график анн'!D123</f>
        <v>30</v>
      </c>
      <c r="D128" s="47">
        <f ca="1">'график анн'!E123</f>
        <v>3227948.75455599</v>
      </c>
      <c r="E128" s="47">
        <f ca="1">'график анн'!H123</f>
        <v>41055.931604305733</v>
      </c>
      <c r="F128" s="47">
        <f ca="1">'график анн'!F123</f>
        <v>11501.495080227367</v>
      </c>
      <c r="G128" s="47">
        <f ca="1">'график анн'!G123</f>
        <v>29554.436524078366</v>
      </c>
      <c r="H128" s="157">
        <f>'график анн'!O123</f>
        <v>0</v>
      </c>
      <c r="I128" s="157" t="str">
        <f>'график анн'!M123</f>
        <v/>
      </c>
      <c r="J128" s="224" t="str">
        <f>'график анн'!N123</f>
        <v/>
      </c>
      <c r="K128" s="157" t="str">
        <f>'график анн'!I123</f>
        <v/>
      </c>
      <c r="L128" s="157" t="str">
        <f>'график анн'!J123</f>
        <v/>
      </c>
      <c r="M128" s="157">
        <f>'график анн'!K123</f>
        <v>0</v>
      </c>
      <c r="N128" s="157" t="str">
        <f>'график анн'!L123</f>
        <v/>
      </c>
      <c r="O128" s="51" t="str">
        <f>'график анн'!P123</f>
        <v/>
      </c>
      <c r="P128" s="147" t="str">
        <f>'график анн'!Q123</f>
        <v/>
      </c>
    </row>
    <row r="129" spans="1:16" x14ac:dyDescent="0.35">
      <c r="A129" s="154">
        <f>'график анн'!A124</f>
        <v>100</v>
      </c>
      <c r="B129" s="155">
        <f ca="1">'график анн'!C124</f>
        <v>47434</v>
      </c>
      <c r="C129" s="156">
        <f ca="1">'график анн'!D124</f>
        <v>31</v>
      </c>
      <c r="D129" s="47">
        <f ca="1">'график анн'!E124</f>
        <v>3217323.9781966903</v>
      </c>
      <c r="E129" s="47">
        <f ca="1">'график анн'!H124</f>
        <v>41055.931604305733</v>
      </c>
      <c r="F129" s="47">
        <f ca="1">'график анн'!F124</f>
        <v>10624.776359299805</v>
      </c>
      <c r="G129" s="47">
        <f ca="1">'график анн'!G124</f>
        <v>30431.155245005928</v>
      </c>
      <c r="H129" s="157">
        <f>'график анн'!O124</f>
        <v>0</v>
      </c>
      <c r="I129" s="157" t="str">
        <f>'график анн'!M124</f>
        <v/>
      </c>
      <c r="J129" s="224" t="str">
        <f>'график анн'!N124</f>
        <v/>
      </c>
      <c r="K129" s="157" t="str">
        <f>'график анн'!I124</f>
        <v/>
      </c>
      <c r="L129" s="157" t="str">
        <f>'график анн'!J124</f>
        <v/>
      </c>
      <c r="M129" s="157">
        <f>'график анн'!K124</f>
        <v>0</v>
      </c>
      <c r="N129" s="157" t="str">
        <f>'график анн'!L124</f>
        <v/>
      </c>
      <c r="O129" s="51" t="str">
        <f>'график анн'!P124</f>
        <v/>
      </c>
      <c r="P129" s="147" t="str">
        <f>'график анн'!Q124</f>
        <v/>
      </c>
    </row>
    <row r="130" spans="1:16" x14ac:dyDescent="0.35">
      <c r="A130" s="154">
        <f>'график анн'!A125</f>
        <v>101</v>
      </c>
      <c r="B130" s="155">
        <f ca="1">'график анн'!C125</f>
        <v>47464</v>
      </c>
      <c r="C130" s="156">
        <f ca="1">'график анн'!D125</f>
        <v>30</v>
      </c>
      <c r="D130" s="47">
        <f ca="1">'график анн'!E125</f>
        <v>3205620.6187770283</v>
      </c>
      <c r="E130" s="47">
        <f ca="1">'график анн'!H125</f>
        <v>41055.931604305733</v>
      </c>
      <c r="F130" s="47">
        <f ca="1">'график анн'!F125</f>
        <v>11703.359419661956</v>
      </c>
      <c r="G130" s="47">
        <f ca="1">'график анн'!G125</f>
        <v>29352.572184643777</v>
      </c>
      <c r="H130" s="157">
        <f>'график анн'!O125</f>
        <v>0</v>
      </c>
      <c r="I130" s="157" t="str">
        <f>'график анн'!M125</f>
        <v/>
      </c>
      <c r="J130" s="224" t="str">
        <f>'график анн'!N125</f>
        <v/>
      </c>
      <c r="K130" s="157" t="str">
        <f>'график анн'!I125</f>
        <v/>
      </c>
      <c r="L130" s="157" t="str">
        <f>'график анн'!J125</f>
        <v/>
      </c>
      <c r="M130" s="157">
        <f>'график анн'!K125</f>
        <v>0</v>
      </c>
      <c r="N130" s="157" t="str">
        <f>'график анн'!L125</f>
        <v/>
      </c>
      <c r="O130" s="51" t="str">
        <f>'график анн'!P125</f>
        <v/>
      </c>
      <c r="P130" s="147" t="str">
        <f>'график анн'!Q125</f>
        <v/>
      </c>
    </row>
    <row r="131" spans="1:16" x14ac:dyDescent="0.35">
      <c r="A131" s="154">
        <f>'график анн'!A126</f>
        <v>102</v>
      </c>
      <c r="B131" s="155">
        <f ca="1">'график анн'!C126</f>
        <v>47495</v>
      </c>
      <c r="C131" s="156">
        <f ca="1">'график анн'!D126</f>
        <v>31</v>
      </c>
      <c r="D131" s="47">
        <f ca="1">'график анн'!E126</f>
        <v>3194785.3462116588</v>
      </c>
      <c r="E131" s="47">
        <f ca="1">'график анн'!H126</f>
        <v>41055.931604305733</v>
      </c>
      <c r="F131" s="47">
        <f ca="1">'график анн'!F126</f>
        <v>10835.272565369418</v>
      </c>
      <c r="G131" s="47">
        <f ca="1">'график анн'!G126</f>
        <v>30220.659038936315</v>
      </c>
      <c r="H131" s="157">
        <f>'график анн'!O126</f>
        <v>0</v>
      </c>
      <c r="I131" s="157" t="str">
        <f>'график анн'!M126</f>
        <v/>
      </c>
      <c r="J131" s="224" t="str">
        <f>'график анн'!N126</f>
        <v/>
      </c>
      <c r="K131" s="157" t="str">
        <f>'график анн'!I126</f>
        <v/>
      </c>
      <c r="L131" s="157" t="str">
        <f>'график анн'!J126</f>
        <v/>
      </c>
      <c r="M131" s="157">
        <f>'график анн'!K126</f>
        <v>0</v>
      </c>
      <c r="N131" s="157" t="str">
        <f>'график анн'!L126</f>
        <v/>
      </c>
      <c r="O131" s="51" t="str">
        <f>'график анн'!P126</f>
        <v/>
      </c>
      <c r="P131" s="147" t="str">
        <f>'график анн'!Q126</f>
        <v/>
      </c>
    </row>
    <row r="132" spans="1:16" x14ac:dyDescent="0.35">
      <c r="A132" s="154">
        <f>'график анн'!A127</f>
        <v>103</v>
      </c>
      <c r="B132" s="155">
        <f ca="1">'график анн'!C127</f>
        <v>47526</v>
      </c>
      <c r="C132" s="156">
        <f ca="1">'график анн'!D127</f>
        <v>31</v>
      </c>
      <c r="D132" s="47">
        <f ca="1">'график анн'!E127</f>
        <v>3183847.9252273925</v>
      </c>
      <c r="E132" s="47">
        <f ca="1">'график анн'!H127</f>
        <v>41055.931604305733</v>
      </c>
      <c r="F132" s="47">
        <f ca="1">'график анн'!F127</f>
        <v>10937.420984266508</v>
      </c>
      <c r="G132" s="47">
        <f ca="1">'график анн'!G127</f>
        <v>30118.510620039226</v>
      </c>
      <c r="H132" s="157">
        <f>'график анн'!O127</f>
        <v>0</v>
      </c>
      <c r="I132" s="157" t="str">
        <f>'график анн'!M127</f>
        <v/>
      </c>
      <c r="J132" s="224" t="str">
        <f>'график анн'!N127</f>
        <v/>
      </c>
      <c r="K132" s="157" t="str">
        <f>'график анн'!I127</f>
        <v/>
      </c>
      <c r="L132" s="157" t="str">
        <f>'график анн'!J127</f>
        <v/>
      </c>
      <c r="M132" s="157">
        <f>'график анн'!K127</f>
        <v>0</v>
      </c>
      <c r="N132" s="157" t="str">
        <f>'график анн'!L127</f>
        <v/>
      </c>
      <c r="O132" s="51" t="str">
        <f>'график анн'!P127</f>
        <v/>
      </c>
      <c r="P132" s="147" t="str">
        <f>'график анн'!Q127</f>
        <v/>
      </c>
    </row>
    <row r="133" spans="1:16" x14ac:dyDescent="0.35">
      <c r="A133" s="154">
        <f>'график анн'!A128</f>
        <v>104</v>
      </c>
      <c r="B133" s="155">
        <f ca="1">'график анн'!C128</f>
        <v>47554</v>
      </c>
      <c r="C133" s="156">
        <f ca="1">'график анн'!D128</f>
        <v>28</v>
      </c>
      <c r="D133" s="47">
        <f ca="1">'график анн'!E128</f>
        <v>3169902.6767781735</v>
      </c>
      <c r="E133" s="47">
        <f ca="1">'график анн'!H128</f>
        <v>41055.931604305733</v>
      </c>
      <c r="F133" s="47">
        <f ca="1">'график анн'!F128</f>
        <v>13945.248449218787</v>
      </c>
      <c r="G133" s="47">
        <f ca="1">'график анн'!G128</f>
        <v>27110.683155086946</v>
      </c>
      <c r="H133" s="157">
        <f>'график анн'!O128</f>
        <v>0</v>
      </c>
      <c r="I133" s="157" t="str">
        <f>'график анн'!M128</f>
        <v/>
      </c>
      <c r="J133" s="224" t="str">
        <f>'график анн'!N128</f>
        <v/>
      </c>
      <c r="K133" s="157" t="str">
        <f>'график анн'!I128</f>
        <v/>
      </c>
      <c r="L133" s="157" t="str">
        <f>'график анн'!J128</f>
        <v/>
      </c>
      <c r="M133" s="157">
        <f>'график анн'!K128</f>
        <v>0</v>
      </c>
      <c r="N133" s="157" t="str">
        <f>'график анн'!L128</f>
        <v/>
      </c>
      <c r="O133" s="51" t="str">
        <f>'график анн'!P128</f>
        <v/>
      </c>
      <c r="P133" s="147" t="str">
        <f>'график анн'!Q128</f>
        <v/>
      </c>
    </row>
    <row r="134" spans="1:16" x14ac:dyDescent="0.35">
      <c r="A134" s="154">
        <f>'график анн'!A129</f>
        <v>105</v>
      </c>
      <c r="B134" s="155">
        <f ca="1">'график анн'!C129</f>
        <v>47585</v>
      </c>
      <c r="C134" s="156">
        <f ca="1">'график анн'!D129</f>
        <v>31</v>
      </c>
      <c r="D134" s="47">
        <f ca="1">'график анн'!E129</f>
        <v>3158730.6769842617</v>
      </c>
      <c r="E134" s="47">
        <f ca="1">'график анн'!H129</f>
        <v>41055.931604305733</v>
      </c>
      <c r="F134" s="47">
        <f ca="1">'график анн'!F129</f>
        <v>11171.999793912044</v>
      </c>
      <c r="G134" s="47">
        <f ca="1">'график анн'!G129</f>
        <v>29883.931810393689</v>
      </c>
      <c r="H134" s="157">
        <f>'график анн'!O129</f>
        <v>0</v>
      </c>
      <c r="I134" s="157" t="str">
        <f>'график анн'!M129</f>
        <v/>
      </c>
      <c r="J134" s="224" t="str">
        <f>'график анн'!N129</f>
        <v/>
      </c>
      <c r="K134" s="157" t="str">
        <f>'график анн'!I129</f>
        <v/>
      </c>
      <c r="L134" s="157" t="str">
        <f>'график анн'!J129</f>
        <v/>
      </c>
      <c r="M134" s="157">
        <f>'график анн'!K129</f>
        <v>0</v>
      </c>
      <c r="N134" s="157" t="str">
        <f>'график анн'!L129</f>
        <v/>
      </c>
      <c r="O134" s="51" t="str">
        <f>'график анн'!P129</f>
        <v/>
      </c>
      <c r="P134" s="147" t="str">
        <f>'график анн'!Q129</f>
        <v/>
      </c>
    </row>
    <row r="135" spans="1:16" x14ac:dyDescent="0.35">
      <c r="A135" s="154">
        <f>'график анн'!A130</f>
        <v>106</v>
      </c>
      <c r="B135" s="155">
        <f ca="1">'график анн'!C130</f>
        <v>47615</v>
      </c>
      <c r="C135" s="156">
        <f ca="1">'график анн'!D130</f>
        <v>30</v>
      </c>
      <c r="D135" s="47">
        <f ca="1">'график анн'!E130</f>
        <v>3146492.7540220316</v>
      </c>
      <c r="E135" s="47">
        <f ca="1">'график анн'!H130</f>
        <v>41055.931604305733</v>
      </c>
      <c r="F135" s="47">
        <f ca="1">'график анн'!F130</f>
        <v>12237.922962230139</v>
      </c>
      <c r="G135" s="47">
        <f ca="1">'график анн'!G130</f>
        <v>28818.008642075594</v>
      </c>
      <c r="H135" s="157">
        <f>'график анн'!O130</f>
        <v>0</v>
      </c>
      <c r="I135" s="157" t="str">
        <f>'график анн'!M130</f>
        <v/>
      </c>
      <c r="J135" s="224" t="str">
        <f>'график анн'!N130</f>
        <v/>
      </c>
      <c r="K135" s="157" t="str">
        <f>'график анн'!I130</f>
        <v/>
      </c>
      <c r="L135" s="157" t="str">
        <f>'график анн'!J130</f>
        <v/>
      </c>
      <c r="M135" s="157">
        <f>'график анн'!K130</f>
        <v>0</v>
      </c>
      <c r="N135" s="157" t="str">
        <f>'график анн'!L130</f>
        <v/>
      </c>
      <c r="O135" s="51" t="str">
        <f>'график анн'!P130</f>
        <v/>
      </c>
      <c r="P135" s="147" t="str">
        <f>'график анн'!Q130</f>
        <v/>
      </c>
    </row>
    <row r="136" spans="1:16" x14ac:dyDescent="0.35">
      <c r="A136" s="154">
        <f>'график анн'!A131</f>
        <v>107</v>
      </c>
      <c r="B136" s="155">
        <f ca="1">'график анн'!C131</f>
        <v>47646</v>
      </c>
      <c r="C136" s="156">
        <f ca="1">'график анн'!D131</f>
        <v>31</v>
      </c>
      <c r="D136" s="47">
        <f ca="1">'график анн'!E131</f>
        <v>3135100.0595864649</v>
      </c>
      <c r="E136" s="47">
        <f ca="1">'график анн'!H131</f>
        <v>41055.931604305733</v>
      </c>
      <c r="F136" s="47">
        <f ca="1">'график анн'!F131</f>
        <v>11392.694435566529</v>
      </c>
      <c r="G136" s="47">
        <f ca="1">'график анн'!G131</f>
        <v>29663.237168739204</v>
      </c>
      <c r="H136" s="157">
        <f>'график анн'!O131</f>
        <v>0</v>
      </c>
      <c r="I136" s="157" t="str">
        <f>'график анн'!M131</f>
        <v/>
      </c>
      <c r="J136" s="224" t="str">
        <f>'график анн'!N131</f>
        <v/>
      </c>
      <c r="K136" s="157" t="str">
        <f>'график анн'!I131</f>
        <v/>
      </c>
      <c r="L136" s="157" t="str">
        <f>'график анн'!J131</f>
        <v/>
      </c>
      <c r="M136" s="157">
        <f>'график анн'!K131</f>
        <v>0</v>
      </c>
      <c r="N136" s="157" t="str">
        <f>'график анн'!L131</f>
        <v/>
      </c>
      <c r="O136" s="51" t="str">
        <f>'график анн'!P131</f>
        <v/>
      </c>
      <c r="P136" s="147" t="str">
        <f>'график анн'!Q131</f>
        <v/>
      </c>
    </row>
    <row r="137" spans="1:16" x14ac:dyDescent="0.35">
      <c r="A137" s="154">
        <f>'график анн'!A132</f>
        <v>108</v>
      </c>
      <c r="B137" s="155">
        <f ca="1">'график анн'!C132</f>
        <v>47676</v>
      </c>
      <c r="C137" s="156">
        <f ca="1">'график анн'!D132</f>
        <v>30</v>
      </c>
      <c r="D137" s="47">
        <f ca="1">'график анн'!E132</f>
        <v>3122646.5477038659</v>
      </c>
      <c r="E137" s="47">
        <f ca="1">'график анн'!H132</f>
        <v>41055.931604305733</v>
      </c>
      <c r="F137" s="47">
        <f ca="1">'график анн'!F132</f>
        <v>12453.511882599083</v>
      </c>
      <c r="G137" s="47">
        <f ca="1">'график анн'!G132</f>
        <v>28602.41972170665</v>
      </c>
      <c r="H137" s="157">
        <f>'график анн'!O132</f>
        <v>0</v>
      </c>
      <c r="I137" s="157" t="str">
        <f>'график анн'!M132</f>
        <v/>
      </c>
      <c r="J137" s="224" t="str">
        <f>'график анн'!N132</f>
        <v/>
      </c>
      <c r="K137" s="157" t="str">
        <f>'график анн'!I132</f>
        <v/>
      </c>
      <c r="L137" s="157" t="str">
        <f>'график анн'!J132</f>
        <v/>
      </c>
      <c r="M137" s="157">
        <f>'график анн'!K132</f>
        <v>0</v>
      </c>
      <c r="N137" s="157" t="str">
        <f>'график анн'!L132</f>
        <v/>
      </c>
      <c r="O137" s="51" t="str">
        <f>'график анн'!P132</f>
        <v/>
      </c>
      <c r="P137" s="147" t="str">
        <f>'график анн'!Q132</f>
        <v/>
      </c>
    </row>
    <row r="138" spans="1:16" x14ac:dyDescent="0.35">
      <c r="A138" s="154">
        <f>'график анн'!A133</f>
        <v>109</v>
      </c>
      <c r="B138" s="155">
        <f ca="1">'график анн'!C133</f>
        <v>47707</v>
      </c>
      <c r="C138" s="156">
        <f ca="1">'график анн'!D133</f>
        <v>31</v>
      </c>
      <c r="D138" s="47">
        <f ca="1">'график анн'!E133</f>
        <v>3111029.0456081876</v>
      </c>
      <c r="E138" s="47">
        <f ca="1">'график анн'!H133</f>
        <v>41055.931604305733</v>
      </c>
      <c r="F138" s="47">
        <f ca="1">'график анн'!F133</f>
        <v>11617.502095678326</v>
      </c>
      <c r="G138" s="47">
        <f ca="1">'график анн'!G133</f>
        <v>29438.429508627407</v>
      </c>
      <c r="H138" s="157">
        <f>'график анн'!O133</f>
        <v>0</v>
      </c>
      <c r="I138" s="157" t="str">
        <f>'график анн'!M133</f>
        <v/>
      </c>
      <c r="J138" s="224">
        <f>'график анн'!N133</f>
        <v>2500</v>
      </c>
      <c r="K138" s="157" t="str">
        <f>'график анн'!I133</f>
        <v/>
      </c>
      <c r="L138" s="157" t="str">
        <f>'график анн'!J133</f>
        <v/>
      </c>
      <c r="M138" s="224">
        <f>'график анн'!K133</f>
        <v>17142.858</v>
      </c>
      <c r="N138" s="157" t="str">
        <f>'график анн'!L133</f>
        <v/>
      </c>
      <c r="O138" s="51" t="str">
        <f>'график анн'!P133</f>
        <v/>
      </c>
      <c r="P138" s="147" t="str">
        <f>'график анн'!Q133</f>
        <v/>
      </c>
    </row>
    <row r="139" spans="1:16" x14ac:dyDescent="0.35">
      <c r="A139" s="154">
        <f>'график анн'!A134</f>
        <v>110</v>
      </c>
      <c r="B139" s="155">
        <f ca="1">'график анн'!C134</f>
        <v>47738</v>
      </c>
      <c r="C139" s="156">
        <f ca="1">'график анн'!D134</f>
        <v>31</v>
      </c>
      <c r="D139" s="47">
        <f ca="1">'график анн'!E134</f>
        <v>3099302.0207050811</v>
      </c>
      <c r="E139" s="47">
        <f ca="1">'график анн'!H134</f>
        <v>41055.931604305733</v>
      </c>
      <c r="F139" s="47">
        <f ca="1">'график анн'!F134</f>
        <v>11727.024903106354</v>
      </c>
      <c r="G139" s="47">
        <f ca="1">'график анн'!G134</f>
        <v>29328.906701199379</v>
      </c>
      <c r="H139" s="157">
        <f>'график анн'!O134</f>
        <v>0</v>
      </c>
      <c r="I139" s="157" t="str">
        <f>'график анн'!M134</f>
        <v/>
      </c>
      <c r="J139" s="224" t="str">
        <f>'график анн'!N134</f>
        <v/>
      </c>
      <c r="K139" s="157" t="str">
        <f>'график анн'!I134</f>
        <v/>
      </c>
      <c r="L139" s="157" t="str">
        <f>'график анн'!J134</f>
        <v/>
      </c>
      <c r="M139" s="157">
        <f>'график анн'!K134</f>
        <v>0</v>
      </c>
      <c r="N139" s="157" t="str">
        <f>'график анн'!L134</f>
        <v/>
      </c>
      <c r="O139" s="51" t="str">
        <f>'график анн'!P134</f>
        <v/>
      </c>
      <c r="P139" s="147" t="str">
        <f>'график анн'!Q134</f>
        <v/>
      </c>
    </row>
    <row r="140" spans="1:16" x14ac:dyDescent="0.35">
      <c r="A140" s="154">
        <f>'график анн'!A135</f>
        <v>111</v>
      </c>
      <c r="B140" s="155">
        <f ca="1">'график анн'!C135</f>
        <v>47768</v>
      </c>
      <c r="C140" s="156">
        <f ca="1">'график анн'!D135</f>
        <v>30</v>
      </c>
      <c r="D140" s="47">
        <f ca="1">'график анн'!E135</f>
        <v>3086521.9130157013</v>
      </c>
      <c r="E140" s="47">
        <f ca="1">'график анн'!H135</f>
        <v>41055.931604305733</v>
      </c>
      <c r="F140" s="47">
        <f ca="1">'график анн'!F135</f>
        <v>12780.107689379922</v>
      </c>
      <c r="G140" s="47">
        <f ca="1">'график анн'!G135</f>
        <v>28275.823914925812</v>
      </c>
      <c r="H140" s="157">
        <f>'график анн'!O135</f>
        <v>0</v>
      </c>
      <c r="I140" s="157" t="str">
        <f>'график анн'!M135</f>
        <v/>
      </c>
      <c r="J140" s="224" t="str">
        <f>'график анн'!N135</f>
        <v/>
      </c>
      <c r="K140" s="157" t="str">
        <f>'график анн'!I135</f>
        <v/>
      </c>
      <c r="L140" s="157" t="str">
        <f>'график анн'!J135</f>
        <v/>
      </c>
      <c r="M140" s="157">
        <f>'график анн'!K135</f>
        <v>0</v>
      </c>
      <c r="N140" s="157" t="str">
        <f>'график анн'!L135</f>
        <v/>
      </c>
      <c r="O140" s="51" t="str">
        <f>'график анн'!P135</f>
        <v/>
      </c>
      <c r="P140" s="147" t="str">
        <f>'график анн'!Q135</f>
        <v/>
      </c>
    </row>
    <row r="141" spans="1:16" x14ac:dyDescent="0.35">
      <c r="A141" s="154">
        <f>'график анн'!A136</f>
        <v>112</v>
      </c>
      <c r="B141" s="155">
        <f ca="1">'график анн'!C136</f>
        <v>47799</v>
      </c>
      <c r="C141" s="156">
        <f ca="1">'график анн'!D136</f>
        <v>31</v>
      </c>
      <c r="D141" s="47">
        <f ca="1">'график анн'!E136</f>
        <v>3074563.8496379354</v>
      </c>
      <c r="E141" s="47">
        <f ca="1">'график анн'!H136</f>
        <v>41055.931604305733</v>
      </c>
      <c r="F141" s="47">
        <f ca="1">'график анн'!F136</f>
        <v>11958.063377765931</v>
      </c>
      <c r="G141" s="47">
        <f ca="1">'график анн'!G136</f>
        <v>29097.868226539802</v>
      </c>
      <c r="H141" s="157">
        <f>'график анн'!O136</f>
        <v>0</v>
      </c>
      <c r="I141" s="157" t="str">
        <f>'график анн'!M136</f>
        <v/>
      </c>
      <c r="J141" s="224" t="str">
        <f>'график анн'!N136</f>
        <v/>
      </c>
      <c r="K141" s="157" t="str">
        <f>'график анн'!I136</f>
        <v/>
      </c>
      <c r="L141" s="157" t="str">
        <f>'график анн'!J136</f>
        <v/>
      </c>
      <c r="M141" s="157">
        <f>'график анн'!K136</f>
        <v>0</v>
      </c>
      <c r="N141" s="157" t="str">
        <f>'график анн'!L136</f>
        <v/>
      </c>
      <c r="O141" s="51" t="str">
        <f>'график анн'!P136</f>
        <v/>
      </c>
      <c r="P141" s="147" t="str">
        <f>'график анн'!Q136</f>
        <v/>
      </c>
    </row>
    <row r="142" spans="1:16" x14ac:dyDescent="0.35">
      <c r="A142" s="154">
        <f>'график анн'!A137</f>
        <v>113</v>
      </c>
      <c r="B142" s="155">
        <f ca="1">'график анн'!C137</f>
        <v>47829</v>
      </c>
      <c r="C142" s="156">
        <f ca="1">'график анн'!D137</f>
        <v>30</v>
      </c>
      <c r="D142" s="47">
        <f ca="1">'график анн'!E137</f>
        <v>3061558.0484974496</v>
      </c>
      <c r="E142" s="47">
        <f ca="1">'график анн'!H137</f>
        <v>41055.931604305733</v>
      </c>
      <c r="F142" s="47">
        <f ca="1">'график анн'!F137</f>
        <v>13005.801140485666</v>
      </c>
      <c r="G142" s="47">
        <f ca="1">'график анн'!G137</f>
        <v>28050.130463820067</v>
      </c>
      <c r="H142" s="157">
        <f>'график анн'!O137</f>
        <v>0</v>
      </c>
      <c r="I142" s="157" t="str">
        <f>'график анн'!M137</f>
        <v/>
      </c>
      <c r="J142" s="224" t="str">
        <f>'график анн'!N137</f>
        <v/>
      </c>
      <c r="K142" s="157" t="str">
        <f>'график анн'!I137</f>
        <v/>
      </c>
      <c r="L142" s="157" t="str">
        <f>'график анн'!J137</f>
        <v/>
      </c>
      <c r="M142" s="157">
        <f>'график анн'!K137</f>
        <v>0</v>
      </c>
      <c r="N142" s="157" t="str">
        <f>'график анн'!L137</f>
        <v/>
      </c>
      <c r="O142" s="51" t="str">
        <f>'график анн'!P137</f>
        <v/>
      </c>
      <c r="P142" s="147" t="str">
        <f>'график анн'!Q137</f>
        <v/>
      </c>
    </row>
    <row r="143" spans="1:16" x14ac:dyDescent="0.35">
      <c r="A143" s="154">
        <f>'график анн'!A138</f>
        <v>114</v>
      </c>
      <c r="B143" s="155">
        <f ca="1">'график анн'!C138</f>
        <v>47860</v>
      </c>
      <c r="C143" s="156">
        <f ca="1">'график анн'!D138</f>
        <v>31</v>
      </c>
      <c r="D143" s="47">
        <f ca="1">'график анн'!E138</f>
        <v>3049364.6408517184</v>
      </c>
      <c r="E143" s="47">
        <f ca="1">'график анн'!H138</f>
        <v>41055.931604305733</v>
      </c>
      <c r="F143" s="47">
        <f ca="1">'график анн'!F138</f>
        <v>12193.407645731146</v>
      </c>
      <c r="G143" s="47">
        <f ca="1">'график анн'!G138</f>
        <v>28862.523958574588</v>
      </c>
      <c r="H143" s="157">
        <f>'график анн'!O138</f>
        <v>0</v>
      </c>
      <c r="I143" s="157" t="str">
        <f>'график анн'!M138</f>
        <v/>
      </c>
      <c r="J143" s="224" t="str">
        <f>'график анн'!N138</f>
        <v/>
      </c>
      <c r="K143" s="157" t="str">
        <f>'график анн'!I138</f>
        <v/>
      </c>
      <c r="L143" s="157" t="str">
        <f>'график анн'!J138</f>
        <v/>
      </c>
      <c r="M143" s="157">
        <f>'график анн'!K138</f>
        <v>0</v>
      </c>
      <c r="N143" s="157" t="str">
        <f>'график анн'!L138</f>
        <v/>
      </c>
      <c r="O143" s="51" t="str">
        <f>'график анн'!P138</f>
        <v/>
      </c>
      <c r="P143" s="147" t="str">
        <f>'график анн'!Q138</f>
        <v/>
      </c>
    </row>
    <row r="144" spans="1:16" x14ac:dyDescent="0.35">
      <c r="A144" s="154">
        <f>'график анн'!A139</f>
        <v>115</v>
      </c>
      <c r="B144" s="155">
        <f ca="1">'график анн'!C139</f>
        <v>47891</v>
      </c>
      <c r="C144" s="156">
        <f ca="1">'график анн'!D139</f>
        <v>31</v>
      </c>
      <c r="D144" s="47">
        <f ca="1">'график анн'!E139</f>
        <v>3037056.2811081544</v>
      </c>
      <c r="E144" s="47">
        <f ca="1">'график анн'!H139</f>
        <v>41055.931604305733</v>
      </c>
      <c r="F144" s="47">
        <f ca="1">'график анн'!F139</f>
        <v>12308.35974356392</v>
      </c>
      <c r="G144" s="47">
        <f ca="1">'график анн'!G139</f>
        <v>28747.571860741813</v>
      </c>
      <c r="H144" s="157">
        <f>'график анн'!O139</f>
        <v>0</v>
      </c>
      <c r="I144" s="157" t="str">
        <f>'график анн'!M139</f>
        <v/>
      </c>
      <c r="J144" s="224" t="str">
        <f>'график анн'!N139</f>
        <v/>
      </c>
      <c r="K144" s="157" t="str">
        <f>'график анн'!I139</f>
        <v/>
      </c>
      <c r="L144" s="157" t="str">
        <f>'график анн'!J139</f>
        <v/>
      </c>
      <c r="M144" s="157">
        <f>'график анн'!K139</f>
        <v>0</v>
      </c>
      <c r="N144" s="157" t="str">
        <f>'график анн'!L139</f>
        <v/>
      </c>
      <c r="O144" s="51" t="str">
        <f>'график анн'!P139</f>
        <v/>
      </c>
      <c r="P144" s="147" t="str">
        <f>'график анн'!Q139</f>
        <v/>
      </c>
    </row>
    <row r="145" spans="1:16" x14ac:dyDescent="0.35">
      <c r="A145" s="154">
        <f>'график анн'!A140</f>
        <v>116</v>
      </c>
      <c r="B145" s="155">
        <f ca="1">'график анн'!C140</f>
        <v>47919</v>
      </c>
      <c r="C145" s="156">
        <f ca="1">'график анн'!D140</f>
        <v>28</v>
      </c>
      <c r="D145" s="47">
        <f ca="1">'график анн'!E140</f>
        <v>3021861.0917550381</v>
      </c>
      <c r="E145" s="47">
        <f ca="1">'график анн'!H140</f>
        <v>41055.931604305733</v>
      </c>
      <c r="F145" s="47">
        <f ca="1">'график анн'!F140</f>
        <v>15195.189353116297</v>
      </c>
      <c r="G145" s="47">
        <f ca="1">'график анн'!G140</f>
        <v>25860.742251189437</v>
      </c>
      <c r="H145" s="157">
        <f>'график анн'!O140</f>
        <v>0</v>
      </c>
      <c r="I145" s="157" t="str">
        <f>'график анн'!M140</f>
        <v/>
      </c>
      <c r="J145" s="224" t="str">
        <f>'график анн'!N140</f>
        <v/>
      </c>
      <c r="K145" s="157" t="str">
        <f>'график анн'!I140</f>
        <v/>
      </c>
      <c r="L145" s="157" t="str">
        <f>'график анн'!J140</f>
        <v/>
      </c>
      <c r="M145" s="157">
        <f>'график анн'!K140</f>
        <v>0</v>
      </c>
      <c r="N145" s="157" t="str">
        <f>'график анн'!L140</f>
        <v/>
      </c>
      <c r="O145" s="51" t="str">
        <f>'график анн'!P140</f>
        <v/>
      </c>
      <c r="P145" s="147" t="str">
        <f>'график анн'!Q140</f>
        <v/>
      </c>
    </row>
    <row r="146" spans="1:16" x14ac:dyDescent="0.35">
      <c r="A146" s="154">
        <f>'график анн'!A141</f>
        <v>117</v>
      </c>
      <c r="B146" s="155">
        <f ca="1">'график анн'!C141</f>
        <v>47950</v>
      </c>
      <c r="C146" s="156">
        <f ca="1">'график анн'!D141</f>
        <v>31</v>
      </c>
      <c r="D146" s="47">
        <f ca="1">'график анн'!E141</f>
        <v>3009293.4451280725</v>
      </c>
      <c r="E146" s="47">
        <f ca="1">'график анн'!H141</f>
        <v>41055.931604305733</v>
      </c>
      <c r="F146" s="47">
        <f ca="1">'график анн'!F141</f>
        <v>12567.646626965769</v>
      </c>
      <c r="G146" s="47">
        <f ca="1">'график анн'!G141</f>
        <v>28488.284977339965</v>
      </c>
      <c r="H146" s="157">
        <f>'график анн'!O141</f>
        <v>0</v>
      </c>
      <c r="I146" s="157" t="str">
        <f>'график анн'!M141</f>
        <v/>
      </c>
      <c r="J146" s="224" t="str">
        <f>'график анн'!N141</f>
        <v/>
      </c>
      <c r="K146" s="157" t="str">
        <f>'график анн'!I141</f>
        <v/>
      </c>
      <c r="L146" s="157" t="str">
        <f>'график анн'!J141</f>
        <v/>
      </c>
      <c r="M146" s="157">
        <f>'график анн'!K141</f>
        <v>0</v>
      </c>
      <c r="N146" s="157" t="str">
        <f>'график анн'!L141</f>
        <v/>
      </c>
      <c r="O146" s="51" t="str">
        <f>'график анн'!P141</f>
        <v/>
      </c>
      <c r="P146" s="147" t="str">
        <f>'график анн'!Q141</f>
        <v/>
      </c>
    </row>
    <row r="147" spans="1:16" x14ac:dyDescent="0.35">
      <c r="A147" s="154">
        <f>'график анн'!A142</f>
        <v>118</v>
      </c>
      <c r="B147" s="155">
        <f ca="1">'график анн'!C142</f>
        <v>47980</v>
      </c>
      <c r="C147" s="156">
        <f ca="1">'график анн'!D142</f>
        <v>30</v>
      </c>
      <c r="D147" s="47">
        <f ca="1">'график анн'!E142</f>
        <v>2995692.1633108258</v>
      </c>
      <c r="E147" s="47">
        <f ca="1">'график анн'!H142</f>
        <v>41055.931604305733</v>
      </c>
      <c r="F147" s="47">
        <f ca="1">'график анн'!F142</f>
        <v>13601.281817246883</v>
      </c>
      <c r="G147" s="47">
        <f ca="1">'график анн'!G142</f>
        <v>27454.64978705885</v>
      </c>
      <c r="H147" s="157">
        <f>'график анн'!O142</f>
        <v>0</v>
      </c>
      <c r="I147" s="157" t="str">
        <f>'график анн'!M142</f>
        <v/>
      </c>
      <c r="J147" s="224" t="str">
        <f>'график анн'!N142</f>
        <v/>
      </c>
      <c r="K147" s="157" t="str">
        <f>'график анн'!I142</f>
        <v/>
      </c>
      <c r="L147" s="157" t="str">
        <f>'график анн'!J142</f>
        <v/>
      </c>
      <c r="M147" s="157">
        <f>'график анн'!K142</f>
        <v>0</v>
      </c>
      <c r="N147" s="157" t="str">
        <f>'график анн'!L142</f>
        <v/>
      </c>
      <c r="O147" s="51" t="str">
        <f>'график анн'!P142</f>
        <v/>
      </c>
      <c r="P147" s="147" t="str">
        <f>'график анн'!Q142</f>
        <v/>
      </c>
    </row>
    <row r="148" spans="1:16" x14ac:dyDescent="0.35">
      <c r="A148" s="154">
        <f>'график анн'!A143</f>
        <v>119</v>
      </c>
      <c r="B148" s="155">
        <f ca="1">'график анн'!C143</f>
        <v>48011</v>
      </c>
      <c r="C148" s="156">
        <f ca="1">'график анн'!D143</f>
        <v>31</v>
      </c>
      <c r="D148" s="47">
        <f ca="1">'график анн'!E143</f>
        <v>2982877.8117995407</v>
      </c>
      <c r="E148" s="47">
        <f ca="1">'график анн'!H143</f>
        <v>41055.931604305733</v>
      </c>
      <c r="F148" s="47">
        <f ca="1">'график анн'!F143</f>
        <v>12814.351511285044</v>
      </c>
      <c r="G148" s="47">
        <f ca="1">'график анн'!G143</f>
        <v>28241.58009302069</v>
      </c>
      <c r="H148" s="157">
        <f>'график анн'!O143</f>
        <v>0</v>
      </c>
      <c r="I148" s="157" t="str">
        <f>'график анн'!M143</f>
        <v/>
      </c>
      <c r="J148" s="224" t="str">
        <f>'график анн'!N143</f>
        <v/>
      </c>
      <c r="K148" s="157" t="str">
        <f>'график анн'!I143</f>
        <v/>
      </c>
      <c r="L148" s="157" t="str">
        <f>'график анн'!J143</f>
        <v/>
      </c>
      <c r="M148" s="157">
        <f>'график анн'!K143</f>
        <v>0</v>
      </c>
      <c r="N148" s="157" t="str">
        <f>'график анн'!L143</f>
        <v/>
      </c>
      <c r="O148" s="51" t="str">
        <f>'график анн'!P143</f>
        <v/>
      </c>
      <c r="P148" s="147" t="str">
        <f>'график анн'!Q143</f>
        <v/>
      </c>
    </row>
    <row r="149" spans="1:16" x14ac:dyDescent="0.35">
      <c r="A149" s="154">
        <f>'график анн'!A144</f>
        <v>120</v>
      </c>
      <c r="B149" s="155">
        <f ca="1">'график анн'!C144</f>
        <v>48041</v>
      </c>
      <c r="C149" s="156">
        <f ca="1">'график анн'!D144</f>
        <v>30</v>
      </c>
      <c r="D149" s="47">
        <f ca="1">'график анн'!E144</f>
        <v>2969035.5325604198</v>
      </c>
      <c r="E149" s="47">
        <f ca="1">'график анн'!H144</f>
        <v>41055.931604305733</v>
      </c>
      <c r="F149" s="47">
        <f ca="1">'график анн'!F144</f>
        <v>13842.279239120882</v>
      </c>
      <c r="G149" s="47">
        <f ca="1">'график анн'!G144</f>
        <v>27213.652365184851</v>
      </c>
      <c r="H149" s="157">
        <f>'график анн'!O144</f>
        <v>0</v>
      </c>
      <c r="I149" s="157" t="str">
        <f>'график анн'!M144</f>
        <v/>
      </c>
      <c r="J149" s="224" t="str">
        <f>'график анн'!N144</f>
        <v/>
      </c>
      <c r="K149" s="157" t="str">
        <f>'график анн'!I144</f>
        <v/>
      </c>
      <c r="L149" s="157" t="str">
        <f>'график анн'!J144</f>
        <v/>
      </c>
      <c r="M149" s="157">
        <f>'график анн'!K144</f>
        <v>0</v>
      </c>
      <c r="N149" s="157" t="str">
        <f>'график анн'!L144</f>
        <v/>
      </c>
      <c r="O149" s="51" t="str">
        <f>'график анн'!P144</f>
        <v/>
      </c>
      <c r="P149" s="147" t="str">
        <f>'график анн'!Q144</f>
        <v/>
      </c>
    </row>
    <row r="150" spans="1:16" x14ac:dyDescent="0.35">
      <c r="A150" s="154">
        <f>'график анн'!A145</f>
        <v>121</v>
      </c>
      <c r="B150" s="155">
        <f ca="1">'график анн'!C145</f>
        <v>48072</v>
      </c>
      <c r="C150" s="156">
        <f ca="1">'график анн'!D145</f>
        <v>31</v>
      </c>
      <c r="D150" s="47">
        <f ca="1">'график анн'!E145</f>
        <v>2955969.8784014303</v>
      </c>
      <c r="E150" s="47">
        <f ca="1">'график анн'!H145</f>
        <v>41055.931604305733</v>
      </c>
      <c r="F150" s="47">
        <f ca="1">'график анн'!F145</f>
        <v>13065.654158989557</v>
      </c>
      <c r="G150" s="47">
        <f ca="1">'график анн'!G145</f>
        <v>27990.277445316176</v>
      </c>
      <c r="H150" s="157">
        <f>'график анн'!O145</f>
        <v>0</v>
      </c>
      <c r="I150" s="157" t="str">
        <f>'график анн'!M145</f>
        <v/>
      </c>
      <c r="J150" s="224">
        <f>'график анн'!N145</f>
        <v>2500</v>
      </c>
      <c r="K150" s="157" t="str">
        <f>'график анн'!I145</f>
        <v/>
      </c>
      <c r="L150" s="157" t="str">
        <f>'график анн'!J145</f>
        <v/>
      </c>
      <c r="M150" s="224">
        <f>'график анн'!K145</f>
        <v>17142.858</v>
      </c>
      <c r="N150" s="157" t="str">
        <f>'график анн'!L145</f>
        <v/>
      </c>
      <c r="O150" s="51" t="str">
        <f>'график анн'!P145</f>
        <v/>
      </c>
      <c r="P150" s="147" t="str">
        <f>'график анн'!Q145</f>
        <v/>
      </c>
    </row>
    <row r="151" spans="1:16" x14ac:dyDescent="0.35">
      <c r="A151" s="154">
        <f>'график анн'!A146</f>
        <v>122</v>
      </c>
      <c r="B151" s="155">
        <f ca="1">'график анн'!C146</f>
        <v>48103</v>
      </c>
      <c r="C151" s="156">
        <f ca="1">'график анн'!D146</f>
        <v>31</v>
      </c>
      <c r="D151" s="47">
        <f ca="1">'график анн'!E146</f>
        <v>2942781.0491302186</v>
      </c>
      <c r="E151" s="47">
        <f ca="1">'график анн'!H146</f>
        <v>41055.931604305733</v>
      </c>
      <c r="F151" s="47">
        <f ca="1">'график анн'!F146</f>
        <v>13188.8292712117</v>
      </c>
      <c r="G151" s="47">
        <f ca="1">'график анн'!G146</f>
        <v>27867.102333094033</v>
      </c>
      <c r="H151" s="157">
        <f>'график анн'!O146</f>
        <v>0</v>
      </c>
      <c r="I151" s="157" t="str">
        <f>'график анн'!M146</f>
        <v/>
      </c>
      <c r="J151" s="224" t="str">
        <f>'график анн'!N146</f>
        <v/>
      </c>
      <c r="K151" s="157" t="str">
        <f>'график анн'!I146</f>
        <v/>
      </c>
      <c r="L151" s="157" t="str">
        <f>'график анн'!J146</f>
        <v/>
      </c>
      <c r="M151" s="157">
        <f>'график анн'!K146</f>
        <v>0</v>
      </c>
      <c r="N151" s="157" t="str">
        <f>'график анн'!L146</f>
        <v/>
      </c>
      <c r="O151" s="51" t="str">
        <f>'график анн'!P146</f>
        <v/>
      </c>
      <c r="P151" s="147" t="str">
        <f>'график анн'!Q146</f>
        <v/>
      </c>
    </row>
    <row r="152" spans="1:16" x14ac:dyDescent="0.35">
      <c r="A152" s="154">
        <f>'график анн'!A147</f>
        <v>123</v>
      </c>
      <c r="B152" s="155">
        <f ca="1">'график анн'!C147</f>
        <v>48133</v>
      </c>
      <c r="C152" s="156">
        <f ca="1">'график анн'!D147</f>
        <v>30</v>
      </c>
      <c r="D152" s="47">
        <f ca="1">'график анн'!E147</f>
        <v>2928572.9555905801</v>
      </c>
      <c r="E152" s="47">
        <f ca="1">'график анн'!H147</f>
        <v>41055.931604305733</v>
      </c>
      <c r="F152" s="47">
        <f ca="1">'график анн'!F147</f>
        <v>14208.093539638259</v>
      </c>
      <c r="G152" s="47">
        <f ca="1">'график анн'!G147</f>
        <v>26847.838064667474</v>
      </c>
      <c r="H152" s="157">
        <f>'график анн'!O147</f>
        <v>0</v>
      </c>
      <c r="I152" s="157" t="str">
        <f>'график анн'!M147</f>
        <v/>
      </c>
      <c r="J152" s="224" t="str">
        <f>'график анн'!N147</f>
        <v/>
      </c>
      <c r="K152" s="157" t="str">
        <f>'график анн'!I147</f>
        <v/>
      </c>
      <c r="L152" s="157" t="str">
        <f>'график анн'!J147</f>
        <v/>
      </c>
      <c r="M152" s="157">
        <f>'график анн'!K147</f>
        <v>0</v>
      </c>
      <c r="N152" s="157" t="str">
        <f>'график анн'!L147</f>
        <v/>
      </c>
      <c r="O152" s="51" t="str">
        <f>'график анн'!P147</f>
        <v/>
      </c>
      <c r="P152" s="147" t="str">
        <f>'график анн'!Q147</f>
        <v/>
      </c>
    </row>
    <row r="153" spans="1:16" x14ac:dyDescent="0.35">
      <c r="A153" s="154">
        <f>'график анн'!A148</f>
        <v>124</v>
      </c>
      <c r="B153" s="155">
        <f ca="1">'график анн'!C148</f>
        <v>48164</v>
      </c>
      <c r="C153" s="156">
        <f ca="1">'график анн'!D148</f>
        <v>31</v>
      </c>
      <c r="D153" s="47">
        <f ca="1">'график анн'!E148</f>
        <v>2915125.8446443216</v>
      </c>
      <c r="E153" s="47">
        <f ca="1">'график анн'!H148</f>
        <v>41055.931604305733</v>
      </c>
      <c r="F153" s="47">
        <f ca="1">'график анн'!F148</f>
        <v>13447.110946258643</v>
      </c>
      <c r="G153" s="47">
        <f ca="1">'график анн'!G148</f>
        <v>27608.820658047091</v>
      </c>
      <c r="H153" s="157">
        <f>'график анн'!O148</f>
        <v>0</v>
      </c>
      <c r="I153" s="157" t="str">
        <f>'график анн'!M148</f>
        <v/>
      </c>
      <c r="J153" s="224" t="str">
        <f>'график анн'!N148</f>
        <v/>
      </c>
      <c r="K153" s="157" t="str">
        <f>'график анн'!I148</f>
        <v/>
      </c>
      <c r="L153" s="157" t="str">
        <f>'график анн'!J148</f>
        <v/>
      </c>
      <c r="M153" s="157">
        <f>'график анн'!K148</f>
        <v>0</v>
      </c>
      <c r="N153" s="157" t="str">
        <f>'график анн'!L148</f>
        <v/>
      </c>
      <c r="O153" s="51" t="str">
        <f>'график анн'!P148</f>
        <v/>
      </c>
      <c r="P153" s="147" t="str">
        <f>'график анн'!Q148</f>
        <v/>
      </c>
    </row>
    <row r="154" spans="1:16" x14ac:dyDescent="0.35">
      <c r="A154" s="154">
        <f>'график анн'!A149</f>
        <v>125</v>
      </c>
      <c r="B154" s="155">
        <f ca="1">'график анн'!C149</f>
        <v>48194</v>
      </c>
      <c r="C154" s="156">
        <f ca="1">'график анн'!D149</f>
        <v>30</v>
      </c>
      <c r="D154" s="47">
        <f ca="1">'график анн'!E149</f>
        <v>2900665.4447185518</v>
      </c>
      <c r="E154" s="47">
        <f ca="1">'график анн'!H149</f>
        <v>41055.931604305733</v>
      </c>
      <c r="F154" s="47">
        <f ca="1">'график анн'!F149</f>
        <v>14460.399925769867</v>
      </c>
      <c r="G154" s="47">
        <f ca="1">'график анн'!G149</f>
        <v>26595.531678535866</v>
      </c>
      <c r="H154" s="157">
        <f>'график анн'!O149</f>
        <v>0</v>
      </c>
      <c r="I154" s="157" t="str">
        <f>'график анн'!M149</f>
        <v/>
      </c>
      <c r="J154" s="224" t="str">
        <f>'график анн'!N149</f>
        <v/>
      </c>
      <c r="K154" s="157" t="str">
        <f>'график анн'!I149</f>
        <v/>
      </c>
      <c r="L154" s="157" t="str">
        <f>'график анн'!J149</f>
        <v/>
      </c>
      <c r="M154" s="157">
        <f>'график анн'!K149</f>
        <v>0</v>
      </c>
      <c r="N154" s="157" t="str">
        <f>'график анн'!L149</f>
        <v/>
      </c>
      <c r="O154" s="51" t="str">
        <f>'график анн'!P149</f>
        <v/>
      </c>
      <c r="P154" s="147" t="str">
        <f>'график анн'!Q149</f>
        <v/>
      </c>
    </row>
    <row r="155" spans="1:16" x14ac:dyDescent="0.35">
      <c r="A155" s="154">
        <f>'график анн'!A150</f>
        <v>126</v>
      </c>
      <c r="B155" s="155">
        <f ca="1">'график анн'!C150</f>
        <v>48225</v>
      </c>
      <c r="C155" s="156">
        <f ca="1">'график анн'!D150</f>
        <v>31</v>
      </c>
      <c r="D155" s="47">
        <f ca="1">'график анн'!E150</f>
        <v>2886955.2385807573</v>
      </c>
      <c r="E155" s="47">
        <f ca="1">'график анн'!H150</f>
        <v>41055.931604305733</v>
      </c>
      <c r="F155" s="47">
        <f ca="1">'график анн'!F150</f>
        <v>13710.20613779467</v>
      </c>
      <c r="G155" s="47">
        <f ca="1">'график анн'!G150</f>
        <v>27345.725466511063</v>
      </c>
      <c r="H155" s="157">
        <f>'график анн'!O150</f>
        <v>0</v>
      </c>
      <c r="I155" s="157" t="str">
        <f>'график анн'!M150</f>
        <v/>
      </c>
      <c r="J155" s="224" t="str">
        <f>'график анн'!N150</f>
        <v/>
      </c>
      <c r="K155" s="157" t="str">
        <f>'график анн'!I150</f>
        <v/>
      </c>
      <c r="L155" s="157" t="str">
        <f>'график анн'!J150</f>
        <v/>
      </c>
      <c r="M155" s="157">
        <f>'график анн'!K150</f>
        <v>0</v>
      </c>
      <c r="N155" s="157" t="str">
        <f>'график анн'!L150</f>
        <v/>
      </c>
      <c r="O155" s="51" t="str">
        <f>'график анн'!P150</f>
        <v/>
      </c>
      <c r="P155" s="147" t="str">
        <f>'график анн'!Q150</f>
        <v/>
      </c>
    </row>
    <row r="156" spans="1:16" x14ac:dyDescent="0.35">
      <c r="A156" s="154">
        <f>'график анн'!A151</f>
        <v>127</v>
      </c>
      <c r="B156" s="155">
        <f ca="1">'график анн'!C151</f>
        <v>48256</v>
      </c>
      <c r="C156" s="156">
        <f ca="1">'график анн'!D151</f>
        <v>31</v>
      </c>
      <c r="D156" s="47">
        <f ca="1">'график анн'!E151</f>
        <v>2873041.4189326167</v>
      </c>
      <c r="E156" s="47">
        <f ca="1">'график анн'!H151</f>
        <v>41055.931604305733</v>
      </c>
      <c r="F156" s="47">
        <f ca="1">'график анн'!F151</f>
        <v>13913.819648140743</v>
      </c>
      <c r="G156" s="47">
        <f ca="1">'график анн'!G151</f>
        <v>27142.11195616499</v>
      </c>
      <c r="H156" s="157">
        <f>'график анн'!O151</f>
        <v>0</v>
      </c>
      <c r="I156" s="157" t="str">
        <f>'график анн'!M151</f>
        <v/>
      </c>
      <c r="J156" s="224" t="str">
        <f>'график анн'!N151</f>
        <v/>
      </c>
      <c r="K156" s="157" t="str">
        <f>'график анн'!I151</f>
        <v/>
      </c>
      <c r="L156" s="157" t="str">
        <f>'график анн'!J151</f>
        <v/>
      </c>
      <c r="M156" s="157">
        <f>'график анн'!K151</f>
        <v>0</v>
      </c>
      <c r="N156" s="157" t="str">
        <f>'график анн'!L151</f>
        <v/>
      </c>
      <c r="O156" s="51" t="str">
        <f>'график анн'!P151</f>
        <v/>
      </c>
      <c r="P156" s="147" t="str">
        <f>'график анн'!Q151</f>
        <v/>
      </c>
    </row>
    <row r="157" spans="1:16" x14ac:dyDescent="0.35">
      <c r="A157" s="154">
        <f>'график анн'!A152</f>
        <v>128</v>
      </c>
      <c r="B157" s="155">
        <f ca="1">'график анн'!C152</f>
        <v>48285</v>
      </c>
      <c r="C157" s="156">
        <f ca="1">'график анн'!D152</f>
        <v>29</v>
      </c>
      <c r="D157" s="47">
        <f ca="1">'график анн'!E152</f>
        <v>2857254.1221030215</v>
      </c>
      <c r="E157" s="47">
        <f ca="1">'график анн'!H152</f>
        <v>41055.931604305733</v>
      </c>
      <c r="F157" s="47">
        <f ca="1">'график анн'!F152</f>
        <v>15787.296829595096</v>
      </c>
      <c r="G157" s="47">
        <f ca="1">'график анн'!G152</f>
        <v>25268.634774710637</v>
      </c>
      <c r="H157" s="157">
        <f>'график анн'!O152</f>
        <v>0</v>
      </c>
      <c r="I157" s="157" t="str">
        <f>'график анн'!M152</f>
        <v/>
      </c>
      <c r="J157" s="224" t="str">
        <f>'график анн'!N152</f>
        <v/>
      </c>
      <c r="K157" s="157" t="str">
        <f>'график анн'!I152</f>
        <v/>
      </c>
      <c r="L157" s="157" t="str">
        <f>'график анн'!J152</f>
        <v/>
      </c>
      <c r="M157" s="157">
        <f>'график анн'!K152</f>
        <v>0</v>
      </c>
      <c r="N157" s="157" t="str">
        <f>'график анн'!L152</f>
        <v/>
      </c>
      <c r="O157" s="51" t="str">
        <f>'график анн'!P152</f>
        <v/>
      </c>
      <c r="P157" s="147" t="str">
        <f>'график анн'!Q152</f>
        <v/>
      </c>
    </row>
    <row r="158" spans="1:16" x14ac:dyDescent="0.35">
      <c r="A158" s="154">
        <f>'график анн'!A153</f>
        <v>129</v>
      </c>
      <c r="B158" s="155">
        <f ca="1">'график анн'!C153</f>
        <v>48316</v>
      </c>
      <c r="C158" s="156">
        <f ca="1">'график анн'!D153</f>
        <v>31</v>
      </c>
      <c r="D158" s="47">
        <f ca="1">'график анн'!E153</f>
        <v>2843061.0632696352</v>
      </c>
      <c r="E158" s="47">
        <f ca="1">'график анн'!H153</f>
        <v>41055.931604305733</v>
      </c>
      <c r="F158" s="47">
        <f ca="1">'график анн'!F153</f>
        <v>14193.058833386342</v>
      </c>
      <c r="G158" s="47">
        <f ca="1">'график анн'!G153</f>
        <v>26862.872770919392</v>
      </c>
      <c r="H158" s="157">
        <f>'график анн'!O153</f>
        <v>0</v>
      </c>
      <c r="I158" s="157" t="str">
        <f>'график анн'!M153</f>
        <v/>
      </c>
      <c r="J158" s="224" t="str">
        <f>'график анн'!N153</f>
        <v/>
      </c>
      <c r="K158" s="157" t="str">
        <f>'график анн'!I153</f>
        <v/>
      </c>
      <c r="L158" s="157" t="str">
        <f>'график анн'!J153</f>
        <v/>
      </c>
      <c r="M158" s="157">
        <f>'график анн'!K153</f>
        <v>0</v>
      </c>
      <c r="N158" s="157" t="str">
        <f>'график анн'!L153</f>
        <v/>
      </c>
      <c r="O158" s="51" t="str">
        <f>'график анн'!P153</f>
        <v/>
      </c>
      <c r="P158" s="147" t="str">
        <f>'график анн'!Q153</f>
        <v/>
      </c>
    </row>
    <row r="159" spans="1:16" x14ac:dyDescent="0.35">
      <c r="A159" s="154">
        <f>'график анн'!A154</f>
        <v>130</v>
      </c>
      <c r="B159" s="155">
        <f ca="1">'график анн'!C154</f>
        <v>48346</v>
      </c>
      <c r="C159" s="156">
        <f ca="1">'график анн'!D154</f>
        <v>30</v>
      </c>
      <c r="D159" s="47">
        <f ca="1">'график анн'!E154</f>
        <v>2827872.3265852416</v>
      </c>
      <c r="E159" s="47">
        <f ca="1">'график анн'!H154</f>
        <v>41055.931604305733</v>
      </c>
      <c r="F159" s="47">
        <f ca="1">'график анн'!F154</f>
        <v>15188.736684393483</v>
      </c>
      <c r="G159" s="47">
        <f ca="1">'график анн'!G154</f>
        <v>25867.19491991225</v>
      </c>
      <c r="H159" s="157">
        <f>'график анн'!O154</f>
        <v>0</v>
      </c>
      <c r="I159" s="157" t="str">
        <f>'график анн'!M154</f>
        <v/>
      </c>
      <c r="J159" s="224" t="str">
        <f>'график анн'!N154</f>
        <v/>
      </c>
      <c r="K159" s="157" t="str">
        <f>'график анн'!I154</f>
        <v/>
      </c>
      <c r="L159" s="157" t="str">
        <f>'график анн'!J154</f>
        <v/>
      </c>
      <c r="M159" s="157">
        <f>'график анн'!K154</f>
        <v>0</v>
      </c>
      <c r="N159" s="157" t="str">
        <f>'график анн'!L154</f>
        <v/>
      </c>
      <c r="O159" s="51" t="str">
        <f>'график анн'!P154</f>
        <v/>
      </c>
      <c r="P159" s="147" t="str">
        <f>'график анн'!Q154</f>
        <v/>
      </c>
    </row>
    <row r="160" spans="1:16" x14ac:dyDescent="0.35">
      <c r="A160" s="154">
        <f>'график анн'!A155</f>
        <v>131</v>
      </c>
      <c r="B160" s="155">
        <f ca="1">'график анн'!C155</f>
        <v>48377</v>
      </c>
      <c r="C160" s="156">
        <f ca="1">'график анн'!D155</f>
        <v>31</v>
      </c>
      <c r="D160" s="47">
        <f ca="1">'график анн'!E155</f>
        <v>2813403.0307071102</v>
      </c>
      <c r="E160" s="47">
        <f ca="1">'график анн'!H155</f>
        <v>41055.931604305733</v>
      </c>
      <c r="F160" s="47">
        <f ca="1">'график анн'!F155</f>
        <v>14469.295878131372</v>
      </c>
      <c r="G160" s="47">
        <f ca="1">'график анн'!G155</f>
        <v>26586.635726174361</v>
      </c>
      <c r="H160" s="157">
        <f>'график анн'!O155</f>
        <v>0</v>
      </c>
      <c r="I160" s="157" t="str">
        <f>'график анн'!M155</f>
        <v/>
      </c>
      <c r="J160" s="224" t="str">
        <f>'график анн'!N155</f>
        <v/>
      </c>
      <c r="K160" s="157" t="str">
        <f>'график анн'!I155</f>
        <v/>
      </c>
      <c r="L160" s="157" t="str">
        <f>'график анн'!J155</f>
        <v/>
      </c>
      <c r="M160" s="157">
        <f>'график анн'!K155</f>
        <v>0</v>
      </c>
      <c r="N160" s="157" t="str">
        <f>'график анн'!L155</f>
        <v/>
      </c>
      <c r="O160" s="51" t="str">
        <f>'график анн'!P155</f>
        <v/>
      </c>
      <c r="P160" s="147" t="str">
        <f>'график анн'!Q155</f>
        <v/>
      </c>
    </row>
    <row r="161" spans="1:16" x14ac:dyDescent="0.35">
      <c r="A161" s="154">
        <f>'график анн'!A156</f>
        <v>132</v>
      </c>
      <c r="B161" s="155">
        <f ca="1">'график анн'!C156</f>
        <v>48407</v>
      </c>
      <c r="C161" s="156">
        <f ca="1">'график анн'!D156</f>
        <v>30</v>
      </c>
      <c r="D161" s="47">
        <f ca="1">'график анн'!E156</f>
        <v>2797944.4545461233</v>
      </c>
      <c r="E161" s="47">
        <f ca="1">'график анн'!H156</f>
        <v>41055.931604305733</v>
      </c>
      <c r="F161" s="47">
        <f ca="1">'график анн'!F156</f>
        <v>15458.576160986948</v>
      </c>
      <c r="G161" s="47">
        <f ca="1">'график анн'!G156</f>
        <v>25597.355443318786</v>
      </c>
      <c r="H161" s="157">
        <f>'график анн'!O156</f>
        <v>0</v>
      </c>
      <c r="I161" s="157" t="str">
        <f>'график анн'!M156</f>
        <v/>
      </c>
      <c r="J161" s="224" t="str">
        <f>'график анн'!N156</f>
        <v/>
      </c>
      <c r="K161" s="157" t="str">
        <f>'график анн'!I156</f>
        <v/>
      </c>
      <c r="L161" s="157" t="str">
        <f>'график анн'!J156</f>
        <v/>
      </c>
      <c r="M161" s="157">
        <f>'график анн'!K156</f>
        <v>0</v>
      </c>
      <c r="N161" s="157" t="str">
        <f>'график анн'!L156</f>
        <v/>
      </c>
      <c r="O161" s="51" t="str">
        <f>'график анн'!P156</f>
        <v/>
      </c>
      <c r="P161" s="147" t="str">
        <f>'график анн'!Q156</f>
        <v/>
      </c>
    </row>
    <row r="162" spans="1:16" x14ac:dyDescent="0.35">
      <c r="A162" s="154">
        <f>'график анн'!A157</f>
        <v>133</v>
      </c>
      <c r="B162" s="155">
        <f ca="1">'график анн'!C157</f>
        <v>48438</v>
      </c>
      <c r="C162" s="156">
        <f ca="1">'график анн'!D157</f>
        <v>31</v>
      </c>
      <c r="D162" s="47">
        <f ca="1">'график анн'!E157</f>
        <v>2783193.787608739</v>
      </c>
      <c r="E162" s="47">
        <f ca="1">'график анн'!H157</f>
        <v>41055.931604305733</v>
      </c>
      <c r="F162" s="47">
        <f ca="1">'график анн'!F157</f>
        <v>14750.666937384398</v>
      </c>
      <c r="G162" s="47">
        <f ca="1">'график анн'!G157</f>
        <v>26305.264666921335</v>
      </c>
      <c r="H162" s="157">
        <f>'график анн'!O157</f>
        <v>0</v>
      </c>
      <c r="I162" s="157" t="str">
        <f>'график анн'!M157</f>
        <v/>
      </c>
      <c r="J162" s="224">
        <f>'график анн'!N157</f>
        <v>2500</v>
      </c>
      <c r="K162" s="157" t="str">
        <f>'график анн'!I157</f>
        <v/>
      </c>
      <c r="L162" s="157" t="str">
        <f>'график анн'!J157</f>
        <v/>
      </c>
      <c r="M162" s="224">
        <f>'график анн'!K157</f>
        <v>17142.858</v>
      </c>
      <c r="N162" s="157" t="str">
        <f>'график анн'!L157</f>
        <v/>
      </c>
      <c r="O162" s="51" t="str">
        <f>'график анн'!P157</f>
        <v/>
      </c>
      <c r="P162" s="147" t="str">
        <f>'график анн'!Q157</f>
        <v/>
      </c>
    </row>
    <row r="163" spans="1:16" x14ac:dyDescent="0.35">
      <c r="A163" s="154">
        <f>'график анн'!A158</f>
        <v>134</v>
      </c>
      <c r="B163" s="155">
        <f ca="1">'график анн'!C158</f>
        <v>48469</v>
      </c>
      <c r="C163" s="156">
        <f ca="1">'график анн'!D158</f>
        <v>31</v>
      </c>
      <c r="D163" s="47">
        <f ca="1">'график анн'!E158</f>
        <v>2768304.440220722</v>
      </c>
      <c r="E163" s="47">
        <f ca="1">'график анн'!H158</f>
        <v>41055.931604305733</v>
      </c>
      <c r="F163" s="47">
        <f ca="1">'график анн'!F158</f>
        <v>14889.347388017013</v>
      </c>
      <c r="G163" s="47">
        <f ca="1">'график анн'!G158</f>
        <v>26166.58421628872</v>
      </c>
      <c r="H163" s="157">
        <f>'график анн'!O158</f>
        <v>0</v>
      </c>
      <c r="I163" s="157" t="str">
        <f>'график анн'!M158</f>
        <v/>
      </c>
      <c r="J163" s="224" t="str">
        <f>'график анн'!N158</f>
        <v/>
      </c>
      <c r="K163" s="157" t="str">
        <f>'график анн'!I158</f>
        <v/>
      </c>
      <c r="L163" s="157" t="str">
        <f>'график анн'!J158</f>
        <v/>
      </c>
      <c r="M163" s="157">
        <f>'график анн'!K158</f>
        <v>0</v>
      </c>
      <c r="N163" s="157" t="str">
        <f>'график анн'!L158</f>
        <v/>
      </c>
      <c r="O163" s="51" t="str">
        <f>'график анн'!P158</f>
        <v/>
      </c>
      <c r="P163" s="147" t="str">
        <f>'график анн'!Q158</f>
        <v/>
      </c>
    </row>
    <row r="164" spans="1:16" x14ac:dyDescent="0.35">
      <c r="A164" s="154">
        <f>'график анн'!A159</f>
        <v>135</v>
      </c>
      <c r="B164" s="155">
        <f ca="1">'график анн'!C159</f>
        <v>48499</v>
      </c>
      <c r="C164" s="156">
        <f ca="1">'график анн'!D159</f>
        <v>30</v>
      </c>
      <c r="D164" s="47">
        <f ca="1">'график анн'!E159</f>
        <v>2752435.5408184244</v>
      </c>
      <c r="E164" s="47">
        <f ca="1">'график анн'!H159</f>
        <v>41055.931604305733</v>
      </c>
      <c r="F164" s="47">
        <f ca="1">'график анн'!F159</f>
        <v>15868.899402297524</v>
      </c>
      <c r="G164" s="47">
        <f ca="1">'график анн'!G159</f>
        <v>25187.032202008209</v>
      </c>
      <c r="H164" s="157">
        <f>'график анн'!O159</f>
        <v>0</v>
      </c>
      <c r="I164" s="157" t="str">
        <f>'график анн'!M159</f>
        <v/>
      </c>
      <c r="J164" s="224" t="str">
        <f>'график анн'!N159</f>
        <v/>
      </c>
      <c r="K164" s="157" t="str">
        <f>'график анн'!I159</f>
        <v/>
      </c>
      <c r="L164" s="157" t="str">
        <f>'график анн'!J159</f>
        <v/>
      </c>
      <c r="M164" s="157">
        <f>'график анн'!K159</f>
        <v>0</v>
      </c>
      <c r="N164" s="157" t="str">
        <f>'график анн'!L159</f>
        <v/>
      </c>
      <c r="O164" s="51" t="str">
        <f>'график анн'!P159</f>
        <v/>
      </c>
      <c r="P164" s="147" t="str">
        <f>'график анн'!Q159</f>
        <v/>
      </c>
    </row>
    <row r="165" spans="1:16" x14ac:dyDescent="0.35">
      <c r="A165" s="154">
        <f>'график анн'!A160</f>
        <v>136</v>
      </c>
      <c r="B165" s="155">
        <f ca="1">'график анн'!C160</f>
        <v>48530</v>
      </c>
      <c r="C165" s="156">
        <f ca="1">'график анн'!D160</f>
        <v>31</v>
      </c>
      <c r="D165" s="47">
        <f ca="1">'график анн'!E160</f>
        <v>2737257.0154872229</v>
      </c>
      <c r="E165" s="47">
        <f ca="1">'график анн'!H160</f>
        <v>41055.931604305733</v>
      </c>
      <c r="F165" s="47">
        <f ca="1">'график анн'!F160</f>
        <v>15178.525331201366</v>
      </c>
      <c r="G165" s="47">
        <f ca="1">'график анн'!G160</f>
        <v>25877.406273104367</v>
      </c>
      <c r="H165" s="157">
        <f>'график анн'!O160</f>
        <v>0</v>
      </c>
      <c r="I165" s="157" t="str">
        <f>'график анн'!M160</f>
        <v/>
      </c>
      <c r="J165" s="224" t="str">
        <f>'график анн'!N160</f>
        <v/>
      </c>
      <c r="K165" s="157" t="str">
        <f>'график анн'!I160</f>
        <v/>
      </c>
      <c r="L165" s="157" t="str">
        <f>'график анн'!J160</f>
        <v/>
      </c>
      <c r="M165" s="157">
        <f>'график анн'!K160</f>
        <v>0</v>
      </c>
      <c r="N165" s="157" t="str">
        <f>'график анн'!L160</f>
        <v/>
      </c>
      <c r="O165" s="51" t="str">
        <f>'график анн'!P160</f>
        <v/>
      </c>
      <c r="P165" s="147" t="str">
        <f>'график анн'!Q160</f>
        <v/>
      </c>
    </row>
    <row r="166" spans="1:16" x14ac:dyDescent="0.35">
      <c r="A166" s="154">
        <f>'график анн'!A161</f>
        <v>137</v>
      </c>
      <c r="B166" s="155">
        <f ca="1">'график анн'!C161</f>
        <v>48560</v>
      </c>
      <c r="C166" s="156">
        <f ca="1">'график анн'!D161</f>
        <v>30</v>
      </c>
      <c r="D166" s="47">
        <f ca="1">'график анн'!E161</f>
        <v>2721105.6354172681</v>
      </c>
      <c r="E166" s="47">
        <f ca="1">'график анн'!H161</f>
        <v>41055.931604305733</v>
      </c>
      <c r="F166" s="47">
        <f ca="1">'график анн'!F161</f>
        <v>16151.380069954772</v>
      </c>
      <c r="G166" s="47">
        <f ca="1">'график анн'!G161</f>
        <v>24904.551534350961</v>
      </c>
      <c r="H166" s="157">
        <f>'график анн'!O161</f>
        <v>0</v>
      </c>
      <c r="I166" s="157" t="str">
        <f>'график анн'!M161</f>
        <v/>
      </c>
      <c r="J166" s="224" t="str">
        <f>'график анн'!N161</f>
        <v/>
      </c>
      <c r="K166" s="157" t="str">
        <f>'график анн'!I161</f>
        <v/>
      </c>
      <c r="L166" s="157" t="str">
        <f>'график анн'!J161</f>
        <v/>
      </c>
      <c r="M166" s="157">
        <f>'график анн'!K161</f>
        <v>0</v>
      </c>
      <c r="N166" s="157" t="str">
        <f>'график анн'!L161</f>
        <v/>
      </c>
      <c r="O166" s="51" t="str">
        <f>'график анн'!P161</f>
        <v/>
      </c>
      <c r="P166" s="147" t="str">
        <f>'график анн'!Q161</f>
        <v/>
      </c>
    </row>
    <row r="167" spans="1:16" x14ac:dyDescent="0.35">
      <c r="A167" s="154">
        <f>'график анн'!A162</f>
        <v>138</v>
      </c>
      <c r="B167" s="155">
        <f ca="1">'график анн'!C162</f>
        <v>48591</v>
      </c>
      <c r="C167" s="156">
        <f ca="1">'график анн'!D162</f>
        <v>31</v>
      </c>
      <c r="D167" s="47">
        <f ca="1">'график анн'!E162</f>
        <v>2705632.5576147954</v>
      </c>
      <c r="E167" s="47">
        <f ca="1">'график анн'!H162</f>
        <v>41055.931604305733</v>
      </c>
      <c r="F167" s="47">
        <f ca="1">'график анн'!F162</f>
        <v>15473.077802472893</v>
      </c>
      <c r="G167" s="47">
        <f ca="1">'график анн'!G162</f>
        <v>25582.85380183284</v>
      </c>
      <c r="H167" s="157">
        <f>'график анн'!O162</f>
        <v>0</v>
      </c>
      <c r="I167" s="157" t="str">
        <f>'график анн'!M162</f>
        <v/>
      </c>
      <c r="J167" s="224" t="str">
        <f>'график анн'!N162</f>
        <v/>
      </c>
      <c r="K167" s="157" t="str">
        <f>'график анн'!I162</f>
        <v/>
      </c>
      <c r="L167" s="157" t="str">
        <f>'график анн'!J162</f>
        <v/>
      </c>
      <c r="M167" s="157">
        <f>'график анн'!K162</f>
        <v>0</v>
      </c>
      <c r="N167" s="157" t="str">
        <f>'график анн'!L162</f>
        <v/>
      </c>
      <c r="O167" s="51" t="str">
        <f>'график анн'!P162</f>
        <v/>
      </c>
      <c r="P167" s="147" t="str">
        <f>'график анн'!Q162</f>
        <v/>
      </c>
    </row>
    <row r="168" spans="1:16" x14ac:dyDescent="0.35">
      <c r="A168" s="154">
        <f>'график анн'!A163</f>
        <v>139</v>
      </c>
      <c r="B168" s="155">
        <f ca="1">'график анн'!C163</f>
        <v>48622</v>
      </c>
      <c r="C168" s="156">
        <f ca="1">'график анн'!D163</f>
        <v>31</v>
      </c>
      <c r="D168" s="47">
        <f ca="1">'график анн'!E163</f>
        <v>2690083.6989714555</v>
      </c>
      <c r="E168" s="47">
        <f ca="1">'график анн'!H163</f>
        <v>41055.931604305733</v>
      </c>
      <c r="F168" s="47">
        <f ca="1">'график анн'!F163</f>
        <v>15548.858643339951</v>
      </c>
      <c r="G168" s="47">
        <f ca="1">'график анн'!G163</f>
        <v>25507.072960965783</v>
      </c>
      <c r="H168" s="157">
        <f>'график анн'!O163</f>
        <v>0</v>
      </c>
      <c r="I168" s="157" t="str">
        <f>'график анн'!M163</f>
        <v/>
      </c>
      <c r="J168" s="224" t="str">
        <f>'график анн'!N163</f>
        <v/>
      </c>
      <c r="K168" s="157" t="str">
        <f>'график анн'!I163</f>
        <v/>
      </c>
      <c r="L168" s="157" t="str">
        <f>'график анн'!J163</f>
        <v/>
      </c>
      <c r="M168" s="157">
        <f>'график анн'!K163</f>
        <v>0</v>
      </c>
      <c r="N168" s="157" t="str">
        <f>'график анн'!L163</f>
        <v/>
      </c>
      <c r="O168" s="51" t="str">
        <f>'график анн'!P163</f>
        <v/>
      </c>
      <c r="P168" s="147" t="str">
        <f>'график анн'!Q163</f>
        <v/>
      </c>
    </row>
    <row r="169" spans="1:16" x14ac:dyDescent="0.35">
      <c r="A169" s="154">
        <f>'график анн'!A164</f>
        <v>140</v>
      </c>
      <c r="B169" s="155">
        <f ca="1">'график анн'!C164</f>
        <v>48650</v>
      </c>
      <c r="C169" s="156">
        <f ca="1">'график анн'!D164</f>
        <v>28</v>
      </c>
      <c r="D169" s="47">
        <f ca="1">'график анн'!E164</f>
        <v>2671934.0143161998</v>
      </c>
      <c r="E169" s="47">
        <f ca="1">'график анн'!H164</f>
        <v>41055.931604305733</v>
      </c>
      <c r="F169" s="47">
        <f ca="1">'график анн'!F164</f>
        <v>18149.684655255642</v>
      </c>
      <c r="G169" s="47">
        <f ca="1">'график анн'!G164</f>
        <v>22906.246949050092</v>
      </c>
      <c r="H169" s="157">
        <f>'график анн'!O164</f>
        <v>0</v>
      </c>
      <c r="I169" s="157" t="str">
        <f>'график анн'!M164</f>
        <v/>
      </c>
      <c r="J169" s="224" t="str">
        <f>'график анн'!N164</f>
        <v/>
      </c>
      <c r="K169" s="157" t="str">
        <f>'график анн'!I164</f>
        <v/>
      </c>
      <c r="L169" s="157" t="str">
        <f>'график анн'!J164</f>
        <v/>
      </c>
      <c r="M169" s="157">
        <f>'график анн'!K164</f>
        <v>0</v>
      </c>
      <c r="N169" s="157" t="str">
        <f>'график анн'!L164</f>
        <v/>
      </c>
      <c r="O169" s="51" t="str">
        <f>'график анн'!P164</f>
        <v/>
      </c>
      <c r="P169" s="147" t="str">
        <f>'график анн'!Q164</f>
        <v/>
      </c>
    </row>
    <row r="170" spans="1:16" x14ac:dyDescent="0.35">
      <c r="A170" s="154">
        <f>'график анн'!A165</f>
        <v>141</v>
      </c>
      <c r="B170" s="155">
        <f ca="1">'график анн'!C165</f>
        <v>48681</v>
      </c>
      <c r="C170" s="156">
        <f ca="1">'график анн'!D165</f>
        <v>31</v>
      </c>
      <c r="D170" s="47">
        <f ca="1">'график анн'!E165</f>
        <v>2656067.4661180913</v>
      </c>
      <c r="E170" s="47">
        <f ca="1">'график анн'!H165</f>
        <v>41055.931604305733</v>
      </c>
      <c r="F170" s="47">
        <f ca="1">'график анн'!F165</f>
        <v>15866.54819810835</v>
      </c>
      <c r="G170" s="47">
        <f ca="1">'график анн'!G165</f>
        <v>25189.383406197383</v>
      </c>
      <c r="H170" s="157">
        <f>'график анн'!O165</f>
        <v>0</v>
      </c>
      <c r="I170" s="157" t="str">
        <f>'график анн'!M165</f>
        <v/>
      </c>
      <c r="J170" s="224" t="str">
        <f>'график анн'!N165</f>
        <v/>
      </c>
      <c r="K170" s="157" t="str">
        <f>'график анн'!I165</f>
        <v/>
      </c>
      <c r="L170" s="157" t="str">
        <f>'график анн'!J165</f>
        <v/>
      </c>
      <c r="M170" s="157">
        <f>'график анн'!K165</f>
        <v>0</v>
      </c>
      <c r="N170" s="157" t="str">
        <f>'график анн'!L165</f>
        <v/>
      </c>
      <c r="O170" s="51" t="str">
        <f>'график анн'!P165</f>
        <v/>
      </c>
      <c r="P170" s="147" t="str">
        <f>'график анн'!Q165</f>
        <v/>
      </c>
    </row>
    <row r="171" spans="1:16" x14ac:dyDescent="0.35">
      <c r="A171" s="154">
        <f>'график анн'!A166</f>
        <v>142</v>
      </c>
      <c r="B171" s="155">
        <f ca="1">'график анн'!C166</f>
        <v>48711</v>
      </c>
      <c r="C171" s="156">
        <f ca="1">'график анн'!D166</f>
        <v>30</v>
      </c>
      <c r="D171" s="47">
        <f ca="1">'график анн'!E166</f>
        <v>2639243.6020813836</v>
      </c>
      <c r="E171" s="47">
        <f ca="1">'график анн'!H166</f>
        <v>41055.931604305733</v>
      </c>
      <c r="F171" s="47">
        <f ca="1">'график анн'!F166</f>
        <v>16823.864036707801</v>
      </c>
      <c r="G171" s="47">
        <f ca="1">'график анн'!G166</f>
        <v>24232.067567597933</v>
      </c>
      <c r="H171" s="157">
        <f>'график анн'!O166</f>
        <v>0</v>
      </c>
      <c r="I171" s="157" t="str">
        <f>'график анн'!M166</f>
        <v/>
      </c>
      <c r="J171" s="224" t="str">
        <f>'график анн'!N166</f>
        <v/>
      </c>
      <c r="K171" s="157" t="str">
        <f>'график анн'!I166</f>
        <v/>
      </c>
      <c r="L171" s="157" t="str">
        <f>'график анн'!J166</f>
        <v/>
      </c>
      <c r="M171" s="157">
        <f>'график анн'!K166</f>
        <v>0</v>
      </c>
      <c r="N171" s="157" t="str">
        <f>'график анн'!L166</f>
        <v/>
      </c>
      <c r="O171" s="51" t="str">
        <f>'график анн'!P166</f>
        <v/>
      </c>
      <c r="P171" s="147" t="str">
        <f>'график анн'!Q166</f>
        <v/>
      </c>
    </row>
    <row r="172" spans="1:16" x14ac:dyDescent="0.35">
      <c r="A172" s="154">
        <f>'график анн'!A167</f>
        <v>143</v>
      </c>
      <c r="B172" s="155">
        <f ca="1">'график анн'!C167</f>
        <v>48742</v>
      </c>
      <c r="C172" s="156">
        <f ca="1">'график анн'!D167</f>
        <v>31</v>
      </c>
      <c r="D172" s="47">
        <f ca="1">'график анн'!E167</f>
        <v>2623068.8683805354</v>
      </c>
      <c r="E172" s="47">
        <f ca="1">'график анн'!H167</f>
        <v>41055.931604305733</v>
      </c>
      <c r="F172" s="47">
        <f ca="1">'график анн'!F167</f>
        <v>16174.733700848086</v>
      </c>
      <c r="G172" s="47">
        <f ca="1">'график анн'!G167</f>
        <v>24881.197903457647</v>
      </c>
      <c r="H172" s="157">
        <f>'график анн'!O167</f>
        <v>0</v>
      </c>
      <c r="I172" s="157" t="str">
        <f>'график анн'!M167</f>
        <v/>
      </c>
      <c r="J172" s="224" t="str">
        <f>'график анн'!N167</f>
        <v/>
      </c>
      <c r="K172" s="157" t="str">
        <f>'график анн'!I167</f>
        <v/>
      </c>
      <c r="L172" s="157" t="str">
        <f>'график анн'!J167</f>
        <v/>
      </c>
      <c r="M172" s="157">
        <f>'график анн'!K167</f>
        <v>0</v>
      </c>
      <c r="N172" s="157" t="str">
        <f>'график анн'!L167</f>
        <v/>
      </c>
      <c r="O172" s="51" t="str">
        <f>'график анн'!P167</f>
        <v/>
      </c>
      <c r="P172" s="147" t="str">
        <f>'график анн'!Q167</f>
        <v/>
      </c>
    </row>
    <row r="173" spans="1:16" x14ac:dyDescent="0.35">
      <c r="A173" s="154">
        <f>'график анн'!A168</f>
        <v>144</v>
      </c>
      <c r="B173" s="155">
        <f ca="1">'график анн'!C168</f>
        <v>48772</v>
      </c>
      <c r="C173" s="156">
        <f ca="1">'график анн'!D168</f>
        <v>30</v>
      </c>
      <c r="D173" s="47">
        <f ca="1">'график анн'!E168</f>
        <v>2605943.9486439205</v>
      </c>
      <c r="E173" s="47">
        <f ca="1">'график анн'!H168</f>
        <v>41055.931604305733</v>
      </c>
      <c r="F173" s="47">
        <f ca="1">'график анн'!F168</f>
        <v>17124.919736614822</v>
      </c>
      <c r="G173" s="47">
        <f ca="1">'график анн'!G168</f>
        <v>23931.011867690911</v>
      </c>
      <c r="H173" s="157">
        <f>'график анн'!O168</f>
        <v>0</v>
      </c>
      <c r="I173" s="157" t="str">
        <f>'график анн'!M168</f>
        <v/>
      </c>
      <c r="J173" s="224" t="str">
        <f>'график анн'!N168</f>
        <v/>
      </c>
      <c r="K173" s="157" t="str">
        <f>'график анн'!I168</f>
        <v/>
      </c>
      <c r="L173" s="157" t="str">
        <f>'график анн'!J168</f>
        <v/>
      </c>
      <c r="M173" s="157">
        <f>'график анн'!K168</f>
        <v>0</v>
      </c>
      <c r="N173" s="157" t="str">
        <f>'график анн'!L168</f>
        <v/>
      </c>
      <c r="O173" s="51" t="str">
        <f>'график анн'!P168</f>
        <v/>
      </c>
      <c r="P173" s="147" t="str">
        <f>'график анн'!Q168</f>
        <v/>
      </c>
    </row>
    <row r="174" spans="1:16" x14ac:dyDescent="0.35">
      <c r="A174" s="154">
        <f>'график анн'!A169</f>
        <v>145</v>
      </c>
      <c r="B174" s="155">
        <f ca="1">'график анн'!C169</f>
        <v>48803</v>
      </c>
      <c r="C174" s="156">
        <f ca="1">'график анн'!D169</f>
        <v>31</v>
      </c>
      <c r="D174" s="47">
        <f ca="1">'график анн'!E169</f>
        <v>2589455.2858814881</v>
      </c>
      <c r="E174" s="47">
        <f ca="1">'график анн'!H169</f>
        <v>41055.931604305733</v>
      </c>
      <c r="F174" s="47">
        <f ca="1">'график анн'!F169</f>
        <v>16488.662762432501</v>
      </c>
      <c r="G174" s="47">
        <f ca="1">'график анн'!G169</f>
        <v>24567.268841873232</v>
      </c>
      <c r="H174" s="157">
        <f>'график анн'!O169</f>
        <v>0</v>
      </c>
      <c r="I174" s="157" t="str">
        <f>'график анн'!M169</f>
        <v/>
      </c>
      <c r="J174" s="224">
        <f>'график анн'!N169</f>
        <v>2500</v>
      </c>
      <c r="K174" s="157" t="str">
        <f>'график анн'!I169</f>
        <v/>
      </c>
      <c r="L174" s="157" t="str">
        <f>'график анн'!J169</f>
        <v/>
      </c>
      <c r="M174" s="224">
        <f>'график анн'!K169</f>
        <v>17142.858</v>
      </c>
      <c r="N174" s="157" t="str">
        <f>'график анн'!L169</f>
        <v/>
      </c>
      <c r="O174" s="51" t="str">
        <f>'график анн'!P169</f>
        <v/>
      </c>
      <c r="P174" s="147" t="str">
        <f>'график анн'!Q169</f>
        <v/>
      </c>
    </row>
    <row r="175" spans="1:16" x14ac:dyDescent="0.35">
      <c r="A175" s="154">
        <f>'график анн'!A170</f>
        <v>146</v>
      </c>
      <c r="B175" s="155">
        <f ca="1">'график анн'!C170</f>
        <v>48834</v>
      </c>
      <c r="C175" s="156">
        <f ca="1">'график анн'!D170</f>
        <v>31</v>
      </c>
      <c r="D175" s="47">
        <f ca="1">'график анн'!E170</f>
        <v>2572811.1779449033</v>
      </c>
      <c r="E175" s="47">
        <f ca="1">'график анн'!H170</f>
        <v>41055.931604305733</v>
      </c>
      <c r="F175" s="47">
        <f ca="1">'график анн'!F170</f>
        <v>16644.107936584634</v>
      </c>
      <c r="G175" s="47">
        <f ca="1">'график анн'!G170</f>
        <v>24411.823667721099</v>
      </c>
      <c r="H175" s="157">
        <f>'график анн'!O170</f>
        <v>0</v>
      </c>
      <c r="I175" s="157" t="str">
        <f>'график анн'!M170</f>
        <v/>
      </c>
      <c r="J175" s="224" t="str">
        <f>'график анн'!N170</f>
        <v/>
      </c>
      <c r="K175" s="157" t="str">
        <f>'график анн'!I170</f>
        <v/>
      </c>
      <c r="L175" s="157" t="str">
        <f>'график анн'!J170</f>
        <v/>
      </c>
      <c r="M175" s="157">
        <f>'график анн'!K170</f>
        <v>0</v>
      </c>
      <c r="N175" s="157" t="str">
        <f>'график анн'!L170</f>
        <v/>
      </c>
      <c r="O175" s="51" t="str">
        <f>'график анн'!P170</f>
        <v/>
      </c>
      <c r="P175" s="147" t="str">
        <f>'график анн'!Q170</f>
        <v/>
      </c>
    </row>
    <row r="176" spans="1:16" x14ac:dyDescent="0.35">
      <c r="A176" s="154">
        <f>'график анн'!A171</f>
        <v>147</v>
      </c>
      <c r="B176" s="155">
        <f ca="1">'график анн'!C171</f>
        <v>48864</v>
      </c>
      <c r="C176" s="156">
        <f ca="1">'график анн'!D171</f>
        <v>30</v>
      </c>
      <c r="D176" s="47">
        <f ca="1">'график анн'!E171</f>
        <v>2555227.7428407525</v>
      </c>
      <c r="E176" s="47">
        <f ca="1">'график анн'!H171</f>
        <v>41055.931604305733</v>
      </c>
      <c r="F176" s="47">
        <f ca="1">'график анн'!F171</f>
        <v>17583.435104150863</v>
      </c>
      <c r="G176" s="47">
        <f ca="1">'график анн'!G171</f>
        <v>23472.49650015487</v>
      </c>
      <c r="H176" s="157">
        <f>'график анн'!O171</f>
        <v>0</v>
      </c>
      <c r="I176" s="157" t="str">
        <f>'график анн'!M171</f>
        <v/>
      </c>
      <c r="J176" s="224" t="str">
        <f>'график анн'!N171</f>
        <v/>
      </c>
      <c r="K176" s="157" t="str">
        <f>'график анн'!I171</f>
        <v/>
      </c>
      <c r="L176" s="157" t="str">
        <f>'график анн'!J171</f>
        <v/>
      </c>
      <c r="M176" s="157">
        <f>'график анн'!K171</f>
        <v>0</v>
      </c>
      <c r="N176" s="157" t="str">
        <f>'график анн'!L171</f>
        <v/>
      </c>
      <c r="O176" s="51" t="str">
        <f>'график анн'!P171</f>
        <v/>
      </c>
      <c r="P176" s="147" t="str">
        <f>'график анн'!Q171</f>
        <v/>
      </c>
    </row>
    <row r="177" spans="1:16" x14ac:dyDescent="0.35">
      <c r="A177" s="154">
        <f>'график анн'!A172</f>
        <v>148</v>
      </c>
      <c r="B177" s="155">
        <f ca="1">'график анн'!C172</f>
        <v>48895</v>
      </c>
      <c r="C177" s="156">
        <f ca="1">'график анн'!D172</f>
        <v>31</v>
      </c>
      <c r="D177" s="47">
        <f ca="1">'график анн'!E172</f>
        <v>2538260.9582586796</v>
      </c>
      <c r="E177" s="47">
        <f ca="1">'график анн'!H172</f>
        <v>41055.931604305733</v>
      </c>
      <c r="F177" s="47">
        <f ca="1">'график анн'!F172</f>
        <v>16966.784582072774</v>
      </c>
      <c r="G177" s="47">
        <f ca="1">'график анн'!G172</f>
        <v>24089.147022232959</v>
      </c>
      <c r="H177" s="157">
        <f>'график анн'!O172</f>
        <v>0</v>
      </c>
      <c r="I177" s="157" t="str">
        <f>'график анн'!M172</f>
        <v/>
      </c>
      <c r="J177" s="224" t="str">
        <f>'график анн'!N172</f>
        <v/>
      </c>
      <c r="K177" s="157" t="str">
        <f>'график анн'!I172</f>
        <v/>
      </c>
      <c r="L177" s="157" t="str">
        <f>'график анн'!J172</f>
        <v/>
      </c>
      <c r="M177" s="157">
        <f>'график анн'!K172</f>
        <v>0</v>
      </c>
      <c r="N177" s="157" t="str">
        <f>'график анн'!L172</f>
        <v/>
      </c>
      <c r="O177" s="51" t="str">
        <f>'график анн'!P172</f>
        <v/>
      </c>
      <c r="P177" s="147" t="str">
        <f>'график анн'!Q172</f>
        <v/>
      </c>
    </row>
    <row r="178" spans="1:16" x14ac:dyDescent="0.35">
      <c r="A178" s="154">
        <f>'график анн'!A173</f>
        <v>149</v>
      </c>
      <c r="B178" s="155">
        <f ca="1">'график анн'!C173</f>
        <v>48925</v>
      </c>
      <c r="C178" s="156">
        <f ca="1">'график анн'!D173</f>
        <v>30</v>
      </c>
      <c r="D178" s="47">
        <f ca="1">'график анн'!E173</f>
        <v>2520362.3115612268</v>
      </c>
      <c r="E178" s="47">
        <f ca="1">'график анн'!H173</f>
        <v>41055.931604305733</v>
      </c>
      <c r="F178" s="47">
        <f ca="1">'график анн'!F173</f>
        <v>17898.646697452576</v>
      </c>
      <c r="G178" s="47">
        <f ca="1">'график анн'!G173</f>
        <v>23157.284906853158</v>
      </c>
      <c r="H178" s="157">
        <f>'график анн'!O173</f>
        <v>0</v>
      </c>
      <c r="I178" s="157" t="str">
        <f>'график анн'!M173</f>
        <v/>
      </c>
      <c r="J178" s="224" t="str">
        <f>'график анн'!N173</f>
        <v/>
      </c>
      <c r="K178" s="157" t="str">
        <f>'график анн'!I173</f>
        <v/>
      </c>
      <c r="L178" s="157" t="str">
        <f>'график анн'!J173</f>
        <v/>
      </c>
      <c r="M178" s="157">
        <f>'график анн'!K173</f>
        <v>0</v>
      </c>
      <c r="N178" s="157" t="str">
        <f>'график анн'!L173</f>
        <v/>
      </c>
      <c r="O178" s="51" t="str">
        <f>'график анн'!P173</f>
        <v/>
      </c>
      <c r="P178" s="147" t="str">
        <f>'график анн'!Q173</f>
        <v/>
      </c>
    </row>
    <row r="179" spans="1:16" x14ac:dyDescent="0.35">
      <c r="A179" s="154">
        <f>'график анн'!A174</f>
        <v>150</v>
      </c>
      <c r="B179" s="155">
        <f ca="1">'график анн'!C174</f>
        <v>48956</v>
      </c>
      <c r="C179" s="156">
        <f ca="1">'график анн'!D174</f>
        <v>31</v>
      </c>
      <c r="D179" s="47">
        <f ca="1">'график анн'!E174</f>
        <v>2503066.8367078314</v>
      </c>
      <c r="E179" s="47">
        <f ca="1">'график анн'!H174</f>
        <v>41055.931604305733</v>
      </c>
      <c r="F179" s="47">
        <f ca="1">'график анн'!F174</f>
        <v>17295.474853395648</v>
      </c>
      <c r="G179" s="47">
        <f ca="1">'график анн'!G174</f>
        <v>23760.456750910085</v>
      </c>
      <c r="H179" s="157">
        <f>'график анн'!O174</f>
        <v>0</v>
      </c>
      <c r="I179" s="157" t="str">
        <f>'график анн'!M174</f>
        <v/>
      </c>
      <c r="J179" s="224" t="str">
        <f>'график анн'!N174</f>
        <v/>
      </c>
      <c r="K179" s="157" t="str">
        <f>'график анн'!I174</f>
        <v/>
      </c>
      <c r="L179" s="157" t="str">
        <f>'график анн'!J174</f>
        <v/>
      </c>
      <c r="M179" s="157">
        <f>'график анн'!K174</f>
        <v>0</v>
      </c>
      <c r="N179" s="157" t="str">
        <f>'график анн'!L174</f>
        <v/>
      </c>
      <c r="O179" s="51" t="str">
        <f>'график анн'!P174</f>
        <v/>
      </c>
      <c r="P179" s="147" t="str">
        <f>'график анн'!Q174</f>
        <v/>
      </c>
    </row>
    <row r="180" spans="1:16" x14ac:dyDescent="0.35">
      <c r="A180" s="154">
        <f>'график анн'!A175</f>
        <v>151</v>
      </c>
      <c r="B180" s="155">
        <f ca="1">'график анн'!C175</f>
        <v>48987</v>
      </c>
      <c r="C180" s="156">
        <f ca="1">'график анн'!D175</f>
        <v>31</v>
      </c>
      <c r="D180" s="47">
        <f ca="1">'график анн'!E175</f>
        <v>2485608.3105421877</v>
      </c>
      <c r="E180" s="47">
        <f ca="1">'график анн'!H175</f>
        <v>41055.931604305733</v>
      </c>
      <c r="F180" s="47">
        <f ca="1">'график анн'!F175</f>
        <v>17458.526165643685</v>
      </c>
      <c r="G180" s="47">
        <f ca="1">'график анн'!G175</f>
        <v>23597.405438662048</v>
      </c>
      <c r="H180" s="157">
        <f>'график анн'!O175</f>
        <v>0</v>
      </c>
      <c r="I180" s="157" t="str">
        <f>'график анн'!M175</f>
        <v/>
      </c>
      <c r="J180" s="224" t="str">
        <f>'график анн'!N175</f>
        <v/>
      </c>
      <c r="K180" s="157" t="str">
        <f>'график анн'!I175</f>
        <v/>
      </c>
      <c r="L180" s="157" t="str">
        <f>'график анн'!J175</f>
        <v/>
      </c>
      <c r="M180" s="157">
        <f>'график анн'!K175</f>
        <v>0</v>
      </c>
      <c r="N180" s="157" t="str">
        <f>'график анн'!L175</f>
        <v/>
      </c>
      <c r="O180" s="51" t="str">
        <f>'график анн'!P175</f>
        <v/>
      </c>
      <c r="P180" s="147" t="str">
        <f>'график анн'!Q175</f>
        <v/>
      </c>
    </row>
    <row r="181" spans="1:16" x14ac:dyDescent="0.35">
      <c r="A181" s="154">
        <f>'график анн'!A176</f>
        <v>152</v>
      </c>
      <c r="B181" s="155">
        <f ca="1">'график анн'!C176</f>
        <v>49015</v>
      </c>
      <c r="C181" s="156">
        <f ca="1">'график анн'!D176</f>
        <v>28</v>
      </c>
      <c r="D181" s="47">
        <f ca="1">'график анн'!E176</f>
        <v>2465717.5039492934</v>
      </c>
      <c r="E181" s="47">
        <f ca="1">'график анн'!H176</f>
        <v>41055.931604305733</v>
      </c>
      <c r="F181" s="47">
        <f ca="1">'график анн'!F176</f>
        <v>19890.806592894449</v>
      </c>
      <c r="G181" s="47">
        <f ca="1">'график анн'!G176</f>
        <v>21165.125011411285</v>
      </c>
      <c r="H181" s="157">
        <f>'график анн'!O176</f>
        <v>0</v>
      </c>
      <c r="I181" s="157" t="str">
        <f>'график анн'!M176</f>
        <v/>
      </c>
      <c r="J181" s="224" t="str">
        <f>'график анн'!N176</f>
        <v/>
      </c>
      <c r="K181" s="157" t="str">
        <f>'график анн'!I176</f>
        <v/>
      </c>
      <c r="L181" s="157" t="str">
        <f>'график анн'!J176</f>
        <v/>
      </c>
      <c r="M181" s="157">
        <f>'график анн'!K176</f>
        <v>0</v>
      </c>
      <c r="N181" s="157" t="str">
        <f>'график анн'!L176</f>
        <v/>
      </c>
      <c r="O181" s="51" t="str">
        <f>'график анн'!P176</f>
        <v/>
      </c>
      <c r="P181" s="147" t="str">
        <f>'график анн'!Q176</f>
        <v/>
      </c>
    </row>
    <row r="182" spans="1:16" x14ac:dyDescent="0.35">
      <c r="A182" s="154">
        <f>'график анн'!A177</f>
        <v>153</v>
      </c>
      <c r="B182" s="155">
        <f ca="1">'график анн'!C177</f>
        <v>49046</v>
      </c>
      <c r="C182" s="156">
        <f ca="1">'график анн'!D177</f>
        <v>31</v>
      </c>
      <c r="D182" s="47">
        <f ca="1">'график анн'!E177</f>
        <v>2447906.8707863288</v>
      </c>
      <c r="E182" s="47">
        <f ca="1">'график анн'!H177</f>
        <v>41055.931604305733</v>
      </c>
      <c r="F182" s="47">
        <f ca="1">'график анн'!F177</f>
        <v>17810.633162964587</v>
      </c>
      <c r="G182" s="47">
        <f ca="1">'график анн'!G177</f>
        <v>23245.298441341147</v>
      </c>
      <c r="H182" s="157">
        <f>'график анн'!O177</f>
        <v>0</v>
      </c>
      <c r="I182" s="157" t="str">
        <f>'график анн'!M177</f>
        <v/>
      </c>
      <c r="J182" s="224" t="str">
        <f>'график анн'!N177</f>
        <v/>
      </c>
      <c r="K182" s="157" t="str">
        <f>'график анн'!I177</f>
        <v/>
      </c>
      <c r="L182" s="157" t="str">
        <f>'график анн'!J177</f>
        <v/>
      </c>
      <c r="M182" s="157">
        <f>'график анн'!K177</f>
        <v>0</v>
      </c>
      <c r="N182" s="157" t="str">
        <f>'график анн'!L177</f>
        <v/>
      </c>
      <c r="O182" s="51" t="str">
        <f>'график анн'!P177</f>
        <v/>
      </c>
      <c r="P182" s="147" t="str">
        <f>'график анн'!Q177</f>
        <v/>
      </c>
    </row>
    <row r="183" spans="1:16" x14ac:dyDescent="0.35">
      <c r="A183" s="154">
        <f>'график анн'!A178</f>
        <v>154</v>
      </c>
      <c r="B183" s="155">
        <f ca="1">'график анн'!C178</f>
        <v>49076</v>
      </c>
      <c r="C183" s="156">
        <f ca="1">'график анн'!D178</f>
        <v>30</v>
      </c>
      <c r="D183" s="47">
        <f ca="1">'график анн'!E178</f>
        <v>2429183.8977565942</v>
      </c>
      <c r="E183" s="47">
        <f ca="1">'график анн'!H178</f>
        <v>41055.931604305733</v>
      </c>
      <c r="F183" s="47">
        <f ca="1">'график анн'!F178</f>
        <v>18722.97302973457</v>
      </c>
      <c r="G183" s="47">
        <f ca="1">'график анн'!G178</f>
        <v>22332.958574571163</v>
      </c>
      <c r="H183" s="157">
        <f>'график анн'!O178</f>
        <v>0</v>
      </c>
      <c r="I183" s="157" t="str">
        <f>'график анн'!M178</f>
        <v/>
      </c>
      <c r="J183" s="224" t="str">
        <f>'график анн'!N178</f>
        <v/>
      </c>
      <c r="K183" s="157" t="str">
        <f>'график анн'!I178</f>
        <v/>
      </c>
      <c r="L183" s="157" t="str">
        <f>'график анн'!J178</f>
        <v/>
      </c>
      <c r="M183" s="157">
        <f>'график анн'!K178</f>
        <v>0</v>
      </c>
      <c r="N183" s="157" t="str">
        <f>'график анн'!L178</f>
        <v/>
      </c>
      <c r="O183" s="51" t="str">
        <f>'график анн'!P178</f>
        <v/>
      </c>
      <c r="P183" s="147" t="str">
        <f>'график анн'!Q178</f>
        <v/>
      </c>
    </row>
    <row r="184" spans="1:16" x14ac:dyDescent="0.35">
      <c r="A184" s="154">
        <f>'график анн'!A179</f>
        <v>155</v>
      </c>
      <c r="B184" s="155">
        <f ca="1">'график анн'!C179</f>
        <v>49107</v>
      </c>
      <c r="C184" s="156">
        <f ca="1">'график анн'!D179</f>
        <v>31</v>
      </c>
      <c r="D184" s="47">
        <f ca="1">'график анн'!E179</f>
        <v>2411028.8477747007</v>
      </c>
      <c r="E184" s="47">
        <f ca="1">'график анн'!H179</f>
        <v>41055.931604305733</v>
      </c>
      <c r="F184" s="47">
        <f ca="1">'график анн'!F179</f>
        <v>18155.049981893564</v>
      </c>
      <c r="G184" s="47">
        <f ca="1">'график анн'!G179</f>
        <v>22900.881622412169</v>
      </c>
      <c r="H184" s="157">
        <f>'график анн'!O179</f>
        <v>0</v>
      </c>
      <c r="I184" s="157" t="str">
        <f>'график анн'!M179</f>
        <v/>
      </c>
      <c r="J184" s="224" t="str">
        <f>'график анн'!N179</f>
        <v/>
      </c>
      <c r="K184" s="157" t="str">
        <f>'график анн'!I179</f>
        <v/>
      </c>
      <c r="L184" s="157" t="str">
        <f>'график анн'!J179</f>
        <v/>
      </c>
      <c r="M184" s="157">
        <f>'график анн'!K179</f>
        <v>0</v>
      </c>
      <c r="N184" s="157" t="str">
        <f>'график анн'!L179</f>
        <v/>
      </c>
      <c r="O184" s="51" t="str">
        <f>'график анн'!P179</f>
        <v/>
      </c>
      <c r="P184" s="147" t="str">
        <f>'график анн'!Q179</f>
        <v/>
      </c>
    </row>
    <row r="185" spans="1:16" x14ac:dyDescent="0.35">
      <c r="A185" s="154">
        <f>'график анн'!A180</f>
        <v>156</v>
      </c>
      <c r="B185" s="155">
        <f ca="1">'график анн'!C180</f>
        <v>49137</v>
      </c>
      <c r="C185" s="156">
        <f ca="1">'график анн'!D180</f>
        <v>30</v>
      </c>
      <c r="D185" s="47">
        <f ca="1">'график анн'!E180</f>
        <v>2391969.4259322849</v>
      </c>
      <c r="E185" s="47">
        <f ca="1">'график анн'!H180</f>
        <v>41055.931604305733</v>
      </c>
      <c r="F185" s="47">
        <f ca="1">'график анн'!F180</f>
        <v>19059.421842415999</v>
      </c>
      <c r="G185" s="47">
        <f ca="1">'график анн'!G180</f>
        <v>21996.509761889734</v>
      </c>
      <c r="H185" s="157">
        <f>'график анн'!O180</f>
        <v>0</v>
      </c>
      <c r="I185" s="157" t="str">
        <f>'график анн'!M180</f>
        <v/>
      </c>
      <c r="J185" s="224" t="str">
        <f>'график анн'!N180</f>
        <v/>
      </c>
      <c r="K185" s="157" t="str">
        <f>'график анн'!I180</f>
        <v/>
      </c>
      <c r="L185" s="157" t="str">
        <f>'график анн'!J180</f>
        <v/>
      </c>
      <c r="M185" s="157">
        <f>'график анн'!K180</f>
        <v>0</v>
      </c>
      <c r="N185" s="157" t="str">
        <f>'график анн'!L180</f>
        <v/>
      </c>
      <c r="O185" s="51" t="str">
        <f>'график анн'!P180</f>
        <v/>
      </c>
      <c r="P185" s="147" t="str">
        <f>'график анн'!Q180</f>
        <v/>
      </c>
    </row>
    <row r="186" spans="1:16" x14ac:dyDescent="0.35">
      <c r="A186" s="154">
        <f>'график анн'!A181</f>
        <v>157</v>
      </c>
      <c r="B186" s="155">
        <f ca="1">'график анн'!C181</f>
        <v>49168</v>
      </c>
      <c r="C186" s="156">
        <f ca="1">'график анн'!D181</f>
        <v>31</v>
      </c>
      <c r="D186" s="47">
        <f ca="1">'график анн'!E181</f>
        <v>2373463.5403406722</v>
      </c>
      <c r="E186" s="47">
        <f ca="1">'график анн'!H181</f>
        <v>41055.931604305733</v>
      </c>
      <c r="F186" s="47">
        <f ca="1">'график анн'!F181</f>
        <v>18505.885591612605</v>
      </c>
      <c r="G186" s="47">
        <f ca="1">'график анн'!G181</f>
        <v>22550.046012693128</v>
      </c>
      <c r="H186" s="157">
        <f>'график анн'!O181</f>
        <v>0</v>
      </c>
      <c r="I186" s="157" t="str">
        <f>'график анн'!M181</f>
        <v/>
      </c>
      <c r="J186" s="224">
        <f>'график анн'!N181</f>
        <v>2500</v>
      </c>
      <c r="K186" s="157" t="str">
        <f>'график анн'!I181</f>
        <v/>
      </c>
      <c r="L186" s="157" t="str">
        <f>'график анн'!J181</f>
        <v/>
      </c>
      <c r="M186" s="224">
        <f>'график анн'!K181</f>
        <v>17142.858</v>
      </c>
      <c r="N186" s="157" t="str">
        <f>'график анн'!L181</f>
        <v/>
      </c>
      <c r="O186" s="51" t="str">
        <f>'график анн'!P181</f>
        <v/>
      </c>
      <c r="P186" s="147" t="str">
        <f>'график анн'!Q181</f>
        <v/>
      </c>
    </row>
    <row r="187" spans="1:16" x14ac:dyDescent="0.35">
      <c r="A187" s="154">
        <f>'график анн'!A182</f>
        <v>158</v>
      </c>
      <c r="B187" s="155">
        <f ca="1">'график анн'!C182</f>
        <v>49199</v>
      </c>
      <c r="C187" s="156">
        <f ca="1">'график анн'!D182</f>
        <v>31</v>
      </c>
      <c r="D187" s="47">
        <f ca="1">'график анн'!E182</f>
        <v>2354783.1924139345</v>
      </c>
      <c r="E187" s="47">
        <f ca="1">'график анн'!H182</f>
        <v>41055.931604305733</v>
      </c>
      <c r="F187" s="47">
        <f ca="1">'график анн'!F182</f>
        <v>18680.347926737919</v>
      </c>
      <c r="G187" s="47">
        <f ca="1">'график анн'!G182</f>
        <v>22375.583677567814</v>
      </c>
      <c r="H187" s="157">
        <f>'график анн'!O182</f>
        <v>0</v>
      </c>
      <c r="I187" s="157" t="str">
        <f>'график анн'!M182</f>
        <v/>
      </c>
      <c r="J187" s="224" t="str">
        <f>'график анн'!N182</f>
        <v/>
      </c>
      <c r="K187" s="157" t="str">
        <f>'график анн'!I182</f>
        <v/>
      </c>
      <c r="L187" s="157" t="str">
        <f>'график анн'!J182</f>
        <v/>
      </c>
      <c r="M187" s="157">
        <f>'график анн'!K182</f>
        <v>0</v>
      </c>
      <c r="N187" s="157" t="str">
        <f>'график анн'!L182</f>
        <v/>
      </c>
      <c r="O187" s="51" t="str">
        <f>'график анн'!P182</f>
        <v/>
      </c>
      <c r="P187" s="147" t="str">
        <f>'график анн'!Q182</f>
        <v/>
      </c>
    </row>
    <row r="188" spans="1:16" x14ac:dyDescent="0.35">
      <c r="A188" s="154">
        <f>'график анн'!A183</f>
        <v>159</v>
      </c>
      <c r="B188" s="155">
        <f ca="1">'график анн'!C183</f>
        <v>49229</v>
      </c>
      <c r="C188" s="156">
        <f ca="1">'график анн'!D183</f>
        <v>30</v>
      </c>
      <c r="D188" s="47">
        <f ca="1">'график анн'!E183</f>
        <v>2335210.6252774051</v>
      </c>
      <c r="E188" s="47">
        <f ca="1">'график анн'!H183</f>
        <v>41055.931604305733</v>
      </c>
      <c r="F188" s="47">
        <f ca="1">'график анн'!F183</f>
        <v>19572.567136529287</v>
      </c>
      <c r="G188" s="47">
        <f ca="1">'график анн'!G183</f>
        <v>21483.364467776446</v>
      </c>
      <c r="H188" s="157">
        <f>'график анн'!O183</f>
        <v>0</v>
      </c>
      <c r="I188" s="157" t="str">
        <f>'график анн'!M183</f>
        <v/>
      </c>
      <c r="J188" s="224" t="str">
        <f>'график анн'!N183</f>
        <v/>
      </c>
      <c r="K188" s="157" t="str">
        <f>'график анн'!I183</f>
        <v/>
      </c>
      <c r="L188" s="157" t="str">
        <f>'график анн'!J183</f>
        <v/>
      </c>
      <c r="M188" s="157">
        <f>'график анн'!K183</f>
        <v>0</v>
      </c>
      <c r="N188" s="157" t="str">
        <f>'график анн'!L183</f>
        <v/>
      </c>
      <c r="O188" s="51" t="str">
        <f>'график анн'!P183</f>
        <v/>
      </c>
      <c r="P188" s="147" t="str">
        <f>'график анн'!Q183</f>
        <v/>
      </c>
    </row>
    <row r="189" spans="1:16" x14ac:dyDescent="0.35">
      <c r="A189" s="154">
        <f>'график анн'!A184</f>
        <v>160</v>
      </c>
      <c r="B189" s="155">
        <f ca="1">'график анн'!C184</f>
        <v>49260</v>
      </c>
      <c r="C189" s="156">
        <f ca="1">'график анн'!D184</f>
        <v>31</v>
      </c>
      <c r="D189" s="47">
        <f ca="1">'график анн'!E184</f>
        <v>2316169.6519240024</v>
      </c>
      <c r="E189" s="47">
        <f ca="1">'график анн'!H184</f>
        <v>41055.931604305733</v>
      </c>
      <c r="F189" s="47">
        <f ca="1">'график анн'!F184</f>
        <v>19040.973353402853</v>
      </c>
      <c r="G189" s="47">
        <f ca="1">'график анн'!G184</f>
        <v>22014.958250902881</v>
      </c>
      <c r="H189" s="157">
        <f>'график анн'!O184</f>
        <v>0</v>
      </c>
      <c r="I189" s="157" t="str">
        <f>'график анн'!M184</f>
        <v/>
      </c>
      <c r="J189" s="224" t="str">
        <f>'график анн'!N184</f>
        <v/>
      </c>
      <c r="K189" s="157" t="str">
        <f>'график анн'!I184</f>
        <v/>
      </c>
      <c r="L189" s="157" t="str">
        <f>'график анн'!J184</f>
        <v/>
      </c>
      <c r="M189" s="157">
        <f>'график анн'!K184</f>
        <v>0</v>
      </c>
      <c r="N189" s="157" t="str">
        <f>'график анн'!L184</f>
        <v/>
      </c>
      <c r="O189" s="51" t="str">
        <f>'график анн'!P184</f>
        <v/>
      </c>
      <c r="P189" s="147" t="str">
        <f>'график анн'!Q184</f>
        <v/>
      </c>
    </row>
    <row r="190" spans="1:16" x14ac:dyDescent="0.35">
      <c r="A190" s="154">
        <f>'график анн'!A185</f>
        <v>161</v>
      </c>
      <c r="B190" s="155">
        <f ca="1">'график анн'!C185</f>
        <v>49290</v>
      </c>
      <c r="C190" s="156">
        <f ca="1">'график анн'!D185</f>
        <v>30</v>
      </c>
      <c r="D190" s="47">
        <f ca="1">'график анн'!E185</f>
        <v>2296244.8023495786</v>
      </c>
      <c r="E190" s="47">
        <f ca="1">'график анн'!H185</f>
        <v>41055.931604305733</v>
      </c>
      <c r="F190" s="47">
        <f ca="1">'график анн'!F185</f>
        <v>19924.849574423737</v>
      </c>
      <c r="G190" s="47">
        <f ca="1">'график анн'!G185</f>
        <v>21131.082029881996</v>
      </c>
      <c r="H190" s="157">
        <f>'график анн'!O185</f>
        <v>0</v>
      </c>
      <c r="I190" s="157" t="str">
        <f>'график анн'!M185</f>
        <v/>
      </c>
      <c r="J190" s="224" t="str">
        <f>'график анн'!N185</f>
        <v/>
      </c>
      <c r="K190" s="157" t="str">
        <f>'график анн'!I185</f>
        <v/>
      </c>
      <c r="L190" s="157" t="str">
        <f>'график анн'!J185</f>
        <v/>
      </c>
      <c r="M190" s="157">
        <f>'график анн'!K185</f>
        <v>0</v>
      </c>
      <c r="N190" s="157" t="str">
        <f>'график анн'!L185</f>
        <v/>
      </c>
      <c r="O190" s="51" t="str">
        <f>'график анн'!P185</f>
        <v/>
      </c>
      <c r="P190" s="147" t="str">
        <f>'график анн'!Q185</f>
        <v/>
      </c>
    </row>
    <row r="191" spans="1:16" x14ac:dyDescent="0.35">
      <c r="A191" s="154">
        <f>'график анн'!A186</f>
        <v>162</v>
      </c>
      <c r="B191" s="155">
        <f ca="1">'график анн'!C186</f>
        <v>49321</v>
      </c>
      <c r="C191" s="156">
        <f ca="1">'график анн'!D186</f>
        <v>31</v>
      </c>
      <c r="D191" s="47">
        <f ca="1">'график анн'!E186</f>
        <v>2276836.4827038618</v>
      </c>
      <c r="E191" s="47">
        <f ca="1">'график анн'!H186</f>
        <v>41055.931604305733</v>
      </c>
      <c r="F191" s="47">
        <f ca="1">'график анн'!F186</f>
        <v>19408.319645716965</v>
      </c>
      <c r="G191" s="47">
        <f ca="1">'график анн'!G186</f>
        <v>21647.611958588768</v>
      </c>
      <c r="H191" s="157">
        <f>'график анн'!O186</f>
        <v>0</v>
      </c>
      <c r="I191" s="157" t="str">
        <f>'график анн'!M186</f>
        <v/>
      </c>
      <c r="J191" s="224" t="str">
        <f>'график анн'!N186</f>
        <v/>
      </c>
      <c r="K191" s="157" t="str">
        <f>'график анн'!I186</f>
        <v/>
      </c>
      <c r="L191" s="157" t="str">
        <f>'график анн'!J186</f>
        <v/>
      </c>
      <c r="M191" s="157">
        <f>'график анн'!K186</f>
        <v>0</v>
      </c>
      <c r="N191" s="157" t="str">
        <f>'график анн'!L186</f>
        <v/>
      </c>
      <c r="O191" s="51" t="str">
        <f>'график анн'!P186</f>
        <v/>
      </c>
      <c r="P191" s="147" t="str">
        <f>'график анн'!Q186</f>
        <v/>
      </c>
    </row>
    <row r="192" spans="1:16" x14ac:dyDescent="0.35">
      <c r="A192" s="154">
        <f>'график анн'!A187</f>
        <v>163</v>
      </c>
      <c r="B192" s="155">
        <f ca="1">'график анн'!C187</f>
        <v>49352</v>
      </c>
      <c r="C192" s="156">
        <f ca="1">'график анн'!D187</f>
        <v>31</v>
      </c>
      <c r="D192" s="47">
        <f ca="1">'график анн'!E187</f>
        <v>2257245.19311869</v>
      </c>
      <c r="E192" s="47">
        <f ca="1">'график анн'!H187</f>
        <v>41055.931604305733</v>
      </c>
      <c r="F192" s="47">
        <f ca="1">'график анн'!F187</f>
        <v>19591.289585171518</v>
      </c>
      <c r="G192" s="47">
        <f ca="1">'график анн'!G187</f>
        <v>21464.642019134215</v>
      </c>
      <c r="H192" s="157">
        <f>'график анн'!O187</f>
        <v>0</v>
      </c>
      <c r="I192" s="157" t="str">
        <f>'график анн'!M187</f>
        <v/>
      </c>
      <c r="J192" s="224" t="str">
        <f>'график анн'!N187</f>
        <v/>
      </c>
      <c r="K192" s="157" t="str">
        <f>'график анн'!I187</f>
        <v/>
      </c>
      <c r="L192" s="157" t="str">
        <f>'график анн'!J187</f>
        <v/>
      </c>
      <c r="M192" s="157">
        <f>'график анн'!K187</f>
        <v>0</v>
      </c>
      <c r="N192" s="157" t="str">
        <f>'график анн'!L187</f>
        <v/>
      </c>
      <c r="O192" s="51" t="str">
        <f>'график анн'!P187</f>
        <v/>
      </c>
      <c r="P192" s="147" t="str">
        <f>'график анн'!Q187</f>
        <v/>
      </c>
    </row>
    <row r="193" spans="1:16" x14ac:dyDescent="0.35">
      <c r="A193" s="154">
        <f>'график анн'!A188</f>
        <v>164</v>
      </c>
      <c r="B193" s="155">
        <f ca="1">'график анн'!C188</f>
        <v>49380</v>
      </c>
      <c r="C193" s="156">
        <f ca="1">'график анн'!D188</f>
        <v>28</v>
      </c>
      <c r="D193" s="47">
        <f ca="1">'график анн'!E188</f>
        <v>2235409.8589396253</v>
      </c>
      <c r="E193" s="47">
        <f ca="1">'график анн'!H188</f>
        <v>41055.931604305733</v>
      </c>
      <c r="F193" s="47">
        <f ca="1">'график анн'!F188</f>
        <v>21835.334179064943</v>
      </c>
      <c r="G193" s="47">
        <f ca="1">'график анн'!G188</f>
        <v>19220.59742524079</v>
      </c>
      <c r="H193" s="157">
        <f>'график анн'!O188</f>
        <v>0</v>
      </c>
      <c r="I193" s="157" t="str">
        <f>'график анн'!M188</f>
        <v/>
      </c>
      <c r="J193" s="224" t="str">
        <f>'график анн'!N188</f>
        <v/>
      </c>
      <c r="K193" s="157" t="str">
        <f>'график анн'!I188</f>
        <v/>
      </c>
      <c r="L193" s="157" t="str">
        <f>'график анн'!J188</f>
        <v/>
      </c>
      <c r="M193" s="157">
        <f>'график анн'!K188</f>
        <v>0</v>
      </c>
      <c r="N193" s="157" t="str">
        <f>'график анн'!L188</f>
        <v/>
      </c>
      <c r="O193" s="51" t="str">
        <f>'график анн'!P188</f>
        <v/>
      </c>
      <c r="P193" s="147" t="str">
        <f>'график анн'!Q188</f>
        <v/>
      </c>
    </row>
    <row r="194" spans="1:16" x14ac:dyDescent="0.35">
      <c r="A194" s="154">
        <f>'график анн'!A189</f>
        <v>165</v>
      </c>
      <c r="B194" s="155">
        <f ca="1">'график анн'!C189</f>
        <v>49411</v>
      </c>
      <c r="C194" s="156">
        <f ca="1">'график анн'!D189</f>
        <v>31</v>
      </c>
      <c r="D194" s="47">
        <f ca="1">'график анн'!E189</f>
        <v>2215428.0241150763</v>
      </c>
      <c r="E194" s="47">
        <f ca="1">'график анн'!H189</f>
        <v>41055.931604305733</v>
      </c>
      <c r="F194" s="47">
        <f ca="1">'график анн'!F189</f>
        <v>19981.834824548881</v>
      </c>
      <c r="G194" s="47">
        <f ca="1">'график анн'!G189</f>
        <v>21074.096779756852</v>
      </c>
      <c r="H194" s="157">
        <f>'график анн'!O189</f>
        <v>0</v>
      </c>
      <c r="I194" s="157" t="str">
        <f>'график анн'!M189</f>
        <v/>
      </c>
      <c r="J194" s="224" t="str">
        <f>'график анн'!N189</f>
        <v/>
      </c>
      <c r="K194" s="157" t="str">
        <f>'график анн'!I189</f>
        <v/>
      </c>
      <c r="L194" s="157" t="str">
        <f>'график анн'!J189</f>
        <v/>
      </c>
      <c r="M194" s="157">
        <f>'график анн'!K189</f>
        <v>0</v>
      </c>
      <c r="N194" s="157" t="str">
        <f>'график анн'!L189</f>
        <v/>
      </c>
      <c r="O194" s="51" t="str">
        <f>'график анн'!P189</f>
        <v/>
      </c>
      <c r="P194" s="147" t="str">
        <f>'график анн'!Q189</f>
        <v/>
      </c>
    </row>
    <row r="195" spans="1:16" x14ac:dyDescent="0.35">
      <c r="A195" s="154">
        <f>'график анн'!A190</f>
        <v>166</v>
      </c>
      <c r="B195" s="155">
        <f ca="1">'график анн'!C190</f>
        <v>49441</v>
      </c>
      <c r="C195" s="156">
        <f ca="1">'график анн'!D190</f>
        <v>30</v>
      </c>
      <c r="D195" s="47">
        <f ca="1">'график анн'!E190</f>
        <v>2194584.0796896834</v>
      </c>
      <c r="E195" s="47">
        <f ca="1">'график анн'!H190</f>
        <v>41055.931604305733</v>
      </c>
      <c r="F195" s="47">
        <f ca="1">'график анн'!F190</f>
        <v>20843.944425392849</v>
      </c>
      <c r="G195" s="47">
        <f ca="1">'график анн'!G190</f>
        <v>20211.987178912885</v>
      </c>
      <c r="H195" s="157">
        <f>'график анн'!O190</f>
        <v>0</v>
      </c>
      <c r="I195" s="157" t="str">
        <f>'график анн'!M190</f>
        <v/>
      </c>
      <c r="J195" s="224" t="str">
        <f>'график анн'!N190</f>
        <v/>
      </c>
      <c r="K195" s="157" t="str">
        <f>'график анн'!I190</f>
        <v/>
      </c>
      <c r="L195" s="157" t="str">
        <f>'график анн'!J190</f>
        <v/>
      </c>
      <c r="M195" s="157">
        <f>'график анн'!K190</f>
        <v>0</v>
      </c>
      <c r="N195" s="157" t="str">
        <f>'график анн'!L190</f>
        <v/>
      </c>
      <c r="O195" s="51" t="str">
        <f>'график анн'!P190</f>
        <v/>
      </c>
      <c r="P195" s="147" t="str">
        <f>'график анн'!Q190</f>
        <v/>
      </c>
    </row>
    <row r="196" spans="1:16" x14ac:dyDescent="0.35">
      <c r="A196" s="154">
        <f>'график анн'!A191</f>
        <v>167</v>
      </c>
      <c r="B196" s="155">
        <f ca="1">'график анн'!C191</f>
        <v>49472</v>
      </c>
      <c r="C196" s="156">
        <f ca="1">'график анн'!D191</f>
        <v>31</v>
      </c>
      <c r="D196" s="47">
        <f ca="1">'график анн'!E191</f>
        <v>2174217.364025685</v>
      </c>
      <c r="E196" s="47">
        <f ca="1">'график анн'!H191</f>
        <v>41055.931604305733</v>
      </c>
      <c r="F196" s="47">
        <f ca="1">'график анн'!F191</f>
        <v>20366.715663998333</v>
      </c>
      <c r="G196" s="47">
        <f ca="1">'график анн'!G191</f>
        <v>20689.2159403074</v>
      </c>
      <c r="H196" s="157">
        <f>'график анн'!O191</f>
        <v>0</v>
      </c>
      <c r="I196" s="157" t="str">
        <f>'график анн'!M191</f>
        <v/>
      </c>
      <c r="J196" s="224" t="str">
        <f>'график анн'!N191</f>
        <v/>
      </c>
      <c r="K196" s="157" t="str">
        <f>'график анн'!I191</f>
        <v/>
      </c>
      <c r="L196" s="157" t="str">
        <f>'график анн'!J191</f>
        <v/>
      </c>
      <c r="M196" s="157">
        <f>'график анн'!K191</f>
        <v>0</v>
      </c>
      <c r="N196" s="157" t="str">
        <f>'график анн'!L191</f>
        <v/>
      </c>
      <c r="O196" s="51" t="str">
        <f>'график анн'!P191</f>
        <v/>
      </c>
      <c r="P196" s="147" t="str">
        <f>'график анн'!Q191</f>
        <v/>
      </c>
    </row>
    <row r="197" spans="1:16" x14ac:dyDescent="0.35">
      <c r="A197" s="154">
        <f>'график анн'!A192</f>
        <v>168</v>
      </c>
      <c r="B197" s="155">
        <f ca="1">'график анн'!C192</f>
        <v>49502</v>
      </c>
      <c r="C197" s="156">
        <f ca="1">'график анн'!D192</f>
        <v>30</v>
      </c>
      <c r="D197" s="47">
        <f ca="1">'график анн'!E192</f>
        <v>2152997.4428931754</v>
      </c>
      <c r="E197" s="47">
        <f ca="1">'график анн'!H192</f>
        <v>41055.931604305733</v>
      </c>
      <c r="F197" s="47">
        <f ca="1">'график анн'!F192</f>
        <v>21219.921132509757</v>
      </c>
      <c r="G197" s="47">
        <f ca="1">'график анн'!G192</f>
        <v>19836.010471795977</v>
      </c>
      <c r="H197" s="157">
        <f>'график анн'!O192</f>
        <v>0</v>
      </c>
      <c r="I197" s="157" t="str">
        <f>'график анн'!M192</f>
        <v/>
      </c>
      <c r="J197" s="224" t="str">
        <f>'график анн'!N192</f>
        <v/>
      </c>
      <c r="K197" s="157" t="str">
        <f>'график анн'!I192</f>
        <v/>
      </c>
      <c r="L197" s="157" t="str">
        <f>'график анн'!J192</f>
        <v/>
      </c>
      <c r="M197" s="157">
        <f>'график анн'!K192</f>
        <v>0</v>
      </c>
      <c r="N197" s="157" t="str">
        <f>'график анн'!L192</f>
        <v/>
      </c>
      <c r="O197" s="51" t="str">
        <f>'график анн'!P192</f>
        <v/>
      </c>
      <c r="P197" s="147" t="str">
        <f>'график анн'!Q192</f>
        <v/>
      </c>
    </row>
    <row r="198" spans="1:16" x14ac:dyDescent="0.35">
      <c r="A198" s="154">
        <f>'график анн'!A193</f>
        <v>169</v>
      </c>
      <c r="B198" s="155">
        <f ca="1">'график анн'!C193</f>
        <v>49533</v>
      </c>
      <c r="C198" s="156">
        <f ca="1">'график анн'!D193</f>
        <v>31</v>
      </c>
      <c r="D198" s="47">
        <f ca="1">'график анн'!E193</f>
        <v>2132238.6734833778</v>
      </c>
      <c r="E198" s="47">
        <f ca="1">'график анн'!H193</f>
        <v>41055.931604305733</v>
      </c>
      <c r="F198" s="47">
        <f ca="1">'график анн'!F193</f>
        <v>20758.769409797744</v>
      </c>
      <c r="G198" s="47">
        <f ca="1">'график анн'!G193</f>
        <v>20297.16219450799</v>
      </c>
      <c r="H198" s="157">
        <f>'график анн'!O193</f>
        <v>0</v>
      </c>
      <c r="I198" s="157" t="str">
        <f>'график анн'!M193</f>
        <v/>
      </c>
      <c r="J198" s="224">
        <f>'график анн'!N193</f>
        <v>2500</v>
      </c>
      <c r="K198" s="157" t="str">
        <f>'график анн'!I193</f>
        <v/>
      </c>
      <c r="L198" s="157" t="str">
        <f>'график анн'!J193</f>
        <v/>
      </c>
      <c r="M198" s="224">
        <f>'график анн'!K193</f>
        <v>17142.858</v>
      </c>
      <c r="N198" s="157" t="str">
        <f>'график анн'!L193</f>
        <v/>
      </c>
      <c r="O198" s="51" t="str">
        <f>'график анн'!P193</f>
        <v/>
      </c>
      <c r="P198" s="147" t="str">
        <f>'график анн'!Q193</f>
        <v/>
      </c>
    </row>
    <row r="199" spans="1:16" x14ac:dyDescent="0.35">
      <c r="A199" s="154">
        <f>'график анн'!A194</f>
        <v>170</v>
      </c>
      <c r="B199" s="155">
        <f ca="1">'график анн'!C194</f>
        <v>49564</v>
      </c>
      <c r="C199" s="156">
        <f ca="1">'график анн'!D194</f>
        <v>31</v>
      </c>
      <c r="D199" s="47">
        <f ca="1">'график анн'!E194</f>
        <v>2111284.2029077196</v>
      </c>
      <c r="E199" s="47">
        <f ca="1">'график анн'!H194</f>
        <v>41055.931604305733</v>
      </c>
      <c r="F199" s="47">
        <f ca="1">'график анн'!F194</f>
        <v>20954.470575658328</v>
      </c>
      <c r="G199" s="47">
        <f ca="1">'график анн'!G194</f>
        <v>20101.461028647405</v>
      </c>
      <c r="H199" s="157">
        <f>'график анн'!O194</f>
        <v>0</v>
      </c>
      <c r="I199" s="157" t="str">
        <f>'график анн'!M194</f>
        <v/>
      </c>
      <c r="J199" s="224" t="str">
        <f>'график анн'!N194</f>
        <v/>
      </c>
      <c r="K199" s="157" t="str">
        <f>'график анн'!I194</f>
        <v/>
      </c>
      <c r="L199" s="157" t="str">
        <f>'график анн'!J194</f>
        <v/>
      </c>
      <c r="M199" s="157">
        <f>'график анн'!K194</f>
        <v>0</v>
      </c>
      <c r="N199" s="157" t="str">
        <f>'график анн'!L194</f>
        <v/>
      </c>
      <c r="O199" s="51" t="str">
        <f>'график анн'!P194</f>
        <v/>
      </c>
      <c r="P199" s="147" t="str">
        <f>'график анн'!Q194</f>
        <v/>
      </c>
    </row>
    <row r="200" spans="1:16" x14ac:dyDescent="0.35">
      <c r="A200" s="154">
        <f>'график анн'!A195</f>
        <v>171</v>
      </c>
      <c r="B200" s="155">
        <f ca="1">'график анн'!C195</f>
        <v>49594</v>
      </c>
      <c r="C200" s="156">
        <f ca="1">'график анн'!D195</f>
        <v>30</v>
      </c>
      <c r="D200" s="47">
        <f ca="1">'график анн'!E195</f>
        <v>2089490.1244422707</v>
      </c>
      <c r="E200" s="47">
        <f ca="1">'график анн'!H195</f>
        <v>41055.931604305733</v>
      </c>
      <c r="F200" s="47">
        <f ca="1">'график анн'!F195</f>
        <v>21794.078465449002</v>
      </c>
      <c r="G200" s="47">
        <f ca="1">'график анн'!G195</f>
        <v>19261.853138856732</v>
      </c>
      <c r="H200" s="157">
        <f>'график анн'!O195</f>
        <v>0</v>
      </c>
      <c r="I200" s="157" t="str">
        <f>'график анн'!M195</f>
        <v/>
      </c>
      <c r="J200" s="224" t="str">
        <f>'график анн'!N195</f>
        <v/>
      </c>
      <c r="K200" s="157" t="str">
        <f>'график анн'!I195</f>
        <v/>
      </c>
      <c r="L200" s="157" t="str">
        <f>'график анн'!J195</f>
        <v/>
      </c>
      <c r="M200" s="157">
        <f>'график анн'!K195</f>
        <v>0</v>
      </c>
      <c r="N200" s="157" t="str">
        <f>'график анн'!L195</f>
        <v/>
      </c>
      <c r="O200" s="51" t="str">
        <f>'график анн'!P195</f>
        <v/>
      </c>
      <c r="P200" s="147" t="str">
        <f>'график анн'!Q195</f>
        <v/>
      </c>
    </row>
    <row r="201" spans="1:16" x14ac:dyDescent="0.35">
      <c r="A201" s="154">
        <f>'график анн'!A196</f>
        <v>172</v>
      </c>
      <c r="B201" s="155">
        <f ca="1">'график анн'!C196</f>
        <v>49625</v>
      </c>
      <c r="C201" s="156">
        <f ca="1">'график анн'!D196</f>
        <v>31</v>
      </c>
      <c r="D201" s="47">
        <f ca="1">'график анн'!E196</f>
        <v>2068132.6463125015</v>
      </c>
      <c r="E201" s="47">
        <f ca="1">'график анн'!H196</f>
        <v>41055.931604305733</v>
      </c>
      <c r="F201" s="47">
        <f ca="1">'график анн'!F196</f>
        <v>21357.478129769148</v>
      </c>
      <c r="G201" s="47">
        <f ca="1">'график анн'!G196</f>
        <v>19698.453474536585</v>
      </c>
      <c r="H201" s="157">
        <f>'график анн'!O196</f>
        <v>0</v>
      </c>
      <c r="I201" s="157" t="str">
        <f>'график анн'!M196</f>
        <v/>
      </c>
      <c r="J201" s="224" t="str">
        <f>'график анн'!N196</f>
        <v/>
      </c>
      <c r="K201" s="157" t="str">
        <f>'график анн'!I196</f>
        <v/>
      </c>
      <c r="L201" s="157" t="str">
        <f>'график анн'!J196</f>
        <v/>
      </c>
      <c r="M201" s="157">
        <f>'график анн'!K196</f>
        <v>0</v>
      </c>
      <c r="N201" s="157" t="str">
        <f>'график анн'!L196</f>
        <v/>
      </c>
      <c r="O201" s="51" t="str">
        <f>'график анн'!P196</f>
        <v/>
      </c>
      <c r="P201" s="147" t="str">
        <f>'график анн'!Q196</f>
        <v/>
      </c>
    </row>
    <row r="202" spans="1:16" x14ac:dyDescent="0.35">
      <c r="A202" s="154">
        <f>'график анн'!A197</f>
        <v>173</v>
      </c>
      <c r="B202" s="155">
        <f ca="1">'график анн'!C197</f>
        <v>49655</v>
      </c>
      <c r="C202" s="156">
        <f ca="1">'график анн'!D197</f>
        <v>30</v>
      </c>
      <c r="D202" s="47">
        <f ca="1">'график анн'!E197</f>
        <v>2045944.8837827728</v>
      </c>
      <c r="E202" s="47">
        <f ca="1">'график анн'!H197</f>
        <v>41055.931604305733</v>
      </c>
      <c r="F202" s="47">
        <f ca="1">'график анн'!F197</f>
        <v>22187.762529728665</v>
      </c>
      <c r="G202" s="47">
        <f ca="1">'график анн'!G197</f>
        <v>18868.169074577068</v>
      </c>
      <c r="H202" s="157">
        <f>'график анн'!O197</f>
        <v>0</v>
      </c>
      <c r="I202" s="157" t="str">
        <f>'график анн'!M197</f>
        <v/>
      </c>
      <c r="J202" s="224" t="str">
        <f>'график анн'!N197</f>
        <v/>
      </c>
      <c r="K202" s="157" t="str">
        <f>'график анн'!I197</f>
        <v/>
      </c>
      <c r="L202" s="157" t="str">
        <f>'график анн'!J197</f>
        <v/>
      </c>
      <c r="M202" s="157">
        <f>'график анн'!K197</f>
        <v>0</v>
      </c>
      <c r="N202" s="157" t="str">
        <f>'график анн'!L197</f>
        <v/>
      </c>
      <c r="O202" s="51" t="str">
        <f>'график анн'!P197</f>
        <v/>
      </c>
      <c r="P202" s="147" t="str">
        <f>'график анн'!Q197</f>
        <v/>
      </c>
    </row>
    <row r="203" spans="1:16" x14ac:dyDescent="0.35">
      <c r="A203" s="154">
        <f>'график анн'!A198</f>
        <v>174</v>
      </c>
      <c r="B203" s="155">
        <f ca="1">'график анн'!C198</f>
        <v>49686</v>
      </c>
      <c r="C203" s="156">
        <f ca="1">'график анн'!D198</f>
        <v>31</v>
      </c>
      <c r="D203" s="47">
        <f ca="1">'график анн'!E198</f>
        <v>2024176.8873705124</v>
      </c>
      <c r="E203" s="47">
        <f ca="1">'график анн'!H198</f>
        <v>41055.931604305733</v>
      </c>
      <c r="F203" s="47">
        <f ca="1">'график анн'!F198</f>
        <v>21767.996412260469</v>
      </c>
      <c r="G203" s="47">
        <f ca="1">'график анн'!G198</f>
        <v>19287.935192045265</v>
      </c>
      <c r="H203" s="157">
        <f>'график анн'!O198</f>
        <v>0</v>
      </c>
      <c r="I203" s="157" t="str">
        <f>'график анн'!M198</f>
        <v/>
      </c>
      <c r="J203" s="224" t="str">
        <f>'график анн'!N198</f>
        <v/>
      </c>
      <c r="K203" s="157" t="str">
        <f>'график анн'!I198</f>
        <v/>
      </c>
      <c r="L203" s="157" t="str">
        <f>'график анн'!J198</f>
        <v/>
      </c>
      <c r="M203" s="157">
        <f>'график анн'!K198</f>
        <v>0</v>
      </c>
      <c r="N203" s="157" t="str">
        <f>'график анн'!L198</f>
        <v/>
      </c>
      <c r="O203" s="51" t="str">
        <f>'график анн'!P198</f>
        <v/>
      </c>
      <c r="P203" s="147" t="str">
        <f>'график анн'!Q198</f>
        <v/>
      </c>
    </row>
    <row r="204" spans="1:16" x14ac:dyDescent="0.35">
      <c r="A204" s="154">
        <f>'график анн'!A199</f>
        <v>175</v>
      </c>
      <c r="B204" s="155">
        <f ca="1">'график анн'!C199</f>
        <v>49717</v>
      </c>
      <c r="C204" s="156">
        <f ca="1">'график анн'!D199</f>
        <v>31</v>
      </c>
      <c r="D204" s="47">
        <f ca="1">'график анн'!E199</f>
        <v>2002151.5368302555</v>
      </c>
      <c r="E204" s="47">
        <f ca="1">'график анн'!H199</f>
        <v>41055.931604305733</v>
      </c>
      <c r="F204" s="47">
        <f ca="1">'график анн'!F199</f>
        <v>22025.350540256735</v>
      </c>
      <c r="G204" s="47">
        <f ca="1">'график анн'!G199</f>
        <v>19030.581064048998</v>
      </c>
      <c r="H204" s="157">
        <f>'график анн'!O199</f>
        <v>0</v>
      </c>
      <c r="I204" s="157" t="str">
        <f>'график анн'!M199</f>
        <v/>
      </c>
      <c r="J204" s="224" t="str">
        <f>'график анн'!N199</f>
        <v/>
      </c>
      <c r="K204" s="157" t="str">
        <f>'график анн'!I199</f>
        <v/>
      </c>
      <c r="L204" s="157" t="str">
        <f>'график анн'!J199</f>
        <v/>
      </c>
      <c r="M204" s="157">
        <f>'график анн'!K199</f>
        <v>0</v>
      </c>
      <c r="N204" s="157" t="str">
        <f>'график анн'!L199</f>
        <v/>
      </c>
      <c r="O204" s="51" t="str">
        <f>'график анн'!P199</f>
        <v/>
      </c>
      <c r="P204" s="147" t="str">
        <f>'график анн'!Q199</f>
        <v/>
      </c>
    </row>
    <row r="205" spans="1:16" x14ac:dyDescent="0.35">
      <c r="A205" s="154">
        <f>'график анн'!A200</f>
        <v>176</v>
      </c>
      <c r="B205" s="155">
        <f ca="1">'график анн'!C200</f>
        <v>49746</v>
      </c>
      <c r="C205" s="156">
        <f ca="1">'график анн'!D200</f>
        <v>29</v>
      </c>
      <c r="D205" s="47">
        <f ca="1">'график анн'!E200</f>
        <v>1978704.6921031536</v>
      </c>
      <c r="E205" s="47">
        <f ca="1">'график анн'!H200</f>
        <v>41055.931604305733</v>
      </c>
      <c r="F205" s="47">
        <f ca="1">'график анн'!F200</f>
        <v>23446.844727101929</v>
      </c>
      <c r="G205" s="47">
        <f ca="1">'график анн'!G200</f>
        <v>17609.086877203805</v>
      </c>
      <c r="H205" s="157">
        <f>'график анн'!O200</f>
        <v>0</v>
      </c>
      <c r="I205" s="157" t="str">
        <f>'график анн'!M200</f>
        <v/>
      </c>
      <c r="J205" s="224" t="str">
        <f>'график анн'!N200</f>
        <v/>
      </c>
      <c r="K205" s="157" t="str">
        <f>'график анн'!I200</f>
        <v/>
      </c>
      <c r="L205" s="157" t="str">
        <f>'график анн'!J200</f>
        <v/>
      </c>
      <c r="M205" s="157">
        <f>'график анн'!K200</f>
        <v>0</v>
      </c>
      <c r="N205" s="157" t="str">
        <f>'график анн'!L200</f>
        <v/>
      </c>
      <c r="O205" s="51" t="str">
        <f>'график анн'!P200</f>
        <v/>
      </c>
      <c r="P205" s="147" t="str">
        <f>'график анн'!Q200</f>
        <v/>
      </c>
    </row>
    <row r="206" spans="1:16" x14ac:dyDescent="0.35">
      <c r="A206" s="154">
        <f>'график анн'!A201</f>
        <v>177</v>
      </c>
      <c r="B206" s="155">
        <f ca="1">'график анн'!C201</f>
        <v>49777</v>
      </c>
      <c r="C206" s="156">
        <f ca="1">'график анн'!D201</f>
        <v>31</v>
      </c>
      <c r="D206" s="47">
        <f ca="1">'график анн'!E201</f>
        <v>1956251.8283828013</v>
      </c>
      <c r="E206" s="47">
        <f ca="1">'график анн'!H201</f>
        <v>41055.931604305733</v>
      </c>
      <c r="F206" s="47">
        <f ca="1">'график анн'!F201</f>
        <v>22452.863720352314</v>
      </c>
      <c r="G206" s="47">
        <f ca="1">'график анн'!G201</f>
        <v>18603.067883953419</v>
      </c>
      <c r="H206" s="157">
        <f>'график анн'!O201</f>
        <v>0</v>
      </c>
      <c r="I206" s="157" t="str">
        <f>'график анн'!M201</f>
        <v/>
      </c>
      <c r="J206" s="224" t="str">
        <f>'график анн'!N201</f>
        <v/>
      </c>
      <c r="K206" s="157" t="str">
        <f>'график анн'!I201</f>
        <v/>
      </c>
      <c r="L206" s="157" t="str">
        <f>'график анн'!J201</f>
        <v/>
      </c>
      <c r="M206" s="157">
        <f>'график анн'!K201</f>
        <v>0</v>
      </c>
      <c r="N206" s="157" t="str">
        <f>'график анн'!L201</f>
        <v/>
      </c>
      <c r="O206" s="51" t="str">
        <f>'график анн'!P201</f>
        <v/>
      </c>
      <c r="P206" s="147" t="str">
        <f>'график анн'!Q201</f>
        <v/>
      </c>
    </row>
    <row r="207" spans="1:16" x14ac:dyDescent="0.35">
      <c r="A207" s="154">
        <f>'график анн'!A202</f>
        <v>178</v>
      </c>
      <c r="B207" s="155">
        <f ca="1">'график анн'!C202</f>
        <v>49807</v>
      </c>
      <c r="C207" s="156">
        <f ca="1">'график анн'!D202</f>
        <v>30</v>
      </c>
      <c r="D207" s="47">
        <f ca="1">'график анн'!E202</f>
        <v>1932994.5814465685</v>
      </c>
      <c r="E207" s="47">
        <f ca="1">'график анн'!H202</f>
        <v>41055.931604305733</v>
      </c>
      <c r="F207" s="47">
        <f ca="1">'график анн'!F202</f>
        <v>23257.246936232707</v>
      </c>
      <c r="G207" s="47">
        <f ca="1">'график анн'!G202</f>
        <v>17798.684668073027</v>
      </c>
      <c r="H207" s="157">
        <f>'график анн'!O202</f>
        <v>0</v>
      </c>
      <c r="I207" s="157" t="str">
        <f>'график анн'!M202</f>
        <v/>
      </c>
      <c r="J207" s="224" t="str">
        <f>'график анн'!N202</f>
        <v/>
      </c>
      <c r="K207" s="157" t="str">
        <f>'график анн'!I202</f>
        <v/>
      </c>
      <c r="L207" s="157" t="str">
        <f>'график анн'!J202</f>
        <v/>
      </c>
      <c r="M207" s="157">
        <f>'график анн'!K202</f>
        <v>0</v>
      </c>
      <c r="N207" s="157" t="str">
        <f>'график анн'!L202</f>
        <v/>
      </c>
      <c r="O207" s="51" t="str">
        <f>'график анн'!P202</f>
        <v/>
      </c>
      <c r="P207" s="147" t="str">
        <f>'график анн'!Q202</f>
        <v/>
      </c>
    </row>
    <row r="208" spans="1:16" x14ac:dyDescent="0.35">
      <c r="A208" s="154">
        <f>'график анн'!A203</f>
        <v>179</v>
      </c>
      <c r="B208" s="155">
        <f ca="1">'график анн'!C203</f>
        <v>49838</v>
      </c>
      <c r="C208" s="156">
        <f ca="1">'график анн'!D203</f>
        <v>31</v>
      </c>
      <c r="D208" s="47">
        <f ca="1">'график анн'!E203</f>
        <v>1910111.9677514366</v>
      </c>
      <c r="E208" s="47">
        <f ca="1">'график анн'!H203</f>
        <v>41055.931604305733</v>
      </c>
      <c r="F208" s="47">
        <f ca="1">'график анн'!F203</f>
        <v>22882.613695131848</v>
      </c>
      <c r="G208" s="47">
        <f ca="1">'график анн'!G203</f>
        <v>18173.317909173886</v>
      </c>
      <c r="H208" s="157">
        <f>'график анн'!O203</f>
        <v>0</v>
      </c>
      <c r="I208" s="157" t="str">
        <f>'график анн'!M203</f>
        <v/>
      </c>
      <c r="J208" s="224" t="str">
        <f>'график анн'!N203</f>
        <v/>
      </c>
      <c r="K208" s="157" t="str">
        <f>'график анн'!I203</f>
        <v/>
      </c>
      <c r="L208" s="157" t="str">
        <f>'график анн'!J203</f>
        <v/>
      </c>
      <c r="M208" s="157">
        <f>'график анн'!K203</f>
        <v>0</v>
      </c>
      <c r="N208" s="157" t="str">
        <f>'график анн'!L203</f>
        <v/>
      </c>
      <c r="O208" s="51" t="str">
        <f>'график анн'!P203</f>
        <v/>
      </c>
      <c r="P208" s="147" t="str">
        <f>'график анн'!Q203</f>
        <v/>
      </c>
    </row>
    <row r="209" spans="1:16" x14ac:dyDescent="0.35">
      <c r="A209" s="154">
        <f>'график анн'!A204</f>
        <v>180</v>
      </c>
      <c r="B209" s="155">
        <f ca="1">'график анн'!C204</f>
        <v>49868</v>
      </c>
      <c r="C209" s="156">
        <f ca="1">'график анн'!D204</f>
        <v>30</v>
      </c>
      <c r="D209" s="47">
        <f ca="1">'график анн'!E204</f>
        <v>1886434.9237225743</v>
      </c>
      <c r="E209" s="47">
        <f ca="1">'график анн'!H204</f>
        <v>41055.931604305733</v>
      </c>
      <c r="F209" s="47">
        <f ca="1">'график анн'!F204</f>
        <v>23677.044028862336</v>
      </c>
      <c r="G209" s="47">
        <f ca="1">'график анн'!G204</f>
        <v>17378.887575443398</v>
      </c>
      <c r="H209" s="157">
        <f>'график анн'!O204</f>
        <v>0</v>
      </c>
      <c r="I209" s="157" t="str">
        <f>'график анн'!M204</f>
        <v/>
      </c>
      <c r="J209" s="224" t="str">
        <f>'график анн'!N204</f>
        <v/>
      </c>
      <c r="K209" s="157" t="str">
        <f>'график анн'!I204</f>
        <v/>
      </c>
      <c r="L209" s="157" t="str">
        <f>'график анн'!J204</f>
        <v/>
      </c>
      <c r="M209" s="157">
        <f>'график анн'!K204</f>
        <v>0</v>
      </c>
      <c r="N209" s="157" t="str">
        <f>'график анн'!L204</f>
        <v/>
      </c>
      <c r="O209" s="51" t="str">
        <f>'график анн'!P204</f>
        <v/>
      </c>
      <c r="P209" s="147" t="str">
        <f>'график анн'!Q204</f>
        <v/>
      </c>
    </row>
    <row r="210" spans="1:16" x14ac:dyDescent="0.35">
      <c r="A210" s="154">
        <f>'график анн'!A205</f>
        <v>181</v>
      </c>
      <c r="B210" s="155">
        <f ca="1">'график анн'!C205</f>
        <v>49899</v>
      </c>
      <c r="C210" s="156">
        <f ca="1">'график анн'!D205</f>
        <v>31</v>
      </c>
      <c r="D210" s="47">
        <f ca="1">'график анн'!E205</f>
        <v>1863114.5729175291</v>
      </c>
      <c r="E210" s="47">
        <f ca="1">'график анн'!H205</f>
        <v>41055.931604305733</v>
      </c>
      <c r="F210" s="47">
        <f ca="1">'график анн'!F205</f>
        <v>23320.350805045138</v>
      </c>
      <c r="G210" s="47">
        <f ca="1">'график анн'!G205</f>
        <v>17735.580799260595</v>
      </c>
      <c r="H210" s="157">
        <f>'график анн'!O205</f>
        <v>0</v>
      </c>
      <c r="I210" s="157" t="str">
        <f>'график анн'!M205</f>
        <v/>
      </c>
      <c r="J210" s="224">
        <f>'график анн'!N205</f>
        <v>2500</v>
      </c>
      <c r="K210" s="157" t="str">
        <f>'график анн'!I205</f>
        <v/>
      </c>
      <c r="L210" s="157" t="str">
        <f>'график анн'!J205</f>
        <v/>
      </c>
      <c r="M210" s="224">
        <f>'график анн'!K205</f>
        <v>17142.858</v>
      </c>
      <c r="N210" s="157" t="str">
        <f>'график анн'!L205</f>
        <v/>
      </c>
      <c r="O210" s="51" t="str">
        <f>'график анн'!P205</f>
        <v/>
      </c>
      <c r="P210" s="147" t="str">
        <f>'график анн'!Q205</f>
        <v/>
      </c>
    </row>
    <row r="211" spans="1:16" x14ac:dyDescent="0.35">
      <c r="A211" s="154">
        <f>'график анн'!A206</f>
        <v>182</v>
      </c>
      <c r="B211" s="155">
        <f ca="1">'график анн'!C206</f>
        <v>49930</v>
      </c>
      <c r="C211" s="156">
        <f ca="1">'график анн'!D206</f>
        <v>31</v>
      </c>
      <c r="D211" s="47">
        <f ca="1">'график анн'!E206</f>
        <v>1839574.9725848334</v>
      </c>
      <c r="E211" s="47">
        <f ca="1">'график анн'!H206</f>
        <v>41055.931604305733</v>
      </c>
      <c r="F211" s="47">
        <f ca="1">'график анн'!F206</f>
        <v>23539.600332695849</v>
      </c>
      <c r="G211" s="47">
        <f ca="1">'график анн'!G206</f>
        <v>17516.331271609884</v>
      </c>
      <c r="H211" s="157">
        <f>'график анн'!O206</f>
        <v>0</v>
      </c>
      <c r="I211" s="157" t="str">
        <f>'график анн'!M206</f>
        <v/>
      </c>
      <c r="J211" s="224" t="str">
        <f>'график анн'!N206</f>
        <v/>
      </c>
      <c r="K211" s="157" t="str">
        <f>'график анн'!I206</f>
        <v/>
      </c>
      <c r="L211" s="157" t="str">
        <f>'график анн'!J206</f>
        <v/>
      </c>
      <c r="M211" s="157">
        <f>'график анн'!K206</f>
        <v>0</v>
      </c>
      <c r="N211" s="157" t="str">
        <f>'график анн'!L206</f>
        <v/>
      </c>
      <c r="O211" s="51" t="str">
        <f>'график анн'!P206</f>
        <v/>
      </c>
      <c r="P211" s="147" t="str">
        <f>'график анн'!Q206</f>
        <v/>
      </c>
    </row>
    <row r="212" spans="1:16" x14ac:dyDescent="0.35">
      <c r="A212" s="154">
        <f>'график анн'!A207</f>
        <v>183</v>
      </c>
      <c r="B212" s="155">
        <f ca="1">'график анн'!C207</f>
        <v>49960</v>
      </c>
      <c r="C212" s="156">
        <f ca="1">'график анн'!D207</f>
        <v>30</v>
      </c>
      <c r="D212" s="47">
        <f ca="1">'график анн'!E207</f>
        <v>1815256.1575343732</v>
      </c>
      <c r="E212" s="47">
        <f ca="1">'график анн'!H207</f>
        <v>41055.931604305733</v>
      </c>
      <c r="F212" s="47">
        <f ca="1">'график анн'!F207</f>
        <v>24318.815050460118</v>
      </c>
      <c r="G212" s="47">
        <f ca="1">'график анн'!G207</f>
        <v>16737.116553845615</v>
      </c>
      <c r="H212" s="157">
        <f>'график анн'!O207</f>
        <v>0</v>
      </c>
      <c r="I212" s="157" t="str">
        <f>'график анн'!M207</f>
        <v/>
      </c>
      <c r="J212" s="224" t="str">
        <f>'график анн'!N207</f>
        <v/>
      </c>
      <c r="K212" s="157" t="str">
        <f>'график анн'!I207</f>
        <v/>
      </c>
      <c r="L212" s="157" t="str">
        <f>'график анн'!J207</f>
        <v/>
      </c>
      <c r="M212" s="157">
        <f>'график анн'!K207</f>
        <v>0</v>
      </c>
      <c r="N212" s="157" t="str">
        <f>'график анн'!L207</f>
        <v/>
      </c>
      <c r="O212" s="51" t="str">
        <f>'график анн'!P207</f>
        <v/>
      </c>
      <c r="P212" s="147" t="str">
        <f>'график анн'!Q207</f>
        <v/>
      </c>
    </row>
    <row r="213" spans="1:16" x14ac:dyDescent="0.35">
      <c r="A213" s="154">
        <f>'график анн'!A208</f>
        <v>184</v>
      </c>
      <c r="B213" s="155">
        <f ca="1">'график анн'!C208</f>
        <v>49991</v>
      </c>
      <c r="C213" s="156">
        <f ca="1">'график анн'!D208</f>
        <v>31</v>
      </c>
      <c r="D213" s="47">
        <f ca="1">'график анн'!E208</f>
        <v>1791266.609640657</v>
      </c>
      <c r="E213" s="47">
        <f ca="1">'график анн'!H208</f>
        <v>41055.931604305733</v>
      </c>
      <c r="F213" s="47">
        <f ca="1">'график анн'!F208</f>
        <v>23989.547893716175</v>
      </c>
      <c r="G213" s="47">
        <f ca="1">'график анн'!G208</f>
        <v>17066.383710589558</v>
      </c>
      <c r="H213" s="157">
        <f>'график анн'!O208</f>
        <v>0</v>
      </c>
      <c r="I213" s="157" t="str">
        <f>'график анн'!M208</f>
        <v/>
      </c>
      <c r="J213" s="224" t="str">
        <f>'график анн'!N208</f>
        <v/>
      </c>
      <c r="K213" s="157" t="str">
        <f>'график анн'!I208</f>
        <v/>
      </c>
      <c r="L213" s="157" t="str">
        <f>'график анн'!J208</f>
        <v/>
      </c>
      <c r="M213" s="157">
        <f>'график анн'!K208</f>
        <v>0</v>
      </c>
      <c r="N213" s="157" t="str">
        <f>'график анн'!L208</f>
        <v/>
      </c>
      <c r="O213" s="51" t="str">
        <f>'график анн'!P208</f>
        <v/>
      </c>
      <c r="P213" s="147" t="str">
        <f>'график анн'!Q208</f>
        <v/>
      </c>
    </row>
    <row r="214" spans="1:16" x14ac:dyDescent="0.35">
      <c r="A214" s="154">
        <f>'график анн'!A209</f>
        <v>185</v>
      </c>
      <c r="B214" s="155">
        <f ca="1">'график анн'!C209</f>
        <v>50021</v>
      </c>
      <c r="C214" s="156">
        <f ca="1">'график анн'!D209</f>
        <v>30</v>
      </c>
      <c r="D214" s="47">
        <f ca="1">'график анн'!E209</f>
        <v>1766508.2676814424</v>
      </c>
      <c r="E214" s="47">
        <f ca="1">'график анн'!H209</f>
        <v>41055.931604305733</v>
      </c>
      <c r="F214" s="47">
        <f ca="1">'график анн'!F209</f>
        <v>24758.341959214511</v>
      </c>
      <c r="G214" s="47">
        <f ca="1">'график анн'!G209</f>
        <v>16297.589645091222</v>
      </c>
      <c r="H214" s="157">
        <f>'график анн'!O209</f>
        <v>0</v>
      </c>
      <c r="I214" s="157" t="str">
        <f>'график анн'!M209</f>
        <v/>
      </c>
      <c r="J214" s="224" t="str">
        <f>'график анн'!N209</f>
        <v/>
      </c>
      <c r="K214" s="157" t="str">
        <f>'график анн'!I209</f>
        <v/>
      </c>
      <c r="L214" s="157" t="str">
        <f>'график анн'!J209</f>
        <v/>
      </c>
      <c r="M214" s="157">
        <f>'график анн'!K209</f>
        <v>0</v>
      </c>
      <c r="N214" s="157" t="str">
        <f>'график анн'!L209</f>
        <v/>
      </c>
      <c r="O214" s="51" t="str">
        <f>'график анн'!P209</f>
        <v/>
      </c>
      <c r="P214" s="147" t="str">
        <f>'график анн'!Q209</f>
        <v/>
      </c>
    </row>
    <row r="215" spans="1:16" x14ac:dyDescent="0.35">
      <c r="A215" s="154">
        <f>'график анн'!A210</f>
        <v>186</v>
      </c>
      <c r="B215" s="155">
        <f ca="1">'график анн'!C210</f>
        <v>50052</v>
      </c>
      <c r="C215" s="156">
        <f ca="1">'график анн'!D210</f>
        <v>31</v>
      </c>
      <c r="D215" s="47">
        <f ca="1">'график анн'!E210</f>
        <v>1742060.4097085351</v>
      </c>
      <c r="E215" s="47">
        <f ca="1">'график анн'!H210</f>
        <v>41055.931604305733</v>
      </c>
      <c r="F215" s="47">
        <f ca="1">'график анн'!F210</f>
        <v>24447.857972907255</v>
      </c>
      <c r="G215" s="47">
        <f ca="1">'график анн'!G210</f>
        <v>16608.073631398478</v>
      </c>
      <c r="H215" s="157">
        <f>'график анн'!O210</f>
        <v>0</v>
      </c>
      <c r="I215" s="157" t="str">
        <f>'график анн'!M210</f>
        <v/>
      </c>
      <c r="J215" s="224" t="str">
        <f>'график анн'!N210</f>
        <v/>
      </c>
      <c r="K215" s="157" t="str">
        <f>'график анн'!I210</f>
        <v/>
      </c>
      <c r="L215" s="157" t="str">
        <f>'график анн'!J210</f>
        <v/>
      </c>
      <c r="M215" s="157">
        <f>'график анн'!K210</f>
        <v>0</v>
      </c>
      <c r="N215" s="157" t="str">
        <f>'график анн'!L210</f>
        <v/>
      </c>
      <c r="O215" s="51" t="str">
        <f>'график анн'!P210</f>
        <v/>
      </c>
      <c r="P215" s="147" t="str">
        <f>'график анн'!Q210</f>
        <v/>
      </c>
    </row>
    <row r="216" spans="1:16" x14ac:dyDescent="0.35">
      <c r="A216" s="154">
        <f>'график анн'!A211</f>
        <v>187</v>
      </c>
      <c r="B216" s="155">
        <f ca="1">'график анн'!C211</f>
        <v>50083</v>
      </c>
      <c r="C216" s="156">
        <f ca="1">'график анн'!D211</f>
        <v>31</v>
      </c>
      <c r="D216" s="47">
        <f ca="1">'график анн'!E211</f>
        <v>1717427.5736379474</v>
      </c>
      <c r="E216" s="47">
        <f ca="1">'график анн'!H211</f>
        <v>41055.931604305733</v>
      </c>
      <c r="F216" s="47">
        <f ca="1">'график анн'!F211</f>
        <v>24632.836070587735</v>
      </c>
      <c r="G216" s="47">
        <f ca="1">'график анн'!G211</f>
        <v>16423.095533717998</v>
      </c>
      <c r="H216" s="157">
        <f>'график анн'!O211</f>
        <v>0</v>
      </c>
      <c r="I216" s="157" t="str">
        <f>'график анн'!M211</f>
        <v/>
      </c>
      <c r="J216" s="224" t="str">
        <f>'график анн'!N211</f>
        <v/>
      </c>
      <c r="K216" s="157" t="str">
        <f>'график анн'!I211</f>
        <v/>
      </c>
      <c r="L216" s="157" t="str">
        <f>'график анн'!J211</f>
        <v/>
      </c>
      <c r="M216" s="157">
        <f>'график анн'!K211</f>
        <v>0</v>
      </c>
      <c r="N216" s="157" t="str">
        <f>'график анн'!L211</f>
        <v/>
      </c>
      <c r="O216" s="51" t="str">
        <f>'график анн'!P211</f>
        <v/>
      </c>
      <c r="P216" s="147" t="str">
        <f>'график анн'!Q211</f>
        <v/>
      </c>
    </row>
    <row r="217" spans="1:16" x14ac:dyDescent="0.35">
      <c r="A217" s="154">
        <f>'график анн'!A212</f>
        <v>188</v>
      </c>
      <c r="B217" s="155">
        <f ca="1">'график анн'!C212</f>
        <v>50111</v>
      </c>
      <c r="C217" s="156">
        <f ca="1">'график анн'!D212</f>
        <v>28</v>
      </c>
      <c r="D217" s="47">
        <f ca="1">'график анн'!E212</f>
        <v>1690995.6554551944</v>
      </c>
      <c r="E217" s="47">
        <f ca="1">'график анн'!H212</f>
        <v>41055.931604305733</v>
      </c>
      <c r="F217" s="47">
        <f ca="1">'график анн'!F212</f>
        <v>26431.918182753019</v>
      </c>
      <c r="G217" s="47">
        <f ca="1">'график анн'!G212</f>
        <v>14624.013421552714</v>
      </c>
      <c r="H217" s="157">
        <f>'график анн'!O212</f>
        <v>0</v>
      </c>
      <c r="I217" s="157" t="str">
        <f>'график анн'!M212</f>
        <v/>
      </c>
      <c r="J217" s="224" t="str">
        <f>'график анн'!N212</f>
        <v/>
      </c>
      <c r="K217" s="157" t="str">
        <f>'график анн'!I212</f>
        <v/>
      </c>
      <c r="L217" s="157" t="str">
        <f>'график анн'!J212</f>
        <v/>
      </c>
      <c r="M217" s="157">
        <f>'график анн'!K212</f>
        <v>0</v>
      </c>
      <c r="N217" s="157" t="str">
        <f>'график анн'!L212</f>
        <v/>
      </c>
      <c r="O217" s="51" t="str">
        <f>'график анн'!P212</f>
        <v/>
      </c>
      <c r="P217" s="147" t="str">
        <f>'график анн'!Q212</f>
        <v/>
      </c>
    </row>
    <row r="218" spans="1:16" x14ac:dyDescent="0.35">
      <c r="A218" s="154">
        <f>'график анн'!A213</f>
        <v>189</v>
      </c>
      <c r="B218" s="155">
        <f ca="1">'график анн'!C213</f>
        <v>50142</v>
      </c>
      <c r="C218" s="156">
        <f ca="1">'график анн'!D213</f>
        <v>31</v>
      </c>
      <c r="D218" s="47">
        <f ca="1">'график анн'!E213</f>
        <v>1665881.4116602622</v>
      </c>
      <c r="E218" s="47">
        <f ca="1">'график анн'!H213</f>
        <v>41055.931604305733</v>
      </c>
      <c r="F218" s="47">
        <f ca="1">'график анн'!F213</f>
        <v>25114.243794932245</v>
      </c>
      <c r="G218" s="47">
        <f ca="1">'график анн'!G213</f>
        <v>15941.687809373489</v>
      </c>
      <c r="H218" s="157">
        <f>'график анн'!O213</f>
        <v>0</v>
      </c>
      <c r="I218" s="157" t="str">
        <f>'график анн'!M213</f>
        <v/>
      </c>
      <c r="J218" s="224" t="str">
        <f>'график анн'!N213</f>
        <v/>
      </c>
      <c r="K218" s="157" t="str">
        <f>'график анн'!I213</f>
        <v/>
      </c>
      <c r="L218" s="157" t="str">
        <f>'график анн'!J213</f>
        <v/>
      </c>
      <c r="M218" s="157">
        <f>'график анн'!K213</f>
        <v>0</v>
      </c>
      <c r="N218" s="157" t="str">
        <f>'график анн'!L213</f>
        <v/>
      </c>
      <c r="O218" s="51" t="str">
        <f>'график анн'!P213</f>
        <v/>
      </c>
      <c r="P218" s="147" t="str">
        <f>'график анн'!Q213</f>
        <v/>
      </c>
    </row>
    <row r="219" spans="1:16" x14ac:dyDescent="0.35">
      <c r="A219" s="154">
        <f>'график анн'!A214</f>
        <v>190</v>
      </c>
      <c r="B219" s="155">
        <f ca="1">'график анн'!C214</f>
        <v>50172</v>
      </c>
      <c r="C219" s="156">
        <f ca="1">'график анн'!D214</f>
        <v>30</v>
      </c>
      <c r="D219" s="47">
        <f ca="1">'график анн'!E214</f>
        <v>1640023.7954006926</v>
      </c>
      <c r="E219" s="47">
        <f ca="1">'график анн'!H214</f>
        <v>41055.931604305733</v>
      </c>
      <c r="F219" s="47">
        <f ca="1">'график анн'!F214</f>
        <v>25857.616259569644</v>
      </c>
      <c r="G219" s="47">
        <f ca="1">'график анн'!G214</f>
        <v>15198.315344736089</v>
      </c>
      <c r="H219" s="157">
        <f>'график анн'!O214</f>
        <v>0</v>
      </c>
      <c r="I219" s="157" t="str">
        <f>'график анн'!M214</f>
        <v/>
      </c>
      <c r="J219" s="224" t="str">
        <f>'график анн'!N214</f>
        <v/>
      </c>
      <c r="K219" s="157" t="str">
        <f>'график анн'!I214</f>
        <v/>
      </c>
      <c r="L219" s="157" t="str">
        <f>'график анн'!J214</f>
        <v/>
      </c>
      <c r="M219" s="157">
        <f>'график анн'!K214</f>
        <v>0</v>
      </c>
      <c r="N219" s="157" t="str">
        <f>'график анн'!L214</f>
        <v/>
      </c>
      <c r="O219" s="51" t="str">
        <f>'график анн'!P214</f>
        <v/>
      </c>
      <c r="P219" s="147" t="str">
        <f>'график анн'!Q214</f>
        <v/>
      </c>
    </row>
    <row r="220" spans="1:16" x14ac:dyDescent="0.35">
      <c r="A220" s="154">
        <f>'график анн'!A215</f>
        <v>191</v>
      </c>
      <c r="B220" s="155">
        <f ca="1">'график анн'!C215</f>
        <v>50203</v>
      </c>
      <c r="C220" s="156">
        <f ca="1">'график анн'!D215</f>
        <v>31</v>
      </c>
      <c r="D220" s="47">
        <f ca="1">'график анн'!E215</f>
        <v>1614429.0196319316</v>
      </c>
      <c r="E220" s="47">
        <f ca="1">'график анн'!H215</f>
        <v>41055.931604305733</v>
      </c>
      <c r="F220" s="47">
        <f ca="1">'график анн'!F215</f>
        <v>25594.775768761123</v>
      </c>
      <c r="G220" s="47">
        <f ca="1">'график анн'!G215</f>
        <v>15461.155835544612</v>
      </c>
      <c r="H220" s="157">
        <f>'график анн'!O215</f>
        <v>0</v>
      </c>
      <c r="I220" s="157" t="str">
        <f>'график анн'!M215</f>
        <v/>
      </c>
      <c r="J220" s="224" t="str">
        <f>'график анн'!N215</f>
        <v/>
      </c>
      <c r="K220" s="157" t="str">
        <f>'график анн'!I215</f>
        <v/>
      </c>
      <c r="L220" s="157" t="str">
        <f>'график анн'!J215</f>
        <v/>
      </c>
      <c r="M220" s="157">
        <f>'график анн'!K215</f>
        <v>0</v>
      </c>
      <c r="N220" s="157" t="str">
        <f>'график анн'!L215</f>
        <v/>
      </c>
      <c r="O220" s="51" t="str">
        <f>'график анн'!P215</f>
        <v/>
      </c>
      <c r="P220" s="147" t="str">
        <f>'график анн'!Q215</f>
        <v/>
      </c>
    </row>
    <row r="221" spans="1:16" x14ac:dyDescent="0.35">
      <c r="A221" s="154">
        <f>'график анн'!A216</f>
        <v>192</v>
      </c>
      <c r="B221" s="155">
        <f ca="1">'график анн'!C216</f>
        <v>50233</v>
      </c>
      <c r="C221" s="156">
        <f ca="1">'график анн'!D216</f>
        <v>30</v>
      </c>
      <c r="D221" s="47">
        <f ca="1">'график анн'!E216</f>
        <v>1588101.9883985145</v>
      </c>
      <c r="E221" s="47">
        <f ca="1">'график анн'!H216</f>
        <v>41055.931604305733</v>
      </c>
      <c r="F221" s="47">
        <f ca="1">'график анн'!F216</f>
        <v>26327.03123341715</v>
      </c>
      <c r="G221" s="47">
        <f ca="1">'график анн'!G216</f>
        <v>14728.900370888583</v>
      </c>
      <c r="H221" s="157">
        <f>'график анн'!O216</f>
        <v>0</v>
      </c>
      <c r="I221" s="157" t="str">
        <f>'график анн'!M216</f>
        <v/>
      </c>
      <c r="J221" s="224" t="str">
        <f>'график анн'!N216</f>
        <v/>
      </c>
      <c r="K221" s="157" t="str">
        <f>'график анн'!I216</f>
        <v/>
      </c>
      <c r="L221" s="157" t="str">
        <f>'график анн'!J216</f>
        <v/>
      </c>
      <c r="M221" s="157">
        <f>'график анн'!K216</f>
        <v>0</v>
      </c>
      <c r="N221" s="157" t="str">
        <f>'график анн'!L216</f>
        <v/>
      </c>
      <c r="O221" s="51" t="str">
        <f>'график анн'!P216</f>
        <v/>
      </c>
      <c r="P221" s="147" t="str">
        <f>'график анн'!Q216</f>
        <v/>
      </c>
    </row>
    <row r="222" spans="1:16" x14ac:dyDescent="0.35">
      <c r="A222" s="154">
        <f>'график анн'!A217</f>
        <v>193</v>
      </c>
      <c r="B222" s="155">
        <f ca="1">'график анн'!C217</f>
        <v>50264</v>
      </c>
      <c r="C222" s="156">
        <f ca="1">'график анн'!D217</f>
        <v>31</v>
      </c>
      <c r="D222" s="47">
        <f ca="1">'график анн'!E217</f>
        <v>1562017.7251286726</v>
      </c>
      <c r="E222" s="47">
        <f ca="1">'график анн'!H217</f>
        <v>41055.931604305733</v>
      </c>
      <c r="F222" s="47">
        <f ca="1">'график анн'!F217</f>
        <v>26084.263269841933</v>
      </c>
      <c r="G222" s="47">
        <f ca="1">'график анн'!G217</f>
        <v>14971.668334463802</v>
      </c>
      <c r="H222" s="157">
        <f>'график анн'!O217</f>
        <v>0</v>
      </c>
      <c r="I222" s="157" t="str">
        <f>'график анн'!M217</f>
        <v/>
      </c>
      <c r="J222" s="224">
        <f>'график анн'!N217</f>
        <v>2500</v>
      </c>
      <c r="K222" s="157" t="str">
        <f>'график анн'!I217</f>
        <v/>
      </c>
      <c r="L222" s="157" t="str">
        <f>'график анн'!J217</f>
        <v/>
      </c>
      <c r="M222" s="224">
        <f>'график анн'!K217</f>
        <v>17142.858</v>
      </c>
      <c r="N222" s="157" t="str">
        <f>'график анн'!L217</f>
        <v/>
      </c>
      <c r="O222" s="51" t="str">
        <f>'график анн'!P217</f>
        <v/>
      </c>
      <c r="P222" s="147" t="str">
        <f>'график анн'!Q217</f>
        <v/>
      </c>
    </row>
    <row r="223" spans="1:16" x14ac:dyDescent="0.35">
      <c r="A223" s="154">
        <f>'график анн'!A218</f>
        <v>194</v>
      </c>
      <c r="B223" s="155">
        <f ca="1">'график анн'!C218</f>
        <v>50295</v>
      </c>
      <c r="C223" s="156">
        <f ca="1">'график анн'!D218</f>
        <v>31</v>
      </c>
      <c r="D223" s="47">
        <f ca="1">'график анн'!E218</f>
        <v>1535687.5551467442</v>
      </c>
      <c r="E223" s="47">
        <f ca="1">'график анн'!H218</f>
        <v>41055.931604305733</v>
      </c>
      <c r="F223" s="47">
        <f ca="1">'график анн'!F218</f>
        <v>26330.169981928302</v>
      </c>
      <c r="G223" s="47">
        <f ca="1">'график анн'!G218</f>
        <v>14725.761622377431</v>
      </c>
      <c r="H223" s="157">
        <f>'график анн'!O218</f>
        <v>0</v>
      </c>
      <c r="I223" s="157" t="str">
        <f>'график анн'!M218</f>
        <v/>
      </c>
      <c r="J223" s="224" t="str">
        <f>'график анн'!N218</f>
        <v/>
      </c>
      <c r="K223" s="157" t="str">
        <f>'график анн'!I218</f>
        <v/>
      </c>
      <c r="L223" s="157" t="str">
        <f>'график анн'!J218</f>
        <v/>
      </c>
      <c r="M223" s="157">
        <f>'график анн'!K218</f>
        <v>0</v>
      </c>
      <c r="N223" s="157" t="str">
        <f>'график анн'!L218</f>
        <v/>
      </c>
      <c r="O223" s="51" t="str">
        <f>'график анн'!P218</f>
        <v/>
      </c>
      <c r="P223" s="147" t="str">
        <f>'график анн'!Q218</f>
        <v/>
      </c>
    </row>
    <row r="224" spans="1:16" x14ac:dyDescent="0.35">
      <c r="A224" s="154">
        <f>'график анн'!A219</f>
        <v>195</v>
      </c>
      <c r="B224" s="155">
        <f ca="1">'график анн'!C219</f>
        <v>50325</v>
      </c>
      <c r="C224" s="156">
        <f ca="1">'график анн'!D219</f>
        <v>30</v>
      </c>
      <c r="D224" s="47">
        <f ca="1">'график анн'!E219</f>
        <v>1508642.1428811746</v>
      </c>
      <c r="E224" s="47">
        <f ca="1">'график анн'!H219</f>
        <v>41055.931604305733</v>
      </c>
      <c r="F224" s="47">
        <f ca="1">'график анн'!F219</f>
        <v>27045.412265569685</v>
      </c>
      <c r="G224" s="47">
        <f ca="1">'график анн'!G219</f>
        <v>14010.51933873605</v>
      </c>
      <c r="H224" s="157">
        <f>'график анн'!O219</f>
        <v>0</v>
      </c>
      <c r="I224" s="157" t="str">
        <f>'график анн'!M219</f>
        <v/>
      </c>
      <c r="J224" s="224" t="str">
        <f>'график анн'!N219</f>
        <v/>
      </c>
      <c r="K224" s="157" t="str">
        <f>'график анн'!I219</f>
        <v/>
      </c>
      <c r="L224" s="157" t="str">
        <f>'график анн'!J219</f>
        <v/>
      </c>
      <c r="M224" s="157">
        <f>'график анн'!K219</f>
        <v>0</v>
      </c>
      <c r="N224" s="157" t="str">
        <f>'график анн'!L219</f>
        <v/>
      </c>
      <c r="O224" s="51" t="str">
        <f>'график анн'!P219</f>
        <v/>
      </c>
      <c r="P224" s="147" t="str">
        <f>'график анн'!Q219</f>
        <v/>
      </c>
    </row>
    <row r="225" spans="1:16" x14ac:dyDescent="0.35">
      <c r="A225" s="154">
        <f>'график анн'!A220</f>
        <v>196</v>
      </c>
      <c r="B225" s="155">
        <f ca="1">'график анн'!C220</f>
        <v>50356</v>
      </c>
      <c r="C225" s="156">
        <f ca="1">'график анн'!D220</f>
        <v>31</v>
      </c>
      <c r="D225" s="47">
        <f ca="1">'график анн'!E220</f>
        <v>1481808.7800814006</v>
      </c>
      <c r="E225" s="47">
        <f ca="1">'график анн'!H220</f>
        <v>41055.931604305733</v>
      </c>
      <c r="F225" s="47">
        <f ca="1">'график анн'!F220</f>
        <v>26833.362799773895</v>
      </c>
      <c r="G225" s="47">
        <f ca="1">'график анн'!G220</f>
        <v>14222.56880453184</v>
      </c>
      <c r="H225" s="157">
        <f>'график анн'!O220</f>
        <v>0</v>
      </c>
      <c r="I225" s="157" t="str">
        <f>'график анн'!M220</f>
        <v/>
      </c>
      <c r="J225" s="224" t="str">
        <f>'график анн'!N220</f>
        <v/>
      </c>
      <c r="K225" s="157" t="str">
        <f>'график анн'!I220</f>
        <v/>
      </c>
      <c r="L225" s="157" t="str">
        <f>'график анн'!J220</f>
        <v/>
      </c>
      <c r="M225" s="157">
        <f>'график анн'!K220</f>
        <v>0</v>
      </c>
      <c r="N225" s="157" t="str">
        <f>'график анн'!L220</f>
        <v/>
      </c>
      <c r="O225" s="51" t="str">
        <f>'график анн'!P220</f>
        <v/>
      </c>
      <c r="P225" s="147" t="str">
        <f>'график анн'!Q220</f>
        <v/>
      </c>
    </row>
    <row r="226" spans="1:16" x14ac:dyDescent="0.35">
      <c r="A226" s="154">
        <f>'график анн'!A221</f>
        <v>197</v>
      </c>
      <c r="B226" s="155">
        <f ca="1">'график анн'!C221</f>
        <v>50386</v>
      </c>
      <c r="C226" s="156">
        <f ca="1">'график анн'!D221</f>
        <v>30</v>
      </c>
      <c r="D226" s="47">
        <f ca="1">'график анн'!E221</f>
        <v>1454271.8162515361</v>
      </c>
      <c r="E226" s="47">
        <f ca="1">'график анн'!H221</f>
        <v>41055.931604305733</v>
      </c>
      <c r="F226" s="47">
        <f ca="1">'график анн'!F221</f>
        <v>27536.963829864464</v>
      </c>
      <c r="G226" s="47">
        <f ca="1">'график анн'!G221</f>
        <v>13518.967774441271</v>
      </c>
      <c r="H226" s="157">
        <f>'график анн'!O221</f>
        <v>0</v>
      </c>
      <c r="I226" s="157" t="str">
        <f>'график анн'!M221</f>
        <v/>
      </c>
      <c r="J226" s="224" t="str">
        <f>'график анн'!N221</f>
        <v/>
      </c>
      <c r="K226" s="157" t="str">
        <f>'график анн'!I221</f>
        <v/>
      </c>
      <c r="L226" s="157" t="str">
        <f>'график анн'!J221</f>
        <v/>
      </c>
      <c r="M226" s="157">
        <f>'график анн'!K221</f>
        <v>0</v>
      </c>
      <c r="N226" s="157" t="str">
        <f>'график анн'!L221</f>
        <v/>
      </c>
      <c r="O226" s="51" t="str">
        <f>'график анн'!P221</f>
        <v/>
      </c>
      <c r="P226" s="147" t="str">
        <f>'график анн'!Q221</f>
        <v/>
      </c>
    </row>
    <row r="227" spans="1:16" x14ac:dyDescent="0.35">
      <c r="A227" s="154">
        <f>'график анн'!A222</f>
        <v>198</v>
      </c>
      <c r="B227" s="155">
        <f ca="1">'график анн'!C222</f>
        <v>50417</v>
      </c>
      <c r="C227" s="156">
        <f ca="1">'график анн'!D222</f>
        <v>31</v>
      </c>
      <c r="D227" s="47">
        <f ca="1">'график анн'!E222</f>
        <v>1426925.8827834537</v>
      </c>
      <c r="E227" s="47">
        <f ca="1">'график анн'!H222</f>
        <v>41055.931604305733</v>
      </c>
      <c r="F227" s="47">
        <f ca="1">'график анн'!F222</f>
        <v>27345.933468082349</v>
      </c>
      <c r="G227" s="47">
        <f ca="1">'график анн'!G222</f>
        <v>13709.998136223385</v>
      </c>
      <c r="H227" s="157">
        <f>'график анн'!O222</f>
        <v>0</v>
      </c>
      <c r="I227" s="157" t="str">
        <f>'график анн'!M222</f>
        <v/>
      </c>
      <c r="J227" s="224" t="str">
        <f>'график анн'!N222</f>
        <v/>
      </c>
      <c r="K227" s="157" t="str">
        <f>'график анн'!I222</f>
        <v/>
      </c>
      <c r="L227" s="157" t="str">
        <f>'график анн'!J222</f>
        <v/>
      </c>
      <c r="M227" s="157">
        <f>'график анн'!K222</f>
        <v>0</v>
      </c>
      <c r="N227" s="157" t="str">
        <f>'график анн'!L222</f>
        <v/>
      </c>
      <c r="O227" s="51" t="str">
        <f>'график анн'!P222</f>
        <v/>
      </c>
      <c r="P227" s="147" t="str">
        <f>'график анн'!Q222</f>
        <v/>
      </c>
    </row>
    <row r="228" spans="1:16" x14ac:dyDescent="0.35">
      <c r="A228" s="154">
        <f>'график анн'!A223</f>
        <v>199</v>
      </c>
      <c r="B228" s="155">
        <f ca="1">'график анн'!C223</f>
        <v>50448</v>
      </c>
      <c r="C228" s="156">
        <f ca="1">'график анн'!D223</f>
        <v>31</v>
      </c>
      <c r="D228" s="47">
        <f ca="1">'график анн'!E223</f>
        <v>1399322.1483371146</v>
      </c>
      <c r="E228" s="47">
        <f ca="1">'график анн'!H223</f>
        <v>41055.931604305733</v>
      </c>
      <c r="F228" s="47">
        <f ca="1">'график анн'!F223</f>
        <v>27603.734446338982</v>
      </c>
      <c r="G228" s="47">
        <f ca="1">'график анн'!G223</f>
        <v>13452.197157966752</v>
      </c>
      <c r="H228" s="157">
        <f>'график анн'!O223</f>
        <v>0</v>
      </c>
      <c r="I228" s="157" t="str">
        <f>'график анн'!M223</f>
        <v/>
      </c>
      <c r="J228" s="224" t="str">
        <f>'график анн'!N223</f>
        <v/>
      </c>
      <c r="K228" s="157" t="str">
        <f>'график анн'!I223</f>
        <v/>
      </c>
      <c r="L228" s="157" t="str">
        <f>'график анн'!J223</f>
        <v/>
      </c>
      <c r="M228" s="157">
        <f>'график анн'!K223</f>
        <v>0</v>
      </c>
      <c r="N228" s="157" t="str">
        <f>'график анн'!L223</f>
        <v/>
      </c>
      <c r="O228" s="51" t="str">
        <f>'график анн'!P223</f>
        <v/>
      </c>
      <c r="P228" s="147" t="str">
        <f>'график анн'!Q223</f>
        <v/>
      </c>
    </row>
    <row r="229" spans="1:16" x14ac:dyDescent="0.35">
      <c r="A229" s="154">
        <f>'график анн'!A224</f>
        <v>200</v>
      </c>
      <c r="B229" s="155">
        <f ca="1">'график анн'!C224</f>
        <v>50476</v>
      </c>
      <c r="C229" s="156">
        <f ca="1">'график анн'!D224</f>
        <v>28</v>
      </c>
      <c r="D229" s="47">
        <f ca="1">'график анн'!E224</f>
        <v>1370181.5406698822</v>
      </c>
      <c r="E229" s="47">
        <f ca="1">'график анн'!H224</f>
        <v>41055.931604305733</v>
      </c>
      <c r="F229" s="47">
        <f ca="1">'график анн'!F224</f>
        <v>29140.607667232442</v>
      </c>
      <c r="G229" s="47">
        <f ca="1">'график анн'!G224</f>
        <v>11915.323937073294</v>
      </c>
      <c r="H229" s="157">
        <f>'график анн'!O224</f>
        <v>0</v>
      </c>
      <c r="I229" s="157" t="str">
        <f>'график анн'!M224</f>
        <v/>
      </c>
      <c r="J229" s="224" t="str">
        <f>'график анн'!N224</f>
        <v/>
      </c>
      <c r="K229" s="157" t="str">
        <f>'график анн'!I224</f>
        <v/>
      </c>
      <c r="L229" s="157" t="str">
        <f>'график анн'!J224</f>
        <v/>
      </c>
      <c r="M229" s="157">
        <f>'график анн'!K224</f>
        <v>0</v>
      </c>
      <c r="N229" s="157" t="str">
        <f>'график анн'!L224</f>
        <v/>
      </c>
      <c r="O229" s="51" t="str">
        <f>'график анн'!P224</f>
        <v/>
      </c>
      <c r="P229" s="147" t="str">
        <f>'график анн'!Q224</f>
        <v/>
      </c>
    </row>
    <row r="230" spans="1:16" x14ac:dyDescent="0.35">
      <c r="A230" s="154">
        <f>'график анн'!A225</f>
        <v>201</v>
      </c>
      <c r="B230" s="155">
        <f ca="1">'график анн'!C225</f>
        <v>50507</v>
      </c>
      <c r="C230" s="156">
        <f ca="1">'график анн'!D225</f>
        <v>31</v>
      </c>
      <c r="D230" s="47">
        <f ca="1">'график анн'!E225</f>
        <v>1342042.8547681656</v>
      </c>
      <c r="E230" s="47">
        <f ca="1">'график анн'!H225</f>
        <v>41055.931604305733</v>
      </c>
      <c r="F230" s="47">
        <f ca="1">'график анн'!F225</f>
        <v>28138.685901716512</v>
      </c>
      <c r="G230" s="47">
        <f ca="1">'график анн'!G225</f>
        <v>12917.24570258922</v>
      </c>
      <c r="H230" s="157">
        <f>'график анн'!O225</f>
        <v>0</v>
      </c>
      <c r="I230" s="157" t="str">
        <f>'график анн'!M225</f>
        <v/>
      </c>
      <c r="J230" s="224" t="str">
        <f>'график анн'!N225</f>
        <v/>
      </c>
      <c r="K230" s="157" t="str">
        <f>'график анн'!I225</f>
        <v/>
      </c>
      <c r="L230" s="157" t="str">
        <f>'график анн'!J225</f>
        <v/>
      </c>
      <c r="M230" s="157">
        <f>'график анн'!K225</f>
        <v>0</v>
      </c>
      <c r="N230" s="157" t="str">
        <f>'график анн'!L225</f>
        <v/>
      </c>
      <c r="O230" s="51" t="str">
        <f>'график анн'!P225</f>
        <v/>
      </c>
      <c r="P230" s="147" t="str">
        <f>'график анн'!Q225</f>
        <v/>
      </c>
    </row>
    <row r="231" spans="1:16" x14ac:dyDescent="0.35">
      <c r="A231" s="154">
        <f>'график анн'!A226</f>
        <v>202</v>
      </c>
      <c r="B231" s="155">
        <f ca="1">'график анн'!C226</f>
        <v>50537</v>
      </c>
      <c r="C231" s="156">
        <f ca="1">'график анн'!D226</f>
        <v>30</v>
      </c>
      <c r="D231" s="47">
        <f ca="1">'график анн'!E226</f>
        <v>1313230.7661950325</v>
      </c>
      <c r="E231" s="47">
        <f ca="1">'график анн'!H226</f>
        <v>41055.931604305733</v>
      </c>
      <c r="F231" s="47">
        <f ca="1">'график анн'!F226</f>
        <v>28812.088573133155</v>
      </c>
      <c r="G231" s="47">
        <f ca="1">'график анн'!G226</f>
        <v>12243.843031172579</v>
      </c>
      <c r="H231" s="157">
        <f>'график анн'!O226</f>
        <v>0</v>
      </c>
      <c r="I231" s="157" t="str">
        <f>'график анн'!M226</f>
        <v/>
      </c>
      <c r="J231" s="224" t="str">
        <f>'график анн'!N226</f>
        <v/>
      </c>
      <c r="K231" s="157" t="str">
        <f>'график анн'!I226</f>
        <v/>
      </c>
      <c r="L231" s="157" t="str">
        <f>'график анн'!J226</f>
        <v/>
      </c>
      <c r="M231" s="157">
        <f>'график анн'!K226</f>
        <v>0</v>
      </c>
      <c r="N231" s="157" t="str">
        <f>'график анн'!L226</f>
        <v/>
      </c>
      <c r="O231" s="51" t="str">
        <f>'график анн'!P226</f>
        <v/>
      </c>
      <c r="P231" s="147" t="str">
        <f>'график анн'!Q226</f>
        <v/>
      </c>
    </row>
    <row r="232" spans="1:16" x14ac:dyDescent="0.35">
      <c r="A232" s="154">
        <f>'график анн'!A227</f>
        <v>203</v>
      </c>
      <c r="B232" s="155">
        <f ca="1">'график анн'!C227</f>
        <v>50568</v>
      </c>
      <c r="C232" s="156">
        <f ca="1">'график анн'!D227</f>
        <v>31</v>
      </c>
      <c r="D232" s="47">
        <f ca="1">'график анн'!E227</f>
        <v>1284555.1827180614</v>
      </c>
      <c r="E232" s="47">
        <f ca="1">'график анн'!H227</f>
        <v>41055.931604305733</v>
      </c>
      <c r="F232" s="47">
        <f ca="1">'график анн'!F227</f>
        <v>28675.583476971195</v>
      </c>
      <c r="G232" s="47">
        <f ca="1">'график анн'!G227</f>
        <v>12380.348127334539</v>
      </c>
      <c r="H232" s="157">
        <f>'график анн'!O227</f>
        <v>0</v>
      </c>
      <c r="I232" s="157" t="str">
        <f>'график анн'!M227</f>
        <v/>
      </c>
      <c r="J232" s="224" t="str">
        <f>'график анн'!N227</f>
        <v/>
      </c>
      <c r="K232" s="157" t="str">
        <f>'график анн'!I227</f>
        <v/>
      </c>
      <c r="L232" s="157" t="str">
        <f>'график анн'!J227</f>
        <v/>
      </c>
      <c r="M232" s="157">
        <f>'график анн'!K227</f>
        <v>0</v>
      </c>
      <c r="N232" s="157" t="str">
        <f>'график анн'!L227</f>
        <v/>
      </c>
      <c r="O232" s="51" t="str">
        <f>'график анн'!P227</f>
        <v/>
      </c>
      <c r="P232" s="147" t="str">
        <f>'график анн'!Q227</f>
        <v/>
      </c>
    </row>
    <row r="233" spans="1:16" x14ac:dyDescent="0.35">
      <c r="A233" s="154">
        <f>'график анн'!A228</f>
        <v>204</v>
      </c>
      <c r="B233" s="155">
        <f ca="1">'график анн'!C228</f>
        <v>50598</v>
      </c>
      <c r="C233" s="156">
        <f ca="1">'график анн'!D228</f>
        <v>30</v>
      </c>
      <c r="D233" s="47">
        <f ca="1">'график анн'!E228</f>
        <v>1255218.6175752657</v>
      </c>
      <c r="E233" s="47">
        <f ca="1">'график анн'!H228</f>
        <v>41055.931604305733</v>
      </c>
      <c r="F233" s="47">
        <f ca="1">'график анн'!F228</f>
        <v>29336.565142795749</v>
      </c>
      <c r="G233" s="47">
        <f ca="1">'график анн'!G228</f>
        <v>11719.366461509984</v>
      </c>
      <c r="H233" s="157">
        <f>'график анн'!O228</f>
        <v>0</v>
      </c>
      <c r="I233" s="157" t="str">
        <f>'график анн'!M228</f>
        <v/>
      </c>
      <c r="J233" s="224" t="str">
        <f>'график анн'!N228</f>
        <v/>
      </c>
      <c r="K233" s="157" t="str">
        <f>'график анн'!I228</f>
        <v/>
      </c>
      <c r="L233" s="157" t="str">
        <f>'график анн'!J228</f>
        <v/>
      </c>
      <c r="M233" s="157">
        <f>'график анн'!K228</f>
        <v>0</v>
      </c>
      <c r="N233" s="157" t="str">
        <f>'график анн'!L228</f>
        <v/>
      </c>
      <c r="O233" s="51" t="str">
        <f>'график анн'!P228</f>
        <v/>
      </c>
      <c r="P233" s="147" t="str">
        <f>'график анн'!Q228</f>
        <v/>
      </c>
    </row>
    <row r="234" spans="1:16" x14ac:dyDescent="0.35">
      <c r="A234" s="154">
        <f>'график анн'!A229</f>
        <v>205</v>
      </c>
      <c r="B234" s="155">
        <f ca="1">'график анн'!C229</f>
        <v>50629</v>
      </c>
      <c r="C234" s="156">
        <f ca="1">'график анн'!D229</f>
        <v>31</v>
      </c>
      <c r="D234" s="47">
        <f ca="1">'график анн'!E229</f>
        <v>1225996.1305273338</v>
      </c>
      <c r="E234" s="47">
        <f ca="1">'график анн'!H229</f>
        <v>41055.931604305733</v>
      </c>
      <c r="F234" s="47">
        <f ca="1">'график анн'!F229</f>
        <v>29222.487047931791</v>
      </c>
      <c r="G234" s="47">
        <f ca="1">'график анн'!G229</f>
        <v>11833.444556373945</v>
      </c>
      <c r="H234" s="157">
        <f>'график анн'!O229</f>
        <v>0</v>
      </c>
      <c r="I234" s="157" t="str">
        <f>'график анн'!M229</f>
        <v/>
      </c>
      <c r="J234" s="224">
        <f>'график анн'!N229</f>
        <v>2500</v>
      </c>
      <c r="K234" s="157" t="str">
        <f>'график анн'!I229</f>
        <v/>
      </c>
      <c r="L234" s="157" t="str">
        <f>'график анн'!J229</f>
        <v/>
      </c>
      <c r="M234" s="224">
        <f>'график анн'!K229</f>
        <v>17142.858</v>
      </c>
      <c r="N234" s="157" t="str">
        <f>'график анн'!L229</f>
        <v/>
      </c>
      <c r="O234" s="51" t="str">
        <f>'график анн'!P229</f>
        <v/>
      </c>
      <c r="P234" s="147" t="str">
        <f>'график анн'!Q229</f>
        <v/>
      </c>
    </row>
    <row r="235" spans="1:16" x14ac:dyDescent="0.35">
      <c r="A235" s="154">
        <f>'график анн'!A230</f>
        <v>206</v>
      </c>
      <c r="B235" s="155">
        <f ca="1">'график анн'!C230</f>
        <v>50660</v>
      </c>
      <c r="C235" s="156">
        <f ca="1">'график анн'!D230</f>
        <v>31</v>
      </c>
      <c r="D235" s="47">
        <f ca="1">'график анн'!E230</f>
        <v>1196498.151485068</v>
      </c>
      <c r="E235" s="47">
        <f ca="1">'график анн'!H230</f>
        <v>41055.931604305733</v>
      </c>
      <c r="F235" s="47">
        <f ca="1">'график анн'!F230</f>
        <v>29497.979042265855</v>
      </c>
      <c r="G235" s="47">
        <f ca="1">'график анн'!G230</f>
        <v>11557.952562039878</v>
      </c>
      <c r="H235" s="157">
        <f>'график анн'!O230</f>
        <v>0</v>
      </c>
      <c r="I235" s="157" t="str">
        <f>'график анн'!M230</f>
        <v/>
      </c>
      <c r="J235" s="224" t="str">
        <f>'график анн'!N230</f>
        <v/>
      </c>
      <c r="K235" s="157" t="str">
        <f>'график анн'!I230</f>
        <v/>
      </c>
      <c r="L235" s="157" t="str">
        <f>'график анн'!J230</f>
        <v/>
      </c>
      <c r="M235" s="157">
        <f>'график анн'!K230</f>
        <v>0</v>
      </c>
      <c r="N235" s="157" t="str">
        <f>'график анн'!L230</f>
        <v/>
      </c>
      <c r="O235" s="51" t="str">
        <f>'график анн'!P230</f>
        <v/>
      </c>
      <c r="P235" s="147" t="str">
        <f>'график анн'!Q230</f>
        <v/>
      </c>
    </row>
    <row r="236" spans="1:16" x14ac:dyDescent="0.35">
      <c r="A236" s="154">
        <f>'график анн'!A231</f>
        <v>207</v>
      </c>
      <c r="B236" s="155">
        <f ca="1">'график анн'!C231</f>
        <v>50690</v>
      </c>
      <c r="C236" s="156">
        <f ca="1">'график анн'!D231</f>
        <v>30</v>
      </c>
      <c r="D236" s="47">
        <f ca="1">'график анн'!E231</f>
        <v>1166358.216714859</v>
      </c>
      <c r="E236" s="47">
        <f ca="1">'график анн'!H231</f>
        <v>41055.931604305733</v>
      </c>
      <c r="F236" s="47">
        <f ca="1">'график анн'!F231</f>
        <v>30139.934770209082</v>
      </c>
      <c r="G236" s="47">
        <f ca="1">'график анн'!G231</f>
        <v>10915.99683409665</v>
      </c>
      <c r="H236" s="157">
        <f>'график анн'!O231</f>
        <v>0</v>
      </c>
      <c r="I236" s="157" t="str">
        <f>'график анн'!M231</f>
        <v/>
      </c>
      <c r="J236" s="224" t="str">
        <f>'график анн'!N231</f>
        <v/>
      </c>
      <c r="K236" s="157" t="str">
        <f>'график анн'!I231</f>
        <v/>
      </c>
      <c r="L236" s="157" t="str">
        <f>'график анн'!J231</f>
        <v/>
      </c>
      <c r="M236" s="157">
        <f>'график анн'!K231</f>
        <v>0</v>
      </c>
      <c r="N236" s="157" t="str">
        <f>'график анн'!L231</f>
        <v/>
      </c>
      <c r="O236" s="51" t="str">
        <f>'график анн'!P231</f>
        <v/>
      </c>
      <c r="P236" s="147" t="str">
        <f>'график анн'!Q231</f>
        <v/>
      </c>
    </row>
    <row r="237" spans="1:16" x14ac:dyDescent="0.35">
      <c r="A237" s="154">
        <f>'график анн'!A232</f>
        <v>208</v>
      </c>
      <c r="B237" s="155">
        <f ca="1">'график анн'!C232</f>
        <v>50721</v>
      </c>
      <c r="C237" s="156">
        <f ca="1">'график анн'!D232</f>
        <v>31</v>
      </c>
      <c r="D237" s="47">
        <f ca="1">'график анн'!E232</f>
        <v>1136298.007367309</v>
      </c>
      <c r="E237" s="47">
        <f ca="1">'график анн'!H232</f>
        <v>41055.931604305733</v>
      </c>
      <c r="F237" s="47">
        <f ca="1">'график анн'!F232</f>
        <v>30060.209347550037</v>
      </c>
      <c r="G237" s="47">
        <f ca="1">'график анн'!G232</f>
        <v>10995.722256755698</v>
      </c>
      <c r="H237" s="157">
        <f>'график анн'!O232</f>
        <v>0</v>
      </c>
      <c r="I237" s="157" t="str">
        <f>'график анн'!M232</f>
        <v/>
      </c>
      <c r="J237" s="224" t="str">
        <f>'график анн'!N232</f>
        <v/>
      </c>
      <c r="K237" s="157" t="str">
        <f>'график анн'!I232</f>
        <v/>
      </c>
      <c r="L237" s="157" t="str">
        <f>'график анн'!J232</f>
        <v/>
      </c>
      <c r="M237" s="157">
        <f>'график анн'!K232</f>
        <v>0</v>
      </c>
      <c r="N237" s="157" t="str">
        <f>'график анн'!L232</f>
        <v/>
      </c>
      <c r="O237" s="51" t="str">
        <f>'график анн'!P232</f>
        <v/>
      </c>
      <c r="P237" s="147" t="str">
        <f>'график анн'!Q232</f>
        <v/>
      </c>
    </row>
    <row r="238" spans="1:16" x14ac:dyDescent="0.35">
      <c r="A238" s="154">
        <f>'график анн'!A233</f>
        <v>209</v>
      </c>
      <c r="B238" s="155">
        <f ca="1">'график анн'!C233</f>
        <v>50751</v>
      </c>
      <c r="C238" s="156">
        <f ca="1">'график анн'!D233</f>
        <v>30</v>
      </c>
      <c r="D238" s="47">
        <f ca="1">'график анн'!E233</f>
        <v>1105608.8493644639</v>
      </c>
      <c r="E238" s="47">
        <f ca="1">'график анн'!H233</f>
        <v>41055.931604305733</v>
      </c>
      <c r="F238" s="47">
        <f ca="1">'график анн'!F233</f>
        <v>30689.158002845077</v>
      </c>
      <c r="G238" s="47">
        <f ca="1">'график анн'!G233</f>
        <v>10366.773601460654</v>
      </c>
      <c r="H238" s="157">
        <f>'график анн'!O233</f>
        <v>0</v>
      </c>
      <c r="I238" s="157" t="str">
        <f>'график анн'!M233</f>
        <v/>
      </c>
      <c r="J238" s="224" t="str">
        <f>'график анн'!N233</f>
        <v/>
      </c>
      <c r="K238" s="157" t="str">
        <f>'график анн'!I233</f>
        <v/>
      </c>
      <c r="L238" s="157" t="str">
        <f>'график анн'!J233</f>
        <v/>
      </c>
      <c r="M238" s="157">
        <f>'график анн'!K233</f>
        <v>0</v>
      </c>
      <c r="N238" s="157" t="str">
        <f>'график анн'!L233</f>
        <v/>
      </c>
      <c r="O238" s="51" t="str">
        <f>'график анн'!P233</f>
        <v/>
      </c>
      <c r="P238" s="147" t="str">
        <f>'график анн'!Q233</f>
        <v/>
      </c>
    </row>
    <row r="239" spans="1:16" x14ac:dyDescent="0.35">
      <c r="A239" s="154">
        <f>'график анн'!A234</f>
        <v>210</v>
      </c>
      <c r="B239" s="155">
        <f ca="1">'график анн'!C234</f>
        <v>50782</v>
      </c>
      <c r="C239" s="156">
        <f ca="1">'график анн'!D234</f>
        <v>31</v>
      </c>
      <c r="D239" s="47">
        <f ca="1">'график анн'!E234</f>
        <v>1074975.9315975914</v>
      </c>
      <c r="E239" s="47">
        <f ca="1">'график анн'!H234</f>
        <v>41055.931604305733</v>
      </c>
      <c r="F239" s="47">
        <f ca="1">'график анн'!F234</f>
        <v>30632.917766872528</v>
      </c>
      <c r="G239" s="47">
        <f ca="1">'график анн'!G234</f>
        <v>10423.013837433205</v>
      </c>
      <c r="H239" s="157">
        <f>'график анн'!O234</f>
        <v>0</v>
      </c>
      <c r="I239" s="157" t="str">
        <f>'график анн'!M234</f>
        <v/>
      </c>
      <c r="J239" s="224" t="str">
        <f>'график анн'!N234</f>
        <v/>
      </c>
      <c r="K239" s="157" t="str">
        <f>'график анн'!I234</f>
        <v/>
      </c>
      <c r="L239" s="157" t="str">
        <f>'график анн'!J234</f>
        <v/>
      </c>
      <c r="M239" s="157">
        <f>'график анн'!K234</f>
        <v>0</v>
      </c>
      <c r="N239" s="157" t="str">
        <f>'график анн'!L234</f>
        <v/>
      </c>
      <c r="O239" s="51" t="str">
        <f>'график анн'!P234</f>
        <v/>
      </c>
      <c r="P239" s="147" t="str">
        <f>'график анн'!Q234</f>
        <v/>
      </c>
    </row>
    <row r="240" spans="1:16" x14ac:dyDescent="0.35">
      <c r="A240" s="154">
        <f>'график анн'!A235</f>
        <v>211</v>
      </c>
      <c r="B240" s="155">
        <f ca="1">'график анн'!C235</f>
        <v>50813</v>
      </c>
      <c r="C240" s="156">
        <f ca="1">'график анн'!D235</f>
        <v>31</v>
      </c>
      <c r="D240" s="47">
        <f ca="1">'график анн'!E235</f>
        <v>1044054.2251456892</v>
      </c>
      <c r="E240" s="47">
        <f ca="1">'график анн'!H235</f>
        <v>41055.931604305733</v>
      </c>
      <c r="F240" s="47">
        <f ca="1">'график анн'!F235</f>
        <v>30921.706451902137</v>
      </c>
      <c r="G240" s="47">
        <f ca="1">'график анн'!G235</f>
        <v>10134.225152403595</v>
      </c>
      <c r="H240" s="157">
        <f>'график анн'!O235</f>
        <v>0</v>
      </c>
      <c r="I240" s="157" t="str">
        <f>'график анн'!M235</f>
        <v/>
      </c>
      <c r="J240" s="224" t="str">
        <f>'график анн'!N235</f>
        <v/>
      </c>
      <c r="K240" s="157" t="str">
        <f>'график анн'!I235</f>
        <v/>
      </c>
      <c r="L240" s="157" t="str">
        <f>'график анн'!J235</f>
        <v/>
      </c>
      <c r="M240" s="157">
        <f>'график анн'!K235</f>
        <v>0</v>
      </c>
      <c r="N240" s="157" t="str">
        <f>'график анн'!L235</f>
        <v/>
      </c>
      <c r="O240" s="51" t="str">
        <f>'график анн'!P235</f>
        <v/>
      </c>
      <c r="P240" s="147" t="str">
        <f>'график анн'!Q235</f>
        <v/>
      </c>
    </row>
    <row r="241" spans="1:16" x14ac:dyDescent="0.35">
      <c r="A241" s="154">
        <f>'график анн'!A236</f>
        <v>212</v>
      </c>
      <c r="B241" s="155">
        <f ca="1">'график анн'!C236</f>
        <v>50841</v>
      </c>
      <c r="C241" s="156">
        <f ca="1">'график анн'!D236</f>
        <v>28</v>
      </c>
      <c r="D241" s="47">
        <f ca="1">'график анн'!E236</f>
        <v>1011888.4867790624</v>
      </c>
      <c r="E241" s="47">
        <f ca="1">'график анн'!H236</f>
        <v>41055.931604305733</v>
      </c>
      <c r="F241" s="47">
        <f ca="1">'график анн'!F236</f>
        <v>32165.738366626822</v>
      </c>
      <c r="G241" s="47">
        <f ca="1">'график анн'!G236</f>
        <v>8890.19323767891</v>
      </c>
      <c r="H241" s="157">
        <f>'график анн'!O236</f>
        <v>0</v>
      </c>
      <c r="I241" s="157" t="str">
        <f>'график анн'!M236</f>
        <v/>
      </c>
      <c r="J241" s="224" t="str">
        <f>'график анн'!N236</f>
        <v/>
      </c>
      <c r="K241" s="157" t="str">
        <f>'график анн'!I236</f>
        <v/>
      </c>
      <c r="L241" s="157" t="str">
        <f>'график анн'!J236</f>
        <v/>
      </c>
      <c r="M241" s="157">
        <f>'график анн'!K236</f>
        <v>0</v>
      </c>
      <c r="N241" s="157" t="str">
        <f>'график анн'!L236</f>
        <v/>
      </c>
      <c r="O241" s="51" t="str">
        <f>'график анн'!P236</f>
        <v/>
      </c>
      <c r="P241" s="147" t="str">
        <f>'график анн'!Q236</f>
        <v/>
      </c>
    </row>
    <row r="242" spans="1:16" x14ac:dyDescent="0.35">
      <c r="A242" s="154">
        <f>'график анн'!A237</f>
        <v>213</v>
      </c>
      <c r="B242" s="155">
        <f ca="1">'график анн'!C237</f>
        <v>50872</v>
      </c>
      <c r="C242" s="156">
        <f ca="1">'график анн'!D237</f>
        <v>31</v>
      </c>
      <c r="D242" s="47">
        <f ca="1">'график анн'!E237</f>
        <v>980372.02992272039</v>
      </c>
      <c r="E242" s="47">
        <f ca="1">'график анн'!H237</f>
        <v>41055.931604305733</v>
      </c>
      <c r="F242" s="47">
        <f ca="1">'график анн'!F237</f>
        <v>31516.456856342025</v>
      </c>
      <c r="G242" s="47">
        <f ca="1">'график анн'!G237</f>
        <v>9539.4747479637081</v>
      </c>
      <c r="H242" s="157">
        <f>'график анн'!O237</f>
        <v>0</v>
      </c>
      <c r="I242" s="157" t="str">
        <f>'график анн'!M237</f>
        <v/>
      </c>
      <c r="J242" s="224" t="str">
        <f>'график анн'!N237</f>
        <v/>
      </c>
      <c r="K242" s="157" t="str">
        <f>'график анн'!I237</f>
        <v/>
      </c>
      <c r="L242" s="157" t="str">
        <f>'график анн'!J237</f>
        <v/>
      </c>
      <c r="M242" s="157">
        <f>'график анн'!K237</f>
        <v>0</v>
      </c>
      <c r="N242" s="157" t="str">
        <f>'график анн'!L237</f>
        <v/>
      </c>
      <c r="O242" s="51" t="str">
        <f>'график анн'!P237</f>
        <v/>
      </c>
      <c r="P242" s="147" t="str">
        <f>'график анн'!Q237</f>
        <v/>
      </c>
    </row>
    <row r="243" spans="1:16" x14ac:dyDescent="0.35">
      <c r="A243" s="154">
        <f>'график анн'!A238</f>
        <v>214</v>
      </c>
      <c r="B243" s="155">
        <f ca="1">'график анн'!C238</f>
        <v>50902</v>
      </c>
      <c r="C243" s="156">
        <f ca="1">'график анн'!D238</f>
        <v>30</v>
      </c>
      <c r="D243" s="47">
        <f ca="1">'график анн'!E238</f>
        <v>948260.3143722302</v>
      </c>
      <c r="E243" s="47">
        <f ca="1">'график анн'!H238</f>
        <v>41055.931604305733</v>
      </c>
      <c r="F243" s="47">
        <f ca="1">'график анн'!F238</f>
        <v>32111.715550490229</v>
      </c>
      <c r="G243" s="47">
        <f ca="1">'график анн'!G238</f>
        <v>8944.216053815504</v>
      </c>
      <c r="H243" s="157">
        <f>'график анн'!O238</f>
        <v>0</v>
      </c>
      <c r="I243" s="157" t="str">
        <f>'график анн'!M238</f>
        <v/>
      </c>
      <c r="J243" s="224" t="str">
        <f>'график анн'!N238</f>
        <v/>
      </c>
      <c r="K243" s="157" t="str">
        <f>'график анн'!I238</f>
        <v/>
      </c>
      <c r="L243" s="157" t="str">
        <f>'график анн'!J238</f>
        <v/>
      </c>
      <c r="M243" s="157">
        <f>'график анн'!K238</f>
        <v>0</v>
      </c>
      <c r="N243" s="157" t="str">
        <f>'график анн'!L238</f>
        <v/>
      </c>
      <c r="O243" s="51" t="str">
        <f>'график анн'!P238</f>
        <v/>
      </c>
      <c r="P243" s="147" t="str">
        <f>'график анн'!Q238</f>
        <v/>
      </c>
    </row>
    <row r="244" spans="1:16" x14ac:dyDescent="0.35">
      <c r="A244" s="154">
        <f>'график анн'!A239</f>
        <v>215</v>
      </c>
      <c r="B244" s="155">
        <f ca="1">'график анн'!C239</f>
        <v>50933</v>
      </c>
      <c r="C244" s="156">
        <f ca="1">'график анн'!D239</f>
        <v>31</v>
      </c>
      <c r="D244" s="47">
        <f ca="1">'график анн'!E239</f>
        <v>916144.00945766375</v>
      </c>
      <c r="E244" s="47">
        <f ca="1">'график анн'!H239</f>
        <v>41055.931604305733</v>
      </c>
      <c r="F244" s="47">
        <f ca="1">'график анн'!F239</f>
        <v>32116.304914566434</v>
      </c>
      <c r="G244" s="47">
        <f ca="1">'график анн'!G239</f>
        <v>8939.6266897392998</v>
      </c>
      <c r="H244" s="157">
        <f>'график анн'!O239</f>
        <v>0</v>
      </c>
      <c r="I244" s="157" t="str">
        <f>'график анн'!M239</f>
        <v/>
      </c>
      <c r="J244" s="224" t="str">
        <f>'график анн'!N239</f>
        <v/>
      </c>
      <c r="K244" s="157" t="str">
        <f>'график анн'!I239</f>
        <v/>
      </c>
      <c r="L244" s="157" t="str">
        <f>'график анн'!J239</f>
        <v/>
      </c>
      <c r="M244" s="157">
        <f>'график анн'!K239</f>
        <v>0</v>
      </c>
      <c r="N244" s="157" t="str">
        <f>'график анн'!L239</f>
        <v/>
      </c>
      <c r="O244" s="51" t="str">
        <f>'график анн'!P239</f>
        <v/>
      </c>
      <c r="P244" s="147" t="str">
        <f>'график анн'!Q239</f>
        <v/>
      </c>
    </row>
    <row r="245" spans="1:16" x14ac:dyDescent="0.35">
      <c r="A245" s="154">
        <f>'график анн'!A240</f>
        <v>216</v>
      </c>
      <c r="B245" s="155">
        <f ca="1">'график анн'!C240</f>
        <v>50963</v>
      </c>
      <c r="C245" s="156">
        <f ca="1">'график анн'!D240</f>
        <v>30</v>
      </c>
      <c r="D245" s="47">
        <f ca="1">'график анн'!E240</f>
        <v>883446.32319991698</v>
      </c>
      <c r="E245" s="47">
        <f ca="1">'график анн'!H240</f>
        <v>41055.931604305733</v>
      </c>
      <c r="F245" s="47">
        <f ca="1">'график анн'!F240</f>
        <v>32697.686257746776</v>
      </c>
      <c r="G245" s="47">
        <f ca="1">'график анн'!G240</f>
        <v>8358.2453465589588</v>
      </c>
      <c r="H245" s="157">
        <f>'график анн'!O240</f>
        <v>0</v>
      </c>
      <c r="I245" s="157" t="str">
        <f>'график анн'!M240</f>
        <v/>
      </c>
      <c r="J245" s="224" t="str">
        <f>'график анн'!N240</f>
        <v/>
      </c>
      <c r="K245" s="157" t="str">
        <f>'график анн'!I240</f>
        <v/>
      </c>
      <c r="L245" s="157" t="str">
        <f>'график анн'!J240</f>
        <v/>
      </c>
      <c r="M245" s="157">
        <f>'график анн'!K240</f>
        <v>0</v>
      </c>
      <c r="N245" s="157" t="str">
        <f>'график анн'!L240</f>
        <v/>
      </c>
      <c r="O245" s="51" t="str">
        <f>'график анн'!P240</f>
        <v/>
      </c>
      <c r="P245" s="147" t="str">
        <f>'график анн'!Q240</f>
        <v/>
      </c>
    </row>
    <row r="246" spans="1:16" x14ac:dyDescent="0.35">
      <c r="A246" s="154">
        <f>'график анн'!A241</f>
        <v>217</v>
      </c>
      <c r="B246" s="155">
        <f ca="1">'график анн'!C241</f>
        <v>50994</v>
      </c>
      <c r="C246" s="156">
        <f ca="1">'график анн'!D241</f>
        <v>31</v>
      </c>
      <c r="D246" s="47">
        <f ca="1">'график анн'!E241</f>
        <v>850718.9910425453</v>
      </c>
      <c r="E246" s="47">
        <f ca="1">'график анн'!H241</f>
        <v>41055.931604305733</v>
      </c>
      <c r="F246" s="47">
        <f ca="1">'график анн'!F241</f>
        <v>32727.332157371718</v>
      </c>
      <c r="G246" s="47">
        <f ca="1">'график анн'!G241</f>
        <v>8328.599446934013</v>
      </c>
      <c r="H246" s="157">
        <f>'график анн'!O241</f>
        <v>0</v>
      </c>
      <c r="I246" s="157" t="str">
        <f>'график анн'!M241</f>
        <v/>
      </c>
      <c r="J246" s="224">
        <f>'график анн'!N241</f>
        <v>2500</v>
      </c>
      <c r="K246" s="157" t="str">
        <f>'график анн'!I241</f>
        <v/>
      </c>
      <c r="L246" s="157" t="str">
        <f>'график анн'!J241</f>
        <v/>
      </c>
      <c r="M246" s="224">
        <f>'график анн'!K241</f>
        <v>17142.858</v>
      </c>
      <c r="N246" s="157" t="str">
        <f>'график анн'!L241</f>
        <v/>
      </c>
      <c r="O246" s="51" t="str">
        <f>'график анн'!P241</f>
        <v/>
      </c>
      <c r="P246" s="147" t="str">
        <f>'график анн'!Q241</f>
        <v/>
      </c>
    </row>
    <row r="247" spans="1:16" x14ac:dyDescent="0.35">
      <c r="A247" s="154">
        <f>'график анн'!A242</f>
        <v>218</v>
      </c>
      <c r="B247" s="155">
        <f ca="1">'график анн'!C242</f>
        <v>51025</v>
      </c>
      <c r="C247" s="156">
        <f ca="1">'график анн'!D242</f>
        <v>31</v>
      </c>
      <c r="D247" s="47">
        <f ca="1">'график анн'!E242</f>
        <v>817683.12532365706</v>
      </c>
      <c r="E247" s="47">
        <f ca="1">'график анн'!H242</f>
        <v>41055.931604305733</v>
      </c>
      <c r="F247" s="47">
        <f ca="1">'график анн'!F242</f>
        <v>33035.865718888206</v>
      </c>
      <c r="G247" s="47">
        <f ca="1">'график анн'!G242</f>
        <v>8020.0658854175299</v>
      </c>
      <c r="H247" s="157">
        <f>'график анн'!O242</f>
        <v>0</v>
      </c>
      <c r="I247" s="157" t="str">
        <f>'график анн'!M242</f>
        <v/>
      </c>
      <c r="J247" s="224" t="str">
        <f>'график анн'!N242</f>
        <v/>
      </c>
      <c r="K247" s="157" t="str">
        <f>'график анн'!I242</f>
        <v/>
      </c>
      <c r="L247" s="157" t="str">
        <f>'график анн'!J242</f>
        <v/>
      </c>
      <c r="M247" s="157">
        <f>'график анн'!K242</f>
        <v>0</v>
      </c>
      <c r="N247" s="157" t="str">
        <f>'график анн'!L242</f>
        <v/>
      </c>
      <c r="O247" s="51" t="str">
        <f>'график анн'!P242</f>
        <v/>
      </c>
      <c r="P247" s="147" t="str">
        <f>'график анн'!Q242</f>
        <v/>
      </c>
    </row>
    <row r="248" spans="1:16" x14ac:dyDescent="0.35">
      <c r="A248" s="154">
        <f>'график анн'!A243</f>
        <v>219</v>
      </c>
      <c r="B248" s="155">
        <f ca="1">'график анн'!C243</f>
        <v>51055</v>
      </c>
      <c r="C248" s="156">
        <f ca="1">'график анн'!D243</f>
        <v>30</v>
      </c>
      <c r="D248" s="47">
        <f ca="1">'график анн'!E243</f>
        <v>784087.15209559177</v>
      </c>
      <c r="E248" s="47">
        <f ca="1">'график анн'!H243</f>
        <v>41055.931604305733</v>
      </c>
      <c r="F248" s="47">
        <f ca="1">'график анн'!F243</f>
        <v>33595.973228065246</v>
      </c>
      <c r="G248" s="47">
        <f ca="1">'график анн'!G243</f>
        <v>7459.9583762404882</v>
      </c>
      <c r="H248" s="157">
        <f>'график анн'!O243</f>
        <v>0</v>
      </c>
      <c r="I248" s="157" t="str">
        <f>'график анн'!M243</f>
        <v/>
      </c>
      <c r="J248" s="224" t="str">
        <f>'график анн'!N243</f>
        <v/>
      </c>
      <c r="K248" s="157" t="str">
        <f>'график анн'!I243</f>
        <v/>
      </c>
      <c r="L248" s="157" t="str">
        <f>'график анн'!J243</f>
        <v/>
      </c>
      <c r="M248" s="157">
        <f>'график анн'!K243</f>
        <v>0</v>
      </c>
      <c r="N248" s="157" t="str">
        <f>'график анн'!L243</f>
        <v/>
      </c>
      <c r="O248" s="51" t="str">
        <f>'график анн'!P243</f>
        <v/>
      </c>
      <c r="P248" s="147" t="str">
        <f>'график анн'!Q243</f>
        <v/>
      </c>
    </row>
    <row r="249" spans="1:16" x14ac:dyDescent="0.35">
      <c r="A249" s="154">
        <f>'график анн'!A244</f>
        <v>220</v>
      </c>
      <c r="B249" s="155">
        <f ca="1">'график анн'!C244</f>
        <v>51086</v>
      </c>
      <c r="C249" s="156">
        <f ca="1">'график анн'!D244</f>
        <v>31</v>
      </c>
      <c r="D249" s="47">
        <f ca="1">'график анн'!E244</f>
        <v>750423.12156076799</v>
      </c>
      <c r="E249" s="47">
        <f ca="1">'график анн'!H244</f>
        <v>41055.931604305733</v>
      </c>
      <c r="F249" s="47">
        <f ca="1">'график анн'!F244</f>
        <v>33664.030534823731</v>
      </c>
      <c r="G249" s="47">
        <f ca="1">'график анн'!G244</f>
        <v>7391.9010694820026</v>
      </c>
      <c r="H249" s="157">
        <f>'график анн'!O244</f>
        <v>0</v>
      </c>
      <c r="I249" s="157" t="str">
        <f>'график анн'!M244</f>
        <v/>
      </c>
      <c r="J249" s="224" t="str">
        <f>'график анн'!N244</f>
        <v/>
      </c>
      <c r="K249" s="157" t="str">
        <f>'график анн'!I244</f>
        <v/>
      </c>
      <c r="L249" s="157" t="str">
        <f>'график анн'!J244</f>
        <v/>
      </c>
      <c r="M249" s="157">
        <f>'график анн'!K244</f>
        <v>0</v>
      </c>
      <c r="N249" s="157" t="str">
        <f>'график анн'!L244</f>
        <v/>
      </c>
      <c r="O249" s="51" t="str">
        <f>'график анн'!P244</f>
        <v/>
      </c>
      <c r="P249" s="147" t="str">
        <f>'график анн'!Q244</f>
        <v/>
      </c>
    </row>
    <row r="250" spans="1:16" x14ac:dyDescent="0.35">
      <c r="A250" s="154">
        <f>'график анн'!A245</f>
        <v>221</v>
      </c>
      <c r="B250" s="155">
        <f ca="1">'график анн'!C245</f>
        <v>51116</v>
      </c>
      <c r="C250" s="156">
        <f ca="1">'график анн'!D245</f>
        <v>30</v>
      </c>
      <c r="D250" s="47">
        <f ca="1">'график анн'!E245</f>
        <v>716213.51596960565</v>
      </c>
      <c r="E250" s="47">
        <f ca="1">'график анн'!H245</f>
        <v>41055.931604305733</v>
      </c>
      <c r="F250" s="47">
        <f ca="1">'график анн'!F245</f>
        <v>34209.60559116229</v>
      </c>
      <c r="G250" s="47">
        <f ca="1">'график анн'!G245</f>
        <v>6846.3260131434463</v>
      </c>
      <c r="H250" s="157">
        <f>'график анн'!O245</f>
        <v>0</v>
      </c>
      <c r="I250" s="157" t="str">
        <f>'график анн'!M245</f>
        <v/>
      </c>
      <c r="J250" s="224" t="str">
        <f>'график анн'!N245</f>
        <v/>
      </c>
      <c r="K250" s="157" t="str">
        <f>'график анн'!I245</f>
        <v/>
      </c>
      <c r="L250" s="157" t="str">
        <f>'график анн'!J245</f>
        <v/>
      </c>
      <c r="M250" s="157">
        <f>'график анн'!K245</f>
        <v>0</v>
      </c>
      <c r="N250" s="157" t="str">
        <f>'график анн'!L245</f>
        <v/>
      </c>
      <c r="O250" s="51" t="str">
        <f>'график анн'!P245</f>
        <v/>
      </c>
      <c r="P250" s="147" t="str">
        <f>'график анн'!Q245</f>
        <v/>
      </c>
    </row>
    <row r="251" spans="1:16" x14ac:dyDescent="0.35">
      <c r="A251" s="154">
        <f>'график анн'!A246</f>
        <v>222</v>
      </c>
      <c r="B251" s="155">
        <f ca="1">'график анн'!C246</f>
        <v>51147</v>
      </c>
      <c r="C251" s="156">
        <f ca="1">'график анн'!D246</f>
        <v>31</v>
      </c>
      <c r="D251" s="47">
        <f ca="1">'график анн'!E246</f>
        <v>681909.61370352295</v>
      </c>
      <c r="E251" s="47">
        <f ca="1">'график анн'!H246</f>
        <v>41055.931604305733</v>
      </c>
      <c r="F251" s="47">
        <f ca="1">'график анн'!F246</f>
        <v>34303.902266082681</v>
      </c>
      <c r="G251" s="47">
        <f ca="1">'график анн'!G246</f>
        <v>6752.0293382230493</v>
      </c>
      <c r="H251" s="157">
        <f>'график анн'!O246</f>
        <v>0</v>
      </c>
      <c r="I251" s="157" t="str">
        <f>'график анн'!M246</f>
        <v/>
      </c>
      <c r="J251" s="224" t="str">
        <f>'график анн'!N246</f>
        <v/>
      </c>
      <c r="K251" s="157" t="str">
        <f>'график анн'!I246</f>
        <v/>
      </c>
      <c r="L251" s="157" t="str">
        <f>'график анн'!J246</f>
        <v/>
      </c>
      <c r="M251" s="157">
        <f>'график анн'!K246</f>
        <v>0</v>
      </c>
      <c r="N251" s="157" t="str">
        <f>'график анн'!L246</f>
        <v/>
      </c>
      <c r="O251" s="51" t="str">
        <f>'график анн'!P246</f>
        <v/>
      </c>
      <c r="P251" s="147" t="str">
        <f>'график анн'!Q246</f>
        <v/>
      </c>
    </row>
    <row r="252" spans="1:16" x14ac:dyDescent="0.35">
      <c r="A252" s="154">
        <f>'график анн'!A247</f>
        <v>223</v>
      </c>
      <c r="B252" s="155">
        <f ca="1">'график анн'!C247</f>
        <v>51178</v>
      </c>
      <c r="C252" s="156">
        <f ca="1">'график анн'!D247</f>
        <v>31</v>
      </c>
      <c r="D252" s="47">
        <f ca="1">'график анн'!E247</f>
        <v>647264.75035264296</v>
      </c>
      <c r="E252" s="47">
        <f ca="1">'график анн'!H247</f>
        <v>41055.931604305733</v>
      </c>
      <c r="F252" s="47">
        <f ca="1">'график анн'!F247</f>
        <v>34644.86335087999</v>
      </c>
      <c r="G252" s="47">
        <f ca="1">'график анн'!G247</f>
        <v>6411.0682534257448</v>
      </c>
      <c r="H252" s="157">
        <f>'график анн'!O247</f>
        <v>0</v>
      </c>
      <c r="I252" s="157" t="str">
        <f>'график анн'!M247</f>
        <v/>
      </c>
      <c r="J252" s="224" t="str">
        <f>'график анн'!N247</f>
        <v/>
      </c>
      <c r="K252" s="157" t="str">
        <f>'график анн'!I247</f>
        <v/>
      </c>
      <c r="L252" s="157" t="str">
        <f>'график анн'!J247</f>
        <v/>
      </c>
      <c r="M252" s="157">
        <f>'график анн'!K247</f>
        <v>0</v>
      </c>
      <c r="N252" s="157" t="str">
        <f>'график анн'!L247</f>
        <v/>
      </c>
      <c r="O252" s="51" t="str">
        <f>'график анн'!P247</f>
        <v/>
      </c>
      <c r="P252" s="147" t="str">
        <f>'график анн'!Q247</f>
        <v/>
      </c>
    </row>
    <row r="253" spans="1:16" x14ac:dyDescent="0.35">
      <c r="A253" s="154">
        <f>'график анн'!A248</f>
        <v>224</v>
      </c>
      <c r="B253" s="155">
        <f ca="1">'график анн'!C248</f>
        <v>51207</v>
      </c>
      <c r="C253" s="156">
        <f ca="1">'график анн'!D248</f>
        <v>29</v>
      </c>
      <c r="D253" s="47">
        <f ca="1">'график анн'!E248</f>
        <v>611901.56528217648</v>
      </c>
      <c r="E253" s="47">
        <f ca="1">'график анн'!H248</f>
        <v>41055.931604305733</v>
      </c>
      <c r="F253" s="47">
        <f ca="1">'график анн'!F248</f>
        <v>35363.185070466505</v>
      </c>
      <c r="G253" s="47">
        <f ca="1">'график анн'!G248</f>
        <v>5692.7465338392285</v>
      </c>
      <c r="H253" s="157">
        <f>'график анн'!O248</f>
        <v>0</v>
      </c>
      <c r="I253" s="157" t="str">
        <f>'график анн'!M248</f>
        <v/>
      </c>
      <c r="J253" s="224" t="str">
        <f>'график анн'!N248</f>
        <v/>
      </c>
      <c r="K253" s="157" t="str">
        <f>'график анн'!I248</f>
        <v/>
      </c>
      <c r="L253" s="157" t="str">
        <f>'график анн'!J248</f>
        <v/>
      </c>
      <c r="M253" s="157">
        <f>'график анн'!K248</f>
        <v>0</v>
      </c>
      <c r="N253" s="157" t="str">
        <f>'график анн'!L248</f>
        <v/>
      </c>
      <c r="O253" s="51" t="str">
        <f>'график анн'!P248</f>
        <v/>
      </c>
      <c r="P253" s="147" t="str">
        <f>'график анн'!Q248</f>
        <v/>
      </c>
    </row>
    <row r="254" spans="1:16" x14ac:dyDescent="0.35">
      <c r="A254" s="154">
        <f>'график анн'!A249</f>
        <v>225</v>
      </c>
      <c r="B254" s="155">
        <f ca="1">'график анн'!C249</f>
        <v>51238</v>
      </c>
      <c r="C254" s="156">
        <f ca="1">'график анн'!D249</f>
        <v>31</v>
      </c>
      <c r="D254" s="47">
        <f ca="1">'график анн'!E249</f>
        <v>576598.5115088434</v>
      </c>
      <c r="E254" s="47">
        <f ca="1">'график анн'!H249</f>
        <v>41055.931604305733</v>
      </c>
      <c r="F254" s="47">
        <f ca="1">'график анн'!F249</f>
        <v>35303.053773333144</v>
      </c>
      <c r="G254" s="47">
        <f ca="1">'график анн'!G249</f>
        <v>5752.8778309725931</v>
      </c>
      <c r="H254" s="157">
        <f>'график анн'!O249</f>
        <v>0</v>
      </c>
      <c r="I254" s="157" t="str">
        <f>'график анн'!M249</f>
        <v/>
      </c>
      <c r="J254" s="224" t="str">
        <f>'график анн'!N249</f>
        <v/>
      </c>
      <c r="K254" s="157" t="str">
        <f>'график анн'!I249</f>
        <v/>
      </c>
      <c r="L254" s="157" t="str">
        <f>'график анн'!J249</f>
        <v/>
      </c>
      <c r="M254" s="157">
        <f>'график анн'!K249</f>
        <v>0</v>
      </c>
      <c r="N254" s="157" t="str">
        <f>'график анн'!L249</f>
        <v/>
      </c>
      <c r="O254" s="51" t="str">
        <f>'график анн'!P249</f>
        <v/>
      </c>
      <c r="P254" s="147" t="str">
        <f>'график анн'!Q249</f>
        <v/>
      </c>
    </row>
    <row r="255" spans="1:16" x14ac:dyDescent="0.35">
      <c r="A255" s="154">
        <f>'график анн'!A250</f>
        <v>226</v>
      </c>
      <c r="B255" s="155">
        <f ca="1">'график анн'!C250</f>
        <v>51268</v>
      </c>
      <c r="C255" s="156">
        <f ca="1">'график анн'!D250</f>
        <v>30</v>
      </c>
      <c r="D255" s="47">
        <f ca="1">'график анн'!E250</f>
        <v>540788.68111580668</v>
      </c>
      <c r="E255" s="47">
        <f ca="1">'график анн'!H250</f>
        <v>41055.931604305733</v>
      </c>
      <c r="F255" s="47">
        <f ca="1">'график анн'!F250</f>
        <v>35809.830393036747</v>
      </c>
      <c r="G255" s="47">
        <f ca="1">'график анн'!G250</f>
        <v>5246.101211268985</v>
      </c>
      <c r="H255" s="157">
        <f>'график анн'!O250</f>
        <v>0</v>
      </c>
      <c r="I255" s="157" t="str">
        <f>'график анн'!M250</f>
        <v/>
      </c>
      <c r="J255" s="224" t="str">
        <f>'график анн'!N250</f>
        <v/>
      </c>
      <c r="K255" s="157" t="str">
        <f>'график анн'!I250</f>
        <v/>
      </c>
      <c r="L255" s="157" t="str">
        <f>'график анн'!J250</f>
        <v/>
      </c>
      <c r="M255" s="157">
        <f>'график анн'!K250</f>
        <v>0</v>
      </c>
      <c r="N255" s="157" t="str">
        <f>'график анн'!L250</f>
        <v/>
      </c>
      <c r="O255" s="51" t="str">
        <f>'график анн'!P250</f>
        <v/>
      </c>
      <c r="P255" s="147" t="str">
        <f>'график анн'!Q250</f>
        <v/>
      </c>
    </row>
    <row r="256" spans="1:16" x14ac:dyDescent="0.35">
      <c r="A256" s="154">
        <f>'график анн'!A251</f>
        <v>227</v>
      </c>
      <c r="B256" s="155">
        <f ca="1">'график анн'!C251</f>
        <v>51299</v>
      </c>
      <c r="C256" s="156">
        <f ca="1">'график анн'!D251</f>
        <v>31</v>
      </c>
      <c r="D256" s="47">
        <f ca="1">'график анн'!E251</f>
        <v>504817.04965281102</v>
      </c>
      <c r="E256" s="47">
        <f ca="1">'график анн'!H251</f>
        <v>41055.931604305733</v>
      </c>
      <c r="F256" s="47">
        <f ca="1">'график анн'!F251</f>
        <v>35971.631462995647</v>
      </c>
      <c r="G256" s="47">
        <f ca="1">'график анн'!G251</f>
        <v>5084.3001413100847</v>
      </c>
      <c r="H256" s="157">
        <f>'график анн'!O251</f>
        <v>0</v>
      </c>
      <c r="I256" s="157" t="str">
        <f>'график анн'!M251</f>
        <v/>
      </c>
      <c r="J256" s="224" t="str">
        <f>'график анн'!N251</f>
        <v/>
      </c>
      <c r="K256" s="157" t="str">
        <f>'график анн'!I251</f>
        <v/>
      </c>
      <c r="L256" s="157" t="str">
        <f>'график анн'!J251</f>
        <v/>
      </c>
      <c r="M256" s="157">
        <f>'график анн'!K251</f>
        <v>0</v>
      </c>
      <c r="N256" s="157" t="str">
        <f>'график анн'!L251</f>
        <v/>
      </c>
      <c r="O256" s="51" t="str">
        <f>'график анн'!P251</f>
        <v/>
      </c>
      <c r="P256" s="147" t="str">
        <f>'график анн'!Q251</f>
        <v/>
      </c>
    </row>
    <row r="257" spans="1:16" x14ac:dyDescent="0.35">
      <c r="A257" s="154">
        <f>'график анн'!A252</f>
        <v>228</v>
      </c>
      <c r="B257" s="155">
        <f ca="1">'график анн'!C252</f>
        <v>51329</v>
      </c>
      <c r="C257" s="156">
        <f ca="1">'график анн'!D252</f>
        <v>30</v>
      </c>
      <c r="D257" s="47">
        <f ca="1">'график анн'!E252</f>
        <v>468354.12563141203</v>
      </c>
      <c r="E257" s="47">
        <f ca="1">'график анн'!H252</f>
        <v>41055.931604305733</v>
      </c>
      <c r="F257" s="47">
        <f ca="1">'график анн'!F252</f>
        <v>36462.924021399012</v>
      </c>
      <c r="G257" s="47">
        <f ca="1">'график анн'!G252</f>
        <v>4593.0075829067237</v>
      </c>
      <c r="H257" s="157">
        <f>'график анн'!O252</f>
        <v>0</v>
      </c>
      <c r="I257" s="157" t="str">
        <f>'график анн'!M252</f>
        <v/>
      </c>
      <c r="J257" s="224" t="str">
        <f>'график анн'!N252</f>
        <v/>
      </c>
      <c r="K257" s="157" t="str">
        <f>'график анн'!I252</f>
        <v/>
      </c>
      <c r="L257" s="157" t="str">
        <f>'график анн'!J252</f>
        <v/>
      </c>
      <c r="M257" s="157">
        <f>'график анн'!K252</f>
        <v>0</v>
      </c>
      <c r="N257" s="157" t="str">
        <f>'график анн'!L252</f>
        <v/>
      </c>
      <c r="O257" s="51" t="str">
        <f>'график анн'!P252</f>
        <v/>
      </c>
      <c r="P257" s="147" t="str">
        <f>'график анн'!Q252</f>
        <v/>
      </c>
    </row>
    <row r="258" spans="1:16" x14ac:dyDescent="0.35">
      <c r="A258" s="154">
        <f>'график анн'!A253</f>
        <v>229</v>
      </c>
      <c r="B258" s="155">
        <f ca="1">'график анн'!C253</f>
        <v>51360</v>
      </c>
      <c r="C258" s="156">
        <f ca="1">'график анн'!D253</f>
        <v>31</v>
      </c>
      <c r="D258" s="47">
        <f ca="1">'график анн'!E253</f>
        <v>431701.49060169014</v>
      </c>
      <c r="E258" s="47">
        <f ca="1">'график анн'!H253</f>
        <v>41055.931604305733</v>
      </c>
      <c r="F258" s="47">
        <f ca="1">'график анн'!F253</f>
        <v>36652.635029721881</v>
      </c>
      <c r="G258" s="47">
        <f ca="1">'график анн'!G253</f>
        <v>4403.2965745838492</v>
      </c>
      <c r="H258" s="157">
        <f>'график анн'!O253</f>
        <v>0</v>
      </c>
      <c r="I258" s="157" t="str">
        <f>'график анн'!M253</f>
        <v/>
      </c>
      <c r="J258" s="224">
        <f>'график анн'!N253</f>
        <v>2500</v>
      </c>
      <c r="K258" s="157" t="str">
        <f>'график анн'!I253</f>
        <v/>
      </c>
      <c r="L258" s="157" t="str">
        <f>'график анн'!J253</f>
        <v/>
      </c>
      <c r="M258" s="224">
        <f>'график анн'!K253</f>
        <v>17142.858</v>
      </c>
      <c r="N258" s="157" t="str">
        <f>'график анн'!L253</f>
        <v/>
      </c>
      <c r="O258" s="51" t="str">
        <f>'график анн'!P253</f>
        <v/>
      </c>
      <c r="P258" s="147" t="str">
        <f>'график анн'!Q253</f>
        <v/>
      </c>
    </row>
    <row r="259" spans="1:16" x14ac:dyDescent="0.35">
      <c r="A259" s="154">
        <f>'график анн'!A254</f>
        <v>230</v>
      </c>
      <c r="B259" s="155">
        <f ca="1">'график анн'!C254</f>
        <v>51391</v>
      </c>
      <c r="C259" s="156">
        <f ca="1">'график анн'!D254</f>
        <v>31</v>
      </c>
      <c r="D259" s="47">
        <f ca="1">'график анн'!E254</f>
        <v>394704.26071640191</v>
      </c>
      <c r="E259" s="47">
        <f ca="1">'график анн'!H254</f>
        <v>41055.931604305733</v>
      </c>
      <c r="F259" s="47">
        <f ca="1">'график анн'!F254</f>
        <v>36997.229885288201</v>
      </c>
      <c r="G259" s="47">
        <f ca="1">'график анн'!G254</f>
        <v>4058.7017190175293</v>
      </c>
      <c r="H259" s="157">
        <f>'график анн'!O254</f>
        <v>0</v>
      </c>
      <c r="I259" s="157" t="str">
        <f>'график анн'!M254</f>
        <v/>
      </c>
      <c r="J259" s="224" t="str">
        <f>'график анн'!N254</f>
        <v/>
      </c>
      <c r="K259" s="157" t="str">
        <f>'график анн'!I254</f>
        <v/>
      </c>
      <c r="L259" s="157" t="str">
        <f>'график анн'!J254</f>
        <v/>
      </c>
      <c r="M259" s="224" t="str">
        <f>'график анн'!K254</f>
        <v/>
      </c>
      <c r="N259" s="157" t="str">
        <f>'график анн'!L254</f>
        <v/>
      </c>
      <c r="O259" s="51" t="str">
        <f>'график анн'!P254</f>
        <v/>
      </c>
      <c r="P259" s="147" t="str">
        <f>'график анн'!Q254</f>
        <v/>
      </c>
    </row>
    <row r="260" spans="1:16" x14ac:dyDescent="0.35">
      <c r="A260" s="154">
        <f>'график анн'!A255</f>
        <v>231</v>
      </c>
      <c r="B260" s="155">
        <f ca="1">'график анн'!C255</f>
        <v>51421</v>
      </c>
      <c r="C260" s="156">
        <f ca="1">'график анн'!D255</f>
        <v>30</v>
      </c>
      <c r="D260" s="47">
        <f ca="1">'график анн'!E255</f>
        <v>357239.4908284503</v>
      </c>
      <c r="E260" s="47">
        <f ca="1">'график анн'!H255</f>
        <v>41055.931604305733</v>
      </c>
      <c r="F260" s="47">
        <f ca="1">'график анн'!F255</f>
        <v>37464.769887951581</v>
      </c>
      <c r="G260" s="47">
        <f ca="1">'график анн'!G255</f>
        <v>3591.1617163541487</v>
      </c>
      <c r="H260" s="157">
        <f>'график анн'!O255</f>
        <v>0</v>
      </c>
      <c r="I260" s="157" t="str">
        <f>'график анн'!M255</f>
        <v/>
      </c>
      <c r="J260" s="224" t="str">
        <f>'график анн'!N255</f>
        <v/>
      </c>
      <c r="K260" s="157" t="str">
        <f>'график анн'!I255</f>
        <v/>
      </c>
      <c r="L260" s="157" t="str">
        <f>'график анн'!J255</f>
        <v/>
      </c>
      <c r="M260" s="224" t="str">
        <f>'график анн'!K255</f>
        <v/>
      </c>
      <c r="N260" s="157" t="str">
        <f>'график анн'!L255</f>
        <v/>
      </c>
      <c r="O260" s="51" t="str">
        <f>'график анн'!P255</f>
        <v/>
      </c>
      <c r="P260" s="147" t="str">
        <f>'график анн'!Q255</f>
        <v/>
      </c>
    </row>
    <row r="261" spans="1:16" x14ac:dyDescent="0.35">
      <c r="A261" s="154">
        <f>'график анн'!A256</f>
        <v>232</v>
      </c>
      <c r="B261" s="155">
        <f ca="1">'график анн'!C256</f>
        <v>51452</v>
      </c>
      <c r="C261" s="156">
        <f ca="1">'график анн'!D256</f>
        <v>31</v>
      </c>
      <c r="D261" s="47">
        <f ca="1">'график анн'!E256</f>
        <v>319542.19607644156</v>
      </c>
      <c r="E261" s="47">
        <f ca="1">'график анн'!H256</f>
        <v>41055.931604305733</v>
      </c>
      <c r="F261" s="47">
        <f ca="1">'график анн'!F256</f>
        <v>37697.294752008747</v>
      </c>
      <c r="G261" s="47">
        <f ca="1">'график анн'!G256</f>
        <v>3358.6368522969879</v>
      </c>
      <c r="H261" s="157">
        <f>'график анн'!O256</f>
        <v>0</v>
      </c>
      <c r="I261" s="157" t="str">
        <f>'график анн'!M256</f>
        <v/>
      </c>
      <c r="J261" s="224" t="str">
        <f>'график анн'!N256</f>
        <v/>
      </c>
      <c r="K261" s="157" t="str">
        <f>'график анн'!I256</f>
        <v/>
      </c>
      <c r="L261" s="157" t="str">
        <f>'график анн'!J256</f>
        <v/>
      </c>
      <c r="M261" s="224" t="str">
        <f>'график анн'!K256</f>
        <v/>
      </c>
      <c r="N261" s="157" t="str">
        <f>'график анн'!L256</f>
        <v/>
      </c>
      <c r="O261" s="51" t="str">
        <f>'график анн'!P256</f>
        <v/>
      </c>
      <c r="P261" s="147" t="str">
        <f>'график анн'!Q256</f>
        <v/>
      </c>
    </row>
    <row r="262" spans="1:16" x14ac:dyDescent="0.35">
      <c r="A262" s="154">
        <f>'график анн'!A257</f>
        <v>233</v>
      </c>
      <c r="B262" s="155">
        <f ca="1">'график анн'!C257</f>
        <v>51482</v>
      </c>
      <c r="C262" s="156">
        <f ca="1">'график анн'!D257</f>
        <v>30</v>
      </c>
      <c r="D262" s="47">
        <f ca="1">'график анн'!E257</f>
        <v>281393.57461676572</v>
      </c>
      <c r="E262" s="47">
        <f ca="1">'график анн'!H257</f>
        <v>41055.931604305733</v>
      </c>
      <c r="F262" s="47">
        <f ca="1">'график анн'!F257</f>
        <v>38148.621459675815</v>
      </c>
      <c r="G262" s="47">
        <f ca="1">'график анн'!G257</f>
        <v>2907.3101446299193</v>
      </c>
      <c r="H262" s="157">
        <f>'график анн'!O257</f>
        <v>0</v>
      </c>
      <c r="I262" s="157" t="str">
        <f>'график анн'!M257</f>
        <v/>
      </c>
      <c r="J262" s="224" t="str">
        <f>'график анн'!N257</f>
        <v/>
      </c>
      <c r="K262" s="157" t="str">
        <f>'график анн'!I257</f>
        <v/>
      </c>
      <c r="L262" s="157" t="str">
        <f>'график анн'!J257</f>
        <v/>
      </c>
      <c r="M262" s="224" t="str">
        <f>'график анн'!K257</f>
        <v/>
      </c>
      <c r="N262" s="157" t="str">
        <f>'график анн'!L257</f>
        <v/>
      </c>
      <c r="O262" s="51" t="str">
        <f>'график анн'!P257</f>
        <v/>
      </c>
      <c r="P262" s="147" t="str">
        <f>'график анн'!Q257</f>
        <v/>
      </c>
    </row>
    <row r="263" spans="1:16" x14ac:dyDescent="0.35">
      <c r="A263" s="154">
        <f>'график анн'!A258</f>
        <v>234</v>
      </c>
      <c r="B263" s="155">
        <f ca="1">'график анн'!C258</f>
        <v>51513</v>
      </c>
      <c r="C263" s="156">
        <f ca="1">'график анн'!D258</f>
        <v>31</v>
      </c>
      <c r="D263" s="47">
        <f ca="1">'график анн'!E258</f>
        <v>242983.20391479958</v>
      </c>
      <c r="E263" s="47">
        <f ca="1">'график анн'!H258</f>
        <v>41055.931604305733</v>
      </c>
      <c r="F263" s="47">
        <f ca="1">'график анн'!F258</f>
        <v>38410.370701966138</v>
      </c>
      <c r="G263" s="47">
        <f ca="1">'график анн'!G258</f>
        <v>2645.5609023395923</v>
      </c>
      <c r="H263" s="157">
        <f>'график анн'!O258</f>
        <v>0</v>
      </c>
      <c r="I263" s="157" t="str">
        <f>'график анн'!M258</f>
        <v/>
      </c>
      <c r="J263" s="224" t="str">
        <f>'график анн'!N258</f>
        <v/>
      </c>
      <c r="K263" s="157" t="str">
        <f>'график анн'!I258</f>
        <v/>
      </c>
      <c r="L263" s="157" t="str">
        <f>'график анн'!J258</f>
        <v/>
      </c>
      <c r="M263" s="224" t="str">
        <f>'график анн'!K258</f>
        <v/>
      </c>
      <c r="N263" s="157" t="str">
        <f>'график анн'!L258</f>
        <v/>
      </c>
      <c r="O263" s="51" t="str">
        <f>'график анн'!P258</f>
        <v/>
      </c>
      <c r="P263" s="147" t="str">
        <f>'график анн'!Q258</f>
        <v/>
      </c>
    </row>
    <row r="264" spans="1:16" x14ac:dyDescent="0.35">
      <c r="A264" s="154">
        <f>'график анн'!A259</f>
        <v>235</v>
      </c>
      <c r="B264" s="155">
        <f ca="1">'график анн'!C259</f>
        <v>51544</v>
      </c>
      <c r="C264" s="156">
        <f ca="1">'график анн'!D259</f>
        <v>31</v>
      </c>
      <c r="D264" s="47">
        <f ca="1">'график анн'!E259</f>
        <v>204217.97150137281</v>
      </c>
      <c r="E264" s="47">
        <f ca="1">'график анн'!H259</f>
        <v>41055.931604305733</v>
      </c>
      <c r="F264" s="47">
        <f ca="1">'график анн'!F259</f>
        <v>38765.232413426762</v>
      </c>
      <c r="G264" s="47">
        <f ca="1">'график анн'!G259</f>
        <v>2290.6991908789737</v>
      </c>
      <c r="H264" s="157">
        <f>'график анн'!O259</f>
        <v>0</v>
      </c>
      <c r="I264" s="157" t="str">
        <f>'график анн'!M259</f>
        <v/>
      </c>
      <c r="J264" s="224" t="str">
        <f>'график анн'!N259</f>
        <v/>
      </c>
      <c r="K264" s="157" t="str">
        <f>'график анн'!I259</f>
        <v/>
      </c>
      <c r="L264" s="157" t="str">
        <f>'график анн'!J259</f>
        <v/>
      </c>
      <c r="M264" s="224" t="str">
        <f>'график анн'!K259</f>
        <v/>
      </c>
      <c r="N264" s="157" t="str">
        <f>'график анн'!L259</f>
        <v/>
      </c>
      <c r="O264" s="51" t="str">
        <f>'график анн'!P259</f>
        <v/>
      </c>
      <c r="P264" s="147" t="str">
        <f>'график анн'!Q259</f>
        <v/>
      </c>
    </row>
    <row r="265" spans="1:16" x14ac:dyDescent="0.35">
      <c r="A265" s="154">
        <f>'график анн'!A260</f>
        <v>236</v>
      </c>
      <c r="B265" s="155">
        <f ca="1">'график анн'!C260</f>
        <v>51572</v>
      </c>
      <c r="C265" s="156">
        <f ca="1">'график анн'!D260</f>
        <v>28</v>
      </c>
      <c r="D265" s="47">
        <f ca="1">'график анн'!E260</f>
        <v>164900.96991193356</v>
      </c>
      <c r="E265" s="47">
        <f ca="1">'график анн'!H260</f>
        <v>41055.931604305733</v>
      </c>
      <c r="F265" s="47">
        <f ca="1">'график анн'!F260</f>
        <v>39317.001589439249</v>
      </c>
      <c r="G265" s="47">
        <f ca="1">'график анн'!G260</f>
        <v>1738.9300148664843</v>
      </c>
      <c r="H265" s="157">
        <f>'график анн'!O260</f>
        <v>0</v>
      </c>
      <c r="I265" s="157" t="str">
        <f>'график анн'!M260</f>
        <v/>
      </c>
      <c r="J265" s="224" t="str">
        <f>'график анн'!N260</f>
        <v/>
      </c>
      <c r="K265" s="157" t="str">
        <f>'график анн'!I260</f>
        <v/>
      </c>
      <c r="L265" s="157" t="str">
        <f>'график анн'!J260</f>
        <v/>
      </c>
      <c r="M265" s="224" t="str">
        <f>'график анн'!K260</f>
        <v/>
      </c>
      <c r="N265" s="157" t="str">
        <f>'график анн'!L260</f>
        <v/>
      </c>
      <c r="O265" s="51" t="str">
        <f>'график анн'!P260</f>
        <v/>
      </c>
      <c r="P265" s="147" t="str">
        <f>'график анн'!Q260</f>
        <v/>
      </c>
    </row>
    <row r="266" spans="1:16" x14ac:dyDescent="0.35">
      <c r="A266" s="154">
        <f>'график анн'!A261</f>
        <v>237</v>
      </c>
      <c r="B266" s="155">
        <f ca="1">'график анн'!C261</f>
        <v>51603</v>
      </c>
      <c r="C266" s="156">
        <f ca="1">'график анн'!D261</f>
        <v>31</v>
      </c>
      <c r="D266" s="47">
        <f ca="1">'график анн'!E261</f>
        <v>125399.62525959211</v>
      </c>
      <c r="E266" s="47">
        <f ca="1">'график анн'!H261</f>
        <v>41055.931604305733</v>
      </c>
      <c r="F266" s="47">
        <f ca="1">'график анн'!F261</f>
        <v>39501.344652341453</v>
      </c>
      <c r="G266" s="47">
        <f ca="1">'график анн'!G261</f>
        <v>1554.5869519642831</v>
      </c>
      <c r="H266" s="157">
        <f>'график анн'!O261</f>
        <v>0</v>
      </c>
      <c r="I266" s="157" t="str">
        <f>'график анн'!M261</f>
        <v/>
      </c>
      <c r="J266" s="224" t="str">
        <f>'график анн'!N261</f>
        <v/>
      </c>
      <c r="K266" s="157" t="str">
        <f>'график анн'!I261</f>
        <v/>
      </c>
      <c r="L266" s="157" t="str">
        <f>'график анн'!J261</f>
        <v/>
      </c>
      <c r="M266" s="224" t="str">
        <f>'график анн'!K261</f>
        <v/>
      </c>
      <c r="N266" s="157" t="str">
        <f>'график анн'!L261</f>
        <v/>
      </c>
      <c r="O266" s="51" t="str">
        <f>'график анн'!P261</f>
        <v/>
      </c>
      <c r="P266" s="147" t="str">
        <f>'график анн'!Q261</f>
        <v/>
      </c>
    </row>
    <row r="267" spans="1:16" x14ac:dyDescent="0.35">
      <c r="A267" s="154">
        <f>'график анн'!A262</f>
        <v>238</v>
      </c>
      <c r="B267" s="155">
        <f ca="1">'график анн'!C262</f>
        <v>51633</v>
      </c>
      <c r="C267" s="156">
        <f ca="1">'график анн'!D262</f>
        <v>30</v>
      </c>
      <c r="D267" s="47">
        <f ca="1">'график анн'!E262</f>
        <v>85487.750510394428</v>
      </c>
      <c r="E267" s="47">
        <f ca="1">'график анн'!H262</f>
        <v>41055.931604305733</v>
      </c>
      <c r="F267" s="47">
        <f ca="1">'график анн'!F262</f>
        <v>39911.874749197676</v>
      </c>
      <c r="G267" s="47">
        <f ca="1">'график анн'!G262</f>
        <v>1144.0568551080594</v>
      </c>
      <c r="H267" s="157">
        <f>'график анн'!O262</f>
        <v>0</v>
      </c>
      <c r="I267" s="157" t="str">
        <f>'график анн'!M262</f>
        <v/>
      </c>
      <c r="J267" s="224" t="str">
        <f>'график анн'!N262</f>
        <v/>
      </c>
      <c r="K267" s="157" t="str">
        <f>'график анн'!I262</f>
        <v/>
      </c>
      <c r="L267" s="157" t="str">
        <f>'график анн'!J262</f>
        <v/>
      </c>
      <c r="M267" s="224" t="str">
        <f>'график анн'!K262</f>
        <v/>
      </c>
      <c r="N267" s="157" t="str">
        <f>'график анн'!L262</f>
        <v/>
      </c>
      <c r="O267" s="51" t="str">
        <f>'график анн'!P262</f>
        <v/>
      </c>
      <c r="P267" s="147" t="str">
        <f>'график анн'!Q262</f>
        <v/>
      </c>
    </row>
    <row r="268" spans="1:16" x14ac:dyDescent="0.35">
      <c r="A268" s="154">
        <f>'график анн'!A263</f>
        <v>239</v>
      </c>
      <c r="B268" s="155">
        <f ca="1">'график анн'!C263</f>
        <v>51664</v>
      </c>
      <c r="C268" s="156">
        <f ca="1">'график анн'!D263</f>
        <v>31</v>
      </c>
      <c r="D268" s="47">
        <f ca="1">'график анн'!E263</f>
        <v>45237.745891037375</v>
      </c>
      <c r="E268" s="47">
        <f ca="1">'график анн'!H263</f>
        <v>41055.931604305733</v>
      </c>
      <c r="F268" s="47">
        <f ca="1">'график анн'!F263</f>
        <v>40250.004619357052</v>
      </c>
      <c r="G268" s="47">
        <f ca="1">'график анн'!G263</f>
        <v>805.92698494867739</v>
      </c>
      <c r="H268" s="157">
        <f>'график анн'!O263</f>
        <v>0</v>
      </c>
      <c r="I268" s="157" t="str">
        <f>'график анн'!M263</f>
        <v/>
      </c>
      <c r="J268" s="224" t="str">
        <f>'график анн'!N263</f>
        <v/>
      </c>
      <c r="K268" s="157" t="str">
        <f>'график анн'!I263</f>
        <v/>
      </c>
      <c r="L268" s="157" t="str">
        <f>'график анн'!J263</f>
        <v/>
      </c>
      <c r="M268" s="224" t="str">
        <f>'график анн'!K263</f>
        <v/>
      </c>
      <c r="N268" s="157" t="str">
        <f>'график анн'!L263</f>
        <v/>
      </c>
      <c r="O268" s="51" t="str">
        <f>'график анн'!P263</f>
        <v/>
      </c>
      <c r="P268" s="147" t="str">
        <f>'график анн'!Q263</f>
        <v/>
      </c>
    </row>
    <row r="269" spans="1:16" x14ac:dyDescent="0.35">
      <c r="A269" s="154">
        <f>'график анн'!A264</f>
        <v>240</v>
      </c>
      <c r="B269" s="155">
        <f ca="1">'график анн'!C264</f>
        <v>51693</v>
      </c>
      <c r="C269" s="156">
        <f ca="1">'график анн'!D264</f>
        <v>29</v>
      </c>
      <c r="D269" s="47">
        <f ca="1">'график анн'!E264</f>
        <v>4.4383341446518898E-10</v>
      </c>
      <c r="E269" s="47">
        <f ca="1">'график анн'!H264</f>
        <v>45636.705628086929</v>
      </c>
      <c r="F269" s="47">
        <f ca="1">'график анн'!F264</f>
        <v>45237.745891036931</v>
      </c>
      <c r="G269" s="47">
        <f ca="1">'график анн'!G264</f>
        <v>398.95973704999813</v>
      </c>
      <c r="H269" s="157">
        <f>'график анн'!O264</f>
        <v>0</v>
      </c>
      <c r="I269" s="157" t="str">
        <f>'график анн'!M264</f>
        <v/>
      </c>
      <c r="J269" s="224" t="str">
        <f>'график анн'!N264</f>
        <v/>
      </c>
      <c r="K269" s="157" t="str">
        <f>'график анн'!I264</f>
        <v/>
      </c>
      <c r="L269" s="157" t="str">
        <f>'график анн'!J264</f>
        <v/>
      </c>
      <c r="M269" s="224" t="str">
        <f>'график анн'!K264</f>
        <v/>
      </c>
      <c r="N269" s="157" t="str">
        <f>'график анн'!L264</f>
        <v/>
      </c>
      <c r="O269" s="51" t="str">
        <f>'график анн'!P264</f>
        <v/>
      </c>
      <c r="P269" s="147" t="str">
        <f>'график анн'!Q264</f>
        <v/>
      </c>
    </row>
    <row r="270" spans="1:16" x14ac:dyDescent="0.35">
      <c r="A270" s="154" t="str">
        <f>'график анн'!A265</f>
        <v/>
      </c>
      <c r="B270" s="155"/>
      <c r="C270" s="156"/>
      <c r="D270" s="47" t="str">
        <f>'график анн'!E265</f>
        <v/>
      </c>
      <c r="E270" s="47">
        <f ca="1">'график анн'!H265</f>
        <v>9709110.5268276371</v>
      </c>
      <c r="F270" s="47">
        <f ca="1">'график анн'!F265</f>
        <v>4000000</v>
      </c>
      <c r="G270" s="47">
        <f ca="1">'график анн'!G265</f>
        <v>5709110.5268276939</v>
      </c>
      <c r="H270" s="224">
        <f>'график анн'!O265</f>
        <v>0</v>
      </c>
      <c r="I270" s="224">
        <f>'график анн'!M265</f>
        <v>119600</v>
      </c>
      <c r="J270" s="224">
        <f>'график анн'!N265</f>
        <v>50000</v>
      </c>
      <c r="K270" s="224">
        <f>'график анн'!I265</f>
        <v>10000</v>
      </c>
      <c r="L270" s="224">
        <f>'график анн'!J265</f>
        <v>2000</v>
      </c>
      <c r="M270" s="224">
        <f>'график анн'!K265</f>
        <v>342857.16000000003</v>
      </c>
      <c r="N270" s="224">
        <f>'график анн'!L265</f>
        <v>0</v>
      </c>
      <c r="O270" s="51">
        <f ca="1">'график анн'!P265</f>
        <v>0.12249302268028259</v>
      </c>
      <c r="P270" s="147">
        <f ca="1">'график анн'!Q265</f>
        <v>10233567.686827693</v>
      </c>
    </row>
  </sheetData>
  <mergeCells count="32">
    <mergeCell ref="G22:G28"/>
    <mergeCell ref="I22:I27"/>
    <mergeCell ref="H22:H28"/>
    <mergeCell ref="O21:O28"/>
    <mergeCell ref="J22:J23"/>
    <mergeCell ref="K21:L21"/>
    <mergeCell ref="K22:K23"/>
    <mergeCell ref="L22:L23"/>
    <mergeCell ref="M22:M23"/>
    <mergeCell ref="N22:N23"/>
    <mergeCell ref="A2:P2"/>
    <mergeCell ref="E4:F4"/>
    <mergeCell ref="E5:F5"/>
    <mergeCell ref="E6:F6"/>
    <mergeCell ref="P5:P6"/>
    <mergeCell ref="N5:O6"/>
    <mergeCell ref="N7:O8"/>
    <mergeCell ref="P7:P8"/>
    <mergeCell ref="A16:B16"/>
    <mergeCell ref="A21:A28"/>
    <mergeCell ref="B21:B28"/>
    <mergeCell ref="E7:F7"/>
    <mergeCell ref="E8:F8"/>
    <mergeCell ref="A15:F15"/>
    <mergeCell ref="C21:C28"/>
    <mergeCell ref="D21:D28"/>
    <mergeCell ref="E21:E28"/>
    <mergeCell ref="E10:F10"/>
    <mergeCell ref="E12:F12"/>
    <mergeCell ref="E13:F13"/>
    <mergeCell ref="P21:P28"/>
    <mergeCell ref="F22:F28"/>
  </mergeCells>
  <pageMargins left="0.25" right="0.25" top="0.75" bottom="0.75" header="0.3" footer="0.3"/>
  <pageSetup paperSize="9" scale="95" fitToHeight="0" orientation="landscape" r:id="rId1"/>
  <ignoredErrors>
    <ignoredError sqref="E4:E5 E7:E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RowHeight="14.5" x14ac:dyDescent="0.35"/>
  <cols>
    <col min="2" max="2" width="60.1796875" customWidth="1"/>
    <col min="3" max="3" width="26.7265625" bestFit="1" customWidth="1"/>
    <col min="4" max="4" width="19.26953125" bestFit="1" customWidth="1"/>
    <col min="6" max="6" width="50.7265625" customWidth="1"/>
    <col min="7" max="7" width="46.54296875" bestFit="1" customWidth="1"/>
  </cols>
  <sheetData>
    <row r="1" spans="1:10" x14ac:dyDescent="0.35">
      <c r="A1" s="250"/>
      <c r="B1" s="251" t="s">
        <v>182</v>
      </c>
      <c r="C1" s="251"/>
      <c r="D1" s="252"/>
      <c r="E1" s="252"/>
      <c r="F1" s="250"/>
      <c r="G1" s="250"/>
      <c r="H1" s="253"/>
      <c r="I1" s="253"/>
      <c r="J1" s="254"/>
    </row>
    <row r="2" spans="1:10" ht="15.75" customHeight="1" x14ac:dyDescent="0.35">
      <c r="A2" s="255">
        <v>1</v>
      </c>
      <c r="B2" s="256" t="s">
        <v>183</v>
      </c>
      <c r="C2" s="257" t="s">
        <v>184</v>
      </c>
      <c r="D2" s="258" t="s">
        <v>185</v>
      </c>
      <c r="E2" s="255" t="s">
        <v>186</v>
      </c>
      <c r="F2" s="256" t="s">
        <v>187</v>
      </c>
      <c r="G2" s="255" t="s">
        <v>188</v>
      </c>
      <c r="H2" s="259" t="s">
        <v>189</v>
      </c>
      <c r="I2" s="260" t="s">
        <v>190</v>
      </c>
      <c r="J2" s="261" t="s">
        <v>191</v>
      </c>
    </row>
    <row r="3" spans="1:10" ht="12.75" customHeight="1" x14ac:dyDescent="0.35">
      <c r="A3" s="255">
        <v>2</v>
      </c>
      <c r="B3" s="256" t="s">
        <v>192</v>
      </c>
      <c r="C3" s="257" t="s">
        <v>193</v>
      </c>
      <c r="D3" s="258" t="s">
        <v>194</v>
      </c>
      <c r="E3" s="255" t="s">
        <v>195</v>
      </c>
      <c r="F3" s="256" t="s">
        <v>196</v>
      </c>
      <c r="G3" s="255" t="s">
        <v>197</v>
      </c>
      <c r="H3" s="259" t="s">
        <v>198</v>
      </c>
      <c r="I3" s="260" t="s">
        <v>199</v>
      </c>
      <c r="J3" s="261" t="s">
        <v>191</v>
      </c>
    </row>
    <row r="4" spans="1:10" ht="33.75" customHeight="1" x14ac:dyDescent="0.35">
      <c r="A4" s="255">
        <v>3</v>
      </c>
      <c r="B4" s="256" t="s">
        <v>200</v>
      </c>
      <c r="C4" s="257" t="s">
        <v>201</v>
      </c>
      <c r="D4" s="258" t="s">
        <v>202</v>
      </c>
      <c r="E4" s="255" t="s">
        <v>203</v>
      </c>
      <c r="F4" s="256" t="s">
        <v>204</v>
      </c>
      <c r="G4" s="255" t="s">
        <v>205</v>
      </c>
      <c r="H4" s="259" t="s">
        <v>206</v>
      </c>
      <c r="I4" s="260" t="s">
        <v>207</v>
      </c>
      <c r="J4" s="261" t="s">
        <v>191</v>
      </c>
    </row>
    <row r="5" spans="1:10" ht="16.5" customHeight="1" x14ac:dyDescent="0.35">
      <c r="A5" s="255">
        <v>4</v>
      </c>
      <c r="B5" s="256" t="s">
        <v>208</v>
      </c>
      <c r="C5" s="257" t="s">
        <v>209</v>
      </c>
      <c r="D5" s="258" t="s">
        <v>210</v>
      </c>
      <c r="E5" s="255" t="s">
        <v>211</v>
      </c>
      <c r="F5" s="256" t="s">
        <v>212</v>
      </c>
      <c r="G5" s="255" t="s">
        <v>213</v>
      </c>
      <c r="H5" s="259" t="s">
        <v>214</v>
      </c>
      <c r="I5" s="260" t="s">
        <v>215</v>
      </c>
      <c r="J5" s="261" t="s">
        <v>191</v>
      </c>
    </row>
    <row r="6" spans="1:10" ht="16.5" customHeight="1" x14ac:dyDescent="0.35">
      <c r="A6" s="255">
        <v>5</v>
      </c>
      <c r="B6" s="256" t="s">
        <v>216</v>
      </c>
      <c r="C6" s="257" t="s">
        <v>217</v>
      </c>
      <c r="D6" s="258" t="s">
        <v>218</v>
      </c>
      <c r="E6" s="255" t="s">
        <v>219</v>
      </c>
      <c r="F6" s="256" t="s">
        <v>220</v>
      </c>
      <c r="G6" s="255" t="s">
        <v>221</v>
      </c>
      <c r="H6" s="259" t="s">
        <v>222</v>
      </c>
      <c r="I6" s="260" t="s">
        <v>223</v>
      </c>
      <c r="J6" s="261" t="s">
        <v>191</v>
      </c>
    </row>
    <row r="7" spans="1:10" ht="41.25" customHeight="1" x14ac:dyDescent="0.35">
      <c r="A7" s="255">
        <v>6</v>
      </c>
      <c r="B7" s="256" t="s">
        <v>224</v>
      </c>
      <c r="C7" s="257" t="s">
        <v>225</v>
      </c>
      <c r="D7" s="258" t="s">
        <v>226</v>
      </c>
      <c r="E7" s="255" t="s">
        <v>227</v>
      </c>
      <c r="F7" s="256" t="s">
        <v>228</v>
      </c>
      <c r="G7" s="255" t="s">
        <v>229</v>
      </c>
      <c r="H7" s="259" t="s">
        <v>230</v>
      </c>
      <c r="I7" s="260" t="s">
        <v>231</v>
      </c>
      <c r="J7" s="261" t="s">
        <v>191</v>
      </c>
    </row>
    <row r="8" spans="1:10" ht="16.5" customHeight="1" x14ac:dyDescent="0.35">
      <c r="A8" s="255">
        <v>7</v>
      </c>
      <c r="B8" s="256" t="s">
        <v>232</v>
      </c>
      <c r="C8" s="257" t="s">
        <v>233</v>
      </c>
      <c r="D8" s="258" t="s">
        <v>234</v>
      </c>
      <c r="E8" s="255" t="s">
        <v>235</v>
      </c>
      <c r="F8" s="256" t="s">
        <v>236</v>
      </c>
      <c r="G8" s="255" t="s">
        <v>237</v>
      </c>
      <c r="H8" s="259" t="s">
        <v>238</v>
      </c>
      <c r="I8" s="260" t="s">
        <v>239</v>
      </c>
      <c r="J8" s="261" t="s">
        <v>191</v>
      </c>
    </row>
    <row r="9" spans="1:10" ht="16.5" customHeight="1" x14ac:dyDescent="0.35">
      <c r="A9" s="255">
        <v>8</v>
      </c>
      <c r="B9" s="256" t="s">
        <v>240</v>
      </c>
      <c r="C9" s="257" t="s">
        <v>241</v>
      </c>
      <c r="D9" s="258" t="s">
        <v>242</v>
      </c>
      <c r="E9" s="255" t="s">
        <v>243</v>
      </c>
      <c r="F9" s="256" t="s">
        <v>244</v>
      </c>
      <c r="G9" s="255" t="s">
        <v>245</v>
      </c>
      <c r="H9" s="259" t="s">
        <v>246</v>
      </c>
      <c r="I9" s="260" t="s">
        <v>247</v>
      </c>
      <c r="J9" s="261" t="s">
        <v>191</v>
      </c>
    </row>
    <row r="10" spans="1:10" ht="16.5" customHeight="1" x14ac:dyDescent="0.35">
      <c r="A10" s="255">
        <v>9</v>
      </c>
      <c r="B10" s="256" t="s">
        <v>248</v>
      </c>
      <c r="C10" s="257" t="s">
        <v>249</v>
      </c>
      <c r="D10" s="258" t="s">
        <v>250</v>
      </c>
      <c r="E10" s="255" t="s">
        <v>251</v>
      </c>
      <c r="F10" s="256" t="s">
        <v>252</v>
      </c>
      <c r="G10" s="255" t="s">
        <v>253</v>
      </c>
      <c r="H10" s="259" t="s">
        <v>254</v>
      </c>
      <c r="I10" s="260" t="s">
        <v>255</v>
      </c>
      <c r="J10" s="261" t="s">
        <v>191</v>
      </c>
    </row>
    <row r="11" spans="1:10" ht="16.5" customHeight="1" x14ac:dyDescent="0.35">
      <c r="A11" s="255">
        <v>10</v>
      </c>
      <c r="B11" s="256" t="s">
        <v>256</v>
      </c>
      <c r="C11" s="257" t="s">
        <v>257</v>
      </c>
      <c r="D11" s="258" t="s">
        <v>258</v>
      </c>
      <c r="E11" s="255" t="s">
        <v>259</v>
      </c>
      <c r="F11" s="256" t="s">
        <v>260</v>
      </c>
      <c r="G11" s="255" t="s">
        <v>261</v>
      </c>
      <c r="H11" s="259" t="s">
        <v>262</v>
      </c>
      <c r="I11" s="260" t="s">
        <v>263</v>
      </c>
      <c r="J11" s="261" t="s">
        <v>191</v>
      </c>
    </row>
    <row r="12" spans="1:10" ht="16.5" customHeight="1" x14ac:dyDescent="0.35">
      <c r="A12" s="255">
        <v>11</v>
      </c>
      <c r="B12" s="256" t="s">
        <v>264</v>
      </c>
      <c r="C12" s="257" t="s">
        <v>265</v>
      </c>
      <c r="D12" s="258" t="s">
        <v>266</v>
      </c>
      <c r="E12" s="255" t="s">
        <v>267</v>
      </c>
      <c r="F12" s="256" t="s">
        <v>268</v>
      </c>
      <c r="G12" s="255" t="s">
        <v>269</v>
      </c>
      <c r="H12" s="259" t="s">
        <v>270</v>
      </c>
      <c r="I12" s="260" t="s">
        <v>271</v>
      </c>
      <c r="J12" s="261" t="s">
        <v>191</v>
      </c>
    </row>
    <row r="13" spans="1:10" ht="16.5" customHeight="1" x14ac:dyDescent="0.35">
      <c r="A13" s="255">
        <v>12</v>
      </c>
      <c r="B13" s="256" t="s">
        <v>272</v>
      </c>
      <c r="C13" s="257" t="s">
        <v>273</v>
      </c>
      <c r="D13" s="258" t="s">
        <v>274</v>
      </c>
      <c r="E13" s="255" t="s">
        <v>275</v>
      </c>
      <c r="F13" s="256" t="s">
        <v>276</v>
      </c>
      <c r="G13" s="255" t="s">
        <v>277</v>
      </c>
      <c r="H13" s="259" t="s">
        <v>278</v>
      </c>
      <c r="I13" s="260" t="s">
        <v>279</v>
      </c>
      <c r="J13" s="261" t="s">
        <v>191</v>
      </c>
    </row>
    <row r="14" spans="1:10" ht="25.5" customHeight="1" x14ac:dyDescent="0.35">
      <c r="A14" s="255">
        <v>13</v>
      </c>
      <c r="B14" s="256" t="s">
        <v>280</v>
      </c>
      <c r="C14" s="257" t="s">
        <v>281</v>
      </c>
      <c r="D14" s="258" t="s">
        <v>282</v>
      </c>
      <c r="E14" s="255" t="s">
        <v>283</v>
      </c>
      <c r="F14" s="256" t="s">
        <v>284</v>
      </c>
      <c r="G14" s="255" t="s">
        <v>285</v>
      </c>
      <c r="H14" s="259" t="s">
        <v>286</v>
      </c>
      <c r="I14" s="260" t="s">
        <v>287</v>
      </c>
      <c r="J14" s="261" t="s">
        <v>191</v>
      </c>
    </row>
    <row r="15" spans="1:10" ht="28.5" customHeight="1" x14ac:dyDescent="0.35">
      <c r="A15" s="255">
        <v>14</v>
      </c>
      <c r="B15" s="256" t="s">
        <v>288</v>
      </c>
      <c r="C15" s="257" t="s">
        <v>289</v>
      </c>
      <c r="D15" s="258" t="s">
        <v>290</v>
      </c>
      <c r="E15" s="255" t="s">
        <v>291</v>
      </c>
      <c r="F15" s="256" t="s">
        <v>292</v>
      </c>
      <c r="G15" s="255" t="s">
        <v>293</v>
      </c>
      <c r="H15" s="259" t="s">
        <v>294</v>
      </c>
      <c r="I15" s="260" t="s">
        <v>295</v>
      </c>
      <c r="J15" s="261" t="s">
        <v>191</v>
      </c>
    </row>
    <row r="16" spans="1:10" ht="16.5" customHeight="1" x14ac:dyDescent="0.35">
      <c r="A16" s="255">
        <v>15</v>
      </c>
      <c r="B16" s="256" t="s">
        <v>296</v>
      </c>
      <c r="C16" s="257" t="s">
        <v>297</v>
      </c>
      <c r="D16" s="258" t="s">
        <v>298</v>
      </c>
      <c r="E16" s="255" t="s">
        <v>299</v>
      </c>
      <c r="F16" s="256" t="s">
        <v>300</v>
      </c>
      <c r="G16" s="255" t="s">
        <v>301</v>
      </c>
      <c r="H16" s="259" t="s">
        <v>302</v>
      </c>
      <c r="I16" s="260" t="s">
        <v>303</v>
      </c>
      <c r="J16" s="261" t="s">
        <v>191</v>
      </c>
    </row>
    <row r="17" spans="1:10" ht="16.5" customHeight="1" x14ac:dyDescent="0.35">
      <c r="A17" s="255">
        <v>16</v>
      </c>
      <c r="B17" s="256" t="s">
        <v>304</v>
      </c>
      <c r="C17" s="257" t="s">
        <v>305</v>
      </c>
      <c r="D17" s="258" t="s">
        <v>306</v>
      </c>
      <c r="E17" s="255" t="s">
        <v>307</v>
      </c>
      <c r="F17" s="256" t="s">
        <v>308</v>
      </c>
      <c r="G17" s="255" t="s">
        <v>309</v>
      </c>
      <c r="H17" s="259" t="s">
        <v>310</v>
      </c>
      <c r="I17" s="260" t="s">
        <v>311</v>
      </c>
      <c r="J17" s="261" t="s">
        <v>191</v>
      </c>
    </row>
    <row r="18" spans="1:10" ht="27" customHeight="1" x14ac:dyDescent="0.35">
      <c r="A18" s="255">
        <v>17</v>
      </c>
      <c r="B18" s="256" t="s">
        <v>312</v>
      </c>
      <c r="C18" s="257" t="s">
        <v>313</v>
      </c>
      <c r="D18" s="258" t="s">
        <v>314</v>
      </c>
      <c r="E18" s="255" t="s">
        <v>315</v>
      </c>
      <c r="F18" s="256" t="s">
        <v>316</v>
      </c>
      <c r="G18" s="255" t="s">
        <v>293</v>
      </c>
      <c r="H18" s="259" t="s">
        <v>317</v>
      </c>
      <c r="I18" s="260" t="s">
        <v>318</v>
      </c>
      <c r="J18" s="261" t="s">
        <v>191</v>
      </c>
    </row>
    <row r="19" spans="1:10" ht="28.5" customHeight="1" x14ac:dyDescent="0.35">
      <c r="A19" s="255">
        <v>18</v>
      </c>
      <c r="B19" s="256" t="s">
        <v>319</v>
      </c>
      <c r="C19" s="257" t="s">
        <v>320</v>
      </c>
      <c r="D19" s="258" t="s">
        <v>321</v>
      </c>
      <c r="E19" s="255" t="s">
        <v>322</v>
      </c>
      <c r="F19" s="256" t="s">
        <v>323</v>
      </c>
      <c r="G19" s="255" t="s">
        <v>324</v>
      </c>
      <c r="H19" s="259" t="s">
        <v>325</v>
      </c>
      <c r="I19" s="260" t="s">
        <v>326</v>
      </c>
      <c r="J19" s="261" t="s">
        <v>191</v>
      </c>
    </row>
    <row r="20" spans="1:10" ht="16.5" customHeight="1" x14ac:dyDescent="0.35">
      <c r="A20" s="255">
        <v>19</v>
      </c>
      <c r="B20" s="256" t="s">
        <v>327</v>
      </c>
      <c r="C20" s="257" t="s">
        <v>328</v>
      </c>
      <c r="D20" s="258" t="s">
        <v>329</v>
      </c>
      <c r="E20" s="255" t="s">
        <v>330</v>
      </c>
      <c r="F20" s="256" t="s">
        <v>331</v>
      </c>
      <c r="G20" s="255" t="s">
        <v>332</v>
      </c>
      <c r="H20" s="259" t="s">
        <v>333</v>
      </c>
      <c r="I20" s="260" t="s">
        <v>334</v>
      </c>
      <c r="J20" s="261" t="s">
        <v>335</v>
      </c>
    </row>
    <row r="21" spans="1:10" ht="20.25" customHeight="1" x14ac:dyDescent="0.35">
      <c r="A21" s="255">
        <v>20</v>
      </c>
      <c r="B21" s="256" t="s">
        <v>336</v>
      </c>
      <c r="C21" s="257" t="s">
        <v>337</v>
      </c>
      <c r="D21" s="258" t="s">
        <v>338</v>
      </c>
      <c r="E21" s="255" t="s">
        <v>339</v>
      </c>
      <c r="F21" s="256" t="s">
        <v>340</v>
      </c>
      <c r="G21" s="255" t="s">
        <v>341</v>
      </c>
      <c r="H21" s="259" t="s">
        <v>342</v>
      </c>
      <c r="I21" s="260" t="s">
        <v>343</v>
      </c>
      <c r="J21" s="261" t="s">
        <v>191</v>
      </c>
    </row>
    <row r="22" spans="1:10" ht="29.25" customHeight="1" x14ac:dyDescent="0.35">
      <c r="A22" s="255">
        <v>21</v>
      </c>
      <c r="B22" s="256" t="s">
        <v>344</v>
      </c>
      <c r="C22" s="257" t="s">
        <v>345</v>
      </c>
      <c r="D22" s="258" t="s">
        <v>346</v>
      </c>
      <c r="E22" s="255" t="s">
        <v>347</v>
      </c>
      <c r="F22" s="256" t="s">
        <v>348</v>
      </c>
      <c r="G22" s="255" t="s">
        <v>349</v>
      </c>
      <c r="H22" s="259" t="s">
        <v>350</v>
      </c>
      <c r="I22" s="260" t="s">
        <v>351</v>
      </c>
      <c r="J22" s="261" t="s">
        <v>191</v>
      </c>
    </row>
    <row r="23" spans="1:10" ht="27" customHeight="1" x14ac:dyDescent="0.35">
      <c r="A23" s="255">
        <v>22</v>
      </c>
      <c r="B23" s="256" t="s">
        <v>352</v>
      </c>
      <c r="C23" s="257" t="s">
        <v>353</v>
      </c>
      <c r="D23" s="258" t="s">
        <v>354</v>
      </c>
      <c r="E23" s="255" t="s">
        <v>355</v>
      </c>
      <c r="F23" s="256" t="s">
        <v>356</v>
      </c>
      <c r="G23" s="255" t="s">
        <v>357</v>
      </c>
      <c r="H23" s="259" t="s">
        <v>358</v>
      </c>
      <c r="I23" s="260" t="s">
        <v>359</v>
      </c>
      <c r="J23" s="261" t="s">
        <v>191</v>
      </c>
    </row>
    <row r="24" spans="1:10" ht="17.25" customHeight="1" x14ac:dyDescent="0.35">
      <c r="A24" s="255">
        <v>23</v>
      </c>
      <c r="B24" s="256" t="s">
        <v>360</v>
      </c>
      <c r="C24" s="257" t="s">
        <v>361</v>
      </c>
      <c r="D24" s="258" t="s">
        <v>362</v>
      </c>
      <c r="E24" s="255" t="s">
        <v>363</v>
      </c>
      <c r="F24" s="256" t="s">
        <v>364</v>
      </c>
      <c r="G24" s="255" t="s">
        <v>365</v>
      </c>
      <c r="H24" s="259" t="s">
        <v>366</v>
      </c>
      <c r="I24" s="260" t="s">
        <v>367</v>
      </c>
      <c r="J24" s="261" t="s">
        <v>191</v>
      </c>
    </row>
    <row r="25" spans="1:10" ht="31.5" customHeight="1" x14ac:dyDescent="0.35">
      <c r="A25" s="255">
        <v>24</v>
      </c>
      <c r="B25" s="256" t="s">
        <v>368</v>
      </c>
      <c r="C25" s="257" t="s">
        <v>369</v>
      </c>
      <c r="D25" s="258" t="s">
        <v>370</v>
      </c>
      <c r="E25" s="255" t="s">
        <v>371</v>
      </c>
      <c r="F25" s="256" t="s">
        <v>372</v>
      </c>
      <c r="G25" s="255" t="s">
        <v>373</v>
      </c>
      <c r="H25" s="259" t="s">
        <v>374</v>
      </c>
      <c r="I25" s="260" t="s">
        <v>375</v>
      </c>
      <c r="J25" s="261" t="s">
        <v>191</v>
      </c>
    </row>
    <row r="26" spans="1:10" ht="26.25" customHeight="1" x14ac:dyDescent="0.35">
      <c r="A26" s="255">
        <v>25</v>
      </c>
      <c r="B26" s="256" t="s">
        <v>376</v>
      </c>
      <c r="C26" s="257" t="s">
        <v>377</v>
      </c>
      <c r="D26" s="258" t="s">
        <v>378</v>
      </c>
      <c r="E26" s="255" t="s">
        <v>379</v>
      </c>
      <c r="F26" s="256" t="s">
        <v>380</v>
      </c>
      <c r="G26" s="255" t="s">
        <v>381</v>
      </c>
      <c r="H26" s="259" t="s">
        <v>382</v>
      </c>
      <c r="I26" s="260" t="s">
        <v>383</v>
      </c>
      <c r="J26" s="261" t="s">
        <v>191</v>
      </c>
    </row>
    <row r="27" spans="1:10" ht="17.25" customHeight="1" x14ac:dyDescent="0.35">
      <c r="A27" s="255">
        <v>26</v>
      </c>
      <c r="B27" s="256" t="s">
        <v>384</v>
      </c>
      <c r="C27" s="257" t="s">
        <v>385</v>
      </c>
      <c r="D27" s="258" t="s">
        <v>386</v>
      </c>
      <c r="E27" s="255" t="s">
        <v>387</v>
      </c>
      <c r="F27" s="256" t="s">
        <v>388</v>
      </c>
      <c r="G27" s="255" t="s">
        <v>389</v>
      </c>
      <c r="H27" s="259" t="s">
        <v>390</v>
      </c>
      <c r="I27" s="260" t="s">
        <v>391</v>
      </c>
      <c r="J27" s="261" t="s">
        <v>191</v>
      </c>
    </row>
    <row r="28" spans="1:10" ht="17.25" customHeight="1" x14ac:dyDescent="0.35">
      <c r="A28" s="255">
        <v>27</v>
      </c>
      <c r="B28" s="256" t="s">
        <v>392</v>
      </c>
      <c r="C28" s="257" t="s">
        <v>393</v>
      </c>
      <c r="D28" s="258" t="s">
        <v>394</v>
      </c>
      <c r="E28" s="255" t="s">
        <v>395</v>
      </c>
      <c r="F28" s="256" t="s">
        <v>396</v>
      </c>
      <c r="G28" s="255" t="s">
        <v>397</v>
      </c>
      <c r="H28" s="259" t="s">
        <v>398</v>
      </c>
      <c r="I28" s="260" t="s">
        <v>399</v>
      </c>
      <c r="J28" s="261" t="s">
        <v>191</v>
      </c>
    </row>
    <row r="29" spans="1:10" ht="17.25" customHeight="1" x14ac:dyDescent="0.35">
      <c r="A29" s="255">
        <v>28</v>
      </c>
      <c r="B29" s="256" t="s">
        <v>400</v>
      </c>
      <c r="C29" s="257" t="s">
        <v>401</v>
      </c>
      <c r="D29" s="258" t="s">
        <v>402</v>
      </c>
      <c r="E29" s="255" t="s">
        <v>403</v>
      </c>
      <c r="F29" s="256" t="s">
        <v>404</v>
      </c>
      <c r="G29" s="255" t="s">
        <v>405</v>
      </c>
      <c r="H29" s="259" t="s">
        <v>406</v>
      </c>
      <c r="I29" s="260" t="s">
        <v>407</v>
      </c>
      <c r="J29" s="261" t="s">
        <v>191</v>
      </c>
    </row>
    <row r="30" spans="1:10" ht="29.25" customHeight="1" x14ac:dyDescent="0.35">
      <c r="A30" s="255">
        <v>29</v>
      </c>
      <c r="B30" s="256" t="s">
        <v>408</v>
      </c>
      <c r="C30" s="257" t="s">
        <v>409</v>
      </c>
      <c r="D30" s="258" t="s">
        <v>410</v>
      </c>
      <c r="E30" s="255" t="s">
        <v>411</v>
      </c>
      <c r="F30" s="256" t="s">
        <v>412</v>
      </c>
      <c r="G30" s="255" t="s">
        <v>413</v>
      </c>
      <c r="H30" s="259" t="s">
        <v>414</v>
      </c>
      <c r="I30" s="260" t="s">
        <v>415</v>
      </c>
      <c r="J30" s="261" t="s">
        <v>191</v>
      </c>
    </row>
    <row r="31" spans="1:10" ht="28.5" customHeight="1" x14ac:dyDescent="0.35">
      <c r="A31" s="255">
        <v>30</v>
      </c>
      <c r="B31" s="256" t="s">
        <v>416</v>
      </c>
      <c r="C31" s="257" t="s">
        <v>417</v>
      </c>
      <c r="D31" s="258" t="s">
        <v>418</v>
      </c>
      <c r="E31" s="255" t="s">
        <v>419</v>
      </c>
      <c r="F31" s="256" t="s">
        <v>420</v>
      </c>
      <c r="G31" s="255" t="s">
        <v>421</v>
      </c>
      <c r="H31" s="259" t="s">
        <v>422</v>
      </c>
      <c r="I31" s="260" t="s">
        <v>423</v>
      </c>
      <c r="J31" s="261" t="s">
        <v>191</v>
      </c>
    </row>
    <row r="32" spans="1:10" ht="35.25" customHeight="1" x14ac:dyDescent="0.35">
      <c r="A32" s="255">
        <v>31</v>
      </c>
      <c r="B32" s="256" t="s">
        <v>424</v>
      </c>
      <c r="C32" s="257" t="s">
        <v>425</v>
      </c>
      <c r="D32" s="258" t="s">
        <v>426</v>
      </c>
      <c r="E32" s="255" t="s">
        <v>427</v>
      </c>
      <c r="F32" s="256" t="s">
        <v>428</v>
      </c>
      <c r="G32" s="255" t="s">
        <v>429</v>
      </c>
      <c r="H32" s="259" t="s">
        <v>430</v>
      </c>
      <c r="I32" s="260" t="s">
        <v>431</v>
      </c>
      <c r="J32" s="261" t="s">
        <v>191</v>
      </c>
    </row>
    <row r="33" spans="1:10" ht="17.25" customHeight="1" x14ac:dyDescent="0.35">
      <c r="A33" s="255">
        <v>32</v>
      </c>
      <c r="B33" s="256" t="s">
        <v>432</v>
      </c>
      <c r="C33" s="257" t="s">
        <v>433</v>
      </c>
      <c r="D33" s="258" t="s">
        <v>434</v>
      </c>
      <c r="E33" s="255" t="s">
        <v>435</v>
      </c>
      <c r="F33" s="256" t="s">
        <v>436</v>
      </c>
      <c r="G33" s="255" t="s">
        <v>437</v>
      </c>
      <c r="H33" s="259" t="s">
        <v>438</v>
      </c>
      <c r="I33" s="260" t="s">
        <v>439</v>
      </c>
      <c r="J33" s="261" t="s">
        <v>191</v>
      </c>
    </row>
    <row r="34" spans="1:10" ht="17.25" customHeight="1" x14ac:dyDescent="0.35">
      <c r="A34" s="255">
        <v>33</v>
      </c>
      <c r="B34" s="256" t="s">
        <v>440</v>
      </c>
      <c r="C34" s="257" t="s">
        <v>441</v>
      </c>
      <c r="D34" s="258" t="s">
        <v>442</v>
      </c>
      <c r="E34" s="255" t="s">
        <v>443</v>
      </c>
      <c r="F34" s="256" t="s">
        <v>444</v>
      </c>
      <c r="G34" s="255" t="s">
        <v>445</v>
      </c>
      <c r="H34" s="259" t="s">
        <v>446</v>
      </c>
      <c r="I34" s="260" t="s">
        <v>447</v>
      </c>
      <c r="J34" s="261" t="s">
        <v>191</v>
      </c>
    </row>
    <row r="35" spans="1:10" ht="17.25" customHeight="1" x14ac:dyDescent="0.35">
      <c r="A35" s="255">
        <v>34</v>
      </c>
      <c r="B35" s="256" t="s">
        <v>448</v>
      </c>
      <c r="C35" s="257" t="s">
        <v>449</v>
      </c>
      <c r="D35" s="258" t="s">
        <v>450</v>
      </c>
      <c r="E35" s="255" t="s">
        <v>451</v>
      </c>
      <c r="F35" s="256" t="s">
        <v>452</v>
      </c>
      <c r="G35" s="255" t="s">
        <v>453</v>
      </c>
      <c r="H35" s="259" t="s">
        <v>454</v>
      </c>
      <c r="I35" s="260" t="s">
        <v>455</v>
      </c>
      <c r="J35" s="261" t="s">
        <v>191</v>
      </c>
    </row>
    <row r="36" spans="1:10" ht="39.75" customHeight="1" x14ac:dyDescent="0.35">
      <c r="A36" s="255">
        <v>35</v>
      </c>
      <c r="B36" s="256" t="s">
        <v>456</v>
      </c>
      <c r="C36" s="257" t="s">
        <v>457</v>
      </c>
      <c r="D36" s="258" t="s">
        <v>458</v>
      </c>
      <c r="E36" s="255" t="s">
        <v>459</v>
      </c>
      <c r="F36" s="256" t="s">
        <v>460</v>
      </c>
      <c r="G36" s="255" t="s">
        <v>461</v>
      </c>
      <c r="H36" s="259" t="s">
        <v>462</v>
      </c>
      <c r="I36" s="260" t="s">
        <v>463</v>
      </c>
      <c r="J36" s="261" t="s">
        <v>191</v>
      </c>
    </row>
    <row r="37" spans="1:10" ht="36.75" customHeight="1" x14ac:dyDescent="0.35">
      <c r="A37" s="255">
        <v>36</v>
      </c>
      <c r="B37" s="256" t="s">
        <v>464</v>
      </c>
      <c r="C37" s="257" t="s">
        <v>465</v>
      </c>
      <c r="D37" s="258" t="s">
        <v>466</v>
      </c>
      <c r="E37" s="255" t="s">
        <v>467</v>
      </c>
      <c r="F37" s="256" t="s">
        <v>468</v>
      </c>
      <c r="G37" s="255" t="s">
        <v>469</v>
      </c>
      <c r="H37" s="259" t="s">
        <v>470</v>
      </c>
      <c r="I37" s="260" t="s">
        <v>471</v>
      </c>
      <c r="J37" s="261" t="s">
        <v>191</v>
      </c>
    </row>
    <row r="38" spans="1:10" ht="36" customHeight="1" x14ac:dyDescent="0.35">
      <c r="A38" s="255">
        <v>37</v>
      </c>
      <c r="B38" s="256" t="s">
        <v>472</v>
      </c>
      <c r="C38" s="257" t="s">
        <v>473</v>
      </c>
      <c r="D38" s="258" t="s">
        <v>474</v>
      </c>
      <c r="E38" s="255" t="s">
        <v>475</v>
      </c>
      <c r="F38" s="256" t="s">
        <v>476</v>
      </c>
      <c r="G38" s="255" t="s">
        <v>477</v>
      </c>
      <c r="H38" s="259" t="s">
        <v>478</v>
      </c>
      <c r="I38" s="260" t="s">
        <v>479</v>
      </c>
      <c r="J38" s="261" t="s">
        <v>191</v>
      </c>
    </row>
    <row r="39" spans="1:10" ht="36.75" customHeight="1" x14ac:dyDescent="0.35">
      <c r="A39" s="255">
        <v>38</v>
      </c>
      <c r="B39" s="256" t="s">
        <v>480</v>
      </c>
      <c r="C39" s="257" t="s">
        <v>481</v>
      </c>
      <c r="D39" s="258" t="s">
        <v>482</v>
      </c>
      <c r="E39" s="255" t="s">
        <v>483</v>
      </c>
      <c r="F39" s="256" t="s">
        <v>484</v>
      </c>
      <c r="G39" s="255" t="s">
        <v>485</v>
      </c>
      <c r="H39" s="259" t="s">
        <v>486</v>
      </c>
      <c r="I39" s="260" t="s">
        <v>487</v>
      </c>
      <c r="J39" s="261" t="s">
        <v>191</v>
      </c>
    </row>
    <row r="40" spans="1:10" ht="39" customHeight="1" x14ac:dyDescent="0.35">
      <c r="A40" s="255">
        <v>39</v>
      </c>
      <c r="B40" s="256" t="s">
        <v>488</v>
      </c>
      <c r="C40" s="257" t="s">
        <v>489</v>
      </c>
      <c r="D40" s="258" t="s">
        <v>490</v>
      </c>
      <c r="E40" s="255" t="s">
        <v>491</v>
      </c>
      <c r="F40" s="256" t="s">
        <v>492</v>
      </c>
      <c r="G40" s="255" t="s">
        <v>493</v>
      </c>
      <c r="H40" s="259" t="s">
        <v>494</v>
      </c>
      <c r="I40" s="260" t="s">
        <v>495</v>
      </c>
      <c r="J40" s="261" t="s">
        <v>191</v>
      </c>
    </row>
    <row r="41" spans="1:10" ht="41.25" customHeight="1" x14ac:dyDescent="0.35">
      <c r="A41" s="255">
        <v>40</v>
      </c>
      <c r="B41" s="256" t="s">
        <v>496</v>
      </c>
      <c r="C41" s="257" t="s">
        <v>497</v>
      </c>
      <c r="D41" s="258" t="s">
        <v>498</v>
      </c>
      <c r="E41" s="255" t="s">
        <v>499</v>
      </c>
      <c r="F41" s="256" t="s">
        <v>500</v>
      </c>
      <c r="G41" s="255" t="s">
        <v>501</v>
      </c>
      <c r="H41" s="259" t="s">
        <v>502</v>
      </c>
      <c r="I41" s="260" t="s">
        <v>503</v>
      </c>
      <c r="J41" s="261" t="s">
        <v>191</v>
      </c>
    </row>
    <row r="42" spans="1:10" ht="17.25" customHeight="1" x14ac:dyDescent="0.35">
      <c r="A42" s="255">
        <v>41</v>
      </c>
      <c r="B42" s="256" t="s">
        <v>504</v>
      </c>
      <c r="C42" s="257" t="s">
        <v>505</v>
      </c>
      <c r="D42" s="258" t="s">
        <v>506</v>
      </c>
      <c r="E42" s="255" t="s">
        <v>507</v>
      </c>
      <c r="F42" s="256" t="s">
        <v>508</v>
      </c>
      <c r="G42" s="255" t="s">
        <v>509</v>
      </c>
      <c r="H42" s="259" t="s">
        <v>510</v>
      </c>
      <c r="I42" s="260" t="s">
        <v>511</v>
      </c>
      <c r="J42" s="261" t="s">
        <v>191</v>
      </c>
    </row>
    <row r="43" spans="1:10" ht="17.25" customHeight="1" x14ac:dyDescent="0.35">
      <c r="A43" s="255">
        <v>42</v>
      </c>
      <c r="B43" s="256" t="s">
        <v>512</v>
      </c>
      <c r="C43" s="257" t="s">
        <v>513</v>
      </c>
      <c r="D43" s="258" t="s">
        <v>514</v>
      </c>
      <c r="E43" s="255" t="s">
        <v>515</v>
      </c>
      <c r="F43" s="256" t="s">
        <v>516</v>
      </c>
      <c r="G43" s="255" t="s">
        <v>517</v>
      </c>
      <c r="H43" s="259" t="s">
        <v>518</v>
      </c>
      <c r="I43" s="260" t="s">
        <v>519</v>
      </c>
      <c r="J43" s="261" t="s">
        <v>191</v>
      </c>
    </row>
    <row r="44" spans="1:10" ht="17.25" customHeight="1" x14ac:dyDescent="0.35">
      <c r="A44" s="255">
        <v>43</v>
      </c>
      <c r="B44" s="256" t="s">
        <v>520</v>
      </c>
      <c r="C44" s="257" t="s">
        <v>521</v>
      </c>
      <c r="D44" s="258" t="s">
        <v>522</v>
      </c>
      <c r="E44" s="255" t="s">
        <v>523</v>
      </c>
      <c r="F44" s="256" t="s">
        <v>524</v>
      </c>
      <c r="G44" s="255" t="s">
        <v>525</v>
      </c>
      <c r="H44" s="259" t="s">
        <v>526</v>
      </c>
      <c r="I44" s="260" t="s">
        <v>527</v>
      </c>
      <c r="J44" s="261" t="s">
        <v>191</v>
      </c>
    </row>
    <row r="45" spans="1:10" ht="17.25" customHeight="1" x14ac:dyDescent="0.35">
      <c r="A45" s="255">
        <v>44</v>
      </c>
      <c r="B45" s="256" t="s">
        <v>528</v>
      </c>
      <c r="C45" s="257" t="s">
        <v>529</v>
      </c>
      <c r="D45" s="258" t="s">
        <v>530</v>
      </c>
      <c r="E45" s="255" t="s">
        <v>531</v>
      </c>
      <c r="F45" s="256" t="s">
        <v>532</v>
      </c>
      <c r="G45" s="255" t="s">
        <v>533</v>
      </c>
      <c r="H45" s="259" t="s">
        <v>534</v>
      </c>
      <c r="I45" s="260" t="s">
        <v>535</v>
      </c>
      <c r="J45" s="261" t="s">
        <v>191</v>
      </c>
    </row>
    <row r="46" spans="1:10" ht="17.25" customHeight="1" x14ac:dyDescent="0.35">
      <c r="A46" s="255">
        <v>45</v>
      </c>
      <c r="B46" s="256" t="s">
        <v>536</v>
      </c>
      <c r="C46" s="257" t="s">
        <v>537</v>
      </c>
      <c r="D46" s="258" t="s">
        <v>538</v>
      </c>
      <c r="E46" s="255" t="s">
        <v>539</v>
      </c>
      <c r="F46" s="256" t="s">
        <v>540</v>
      </c>
      <c r="G46" s="255" t="s">
        <v>541</v>
      </c>
      <c r="H46" s="259" t="s">
        <v>542</v>
      </c>
      <c r="I46" s="260" t="s">
        <v>543</v>
      </c>
      <c r="J46" s="261"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паспорт</vt:lpstr>
      <vt:lpstr>паспорт повышенная %</vt:lpstr>
      <vt:lpstr>график с повышеной%</vt:lpstr>
      <vt:lpstr>график анн</vt:lpstr>
      <vt:lpstr>дод 1 до дог кредит</vt:lpstr>
      <vt:lpstr>Лист1</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2019-05-28T12:07:10Z</cp:lastPrinted>
  <dcterms:created xsi:type="dcterms:W3CDTF">2017-10-17T08:00:29Z</dcterms:created>
  <dcterms:modified xsi:type="dcterms:W3CDTF">2021-07-12T05:51:17Z</dcterms:modified>
</cp:coreProperties>
</file>